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145" tabRatio="727" firstSheet="17" activeTab="25"/>
  </bookViews>
  <sheets>
    <sheet name="1.mell Bevételek kiadások." sheetId="1" r:id="rId1"/>
    <sheet name="2.1. Működési mérleg" sheetId="2" r:id="rId2"/>
    <sheet name="2.2. Felhalmozási mérleg" sheetId="3" r:id="rId3"/>
    <sheet name="3. Általános támog" sheetId="4" r:id="rId4"/>
    <sheet name="4. Központi támog." sheetId="5" r:id="rId5"/>
    <sheet name="5. Támogatások Áh-n belül" sheetId="6" r:id="rId6"/>
    <sheet name="6.mell Önk." sheetId="7" r:id="rId7"/>
    <sheet name="7.mell.PH" sheetId="8" r:id="rId8"/>
    <sheet name="8. mell Óvoda." sheetId="9" r:id="rId9"/>
    <sheet name="9. Létszám" sheetId="10" r:id="rId10"/>
    <sheet name="10. Szervezetek támogatása" sheetId="11" r:id="rId11"/>
    <sheet name="11. Szociálpolitika" sheetId="12" r:id="rId12"/>
    <sheet name="12. Beruházások" sheetId="13" r:id="rId13"/>
    <sheet name="13. Felújítások." sheetId="14" r:id="rId14"/>
    <sheet name="14. Maradvány" sheetId="15" r:id="rId15"/>
    <sheet name="15. Eszközök" sheetId="16" r:id="rId16"/>
    <sheet name="16.Források" sheetId="17" r:id="rId17"/>
    <sheet name="17.Úniós" sheetId="18" r:id="rId18"/>
    <sheet name="18. Többéves" sheetId="19" r:id="rId19"/>
    <sheet name="19. Adósságot kimutatás" sheetId="20" r:id="rId20"/>
    <sheet name="20. Ált.támogatás" sheetId="21" r:id="rId21"/>
    <sheet name="21.Vagyoni helyzet" sheetId="22" r:id="rId22"/>
    <sheet name="22. Közvetett támog." sheetId="23" r:id="rId23"/>
    <sheet name="23. Részesedések" sheetId="24" r:id="rId24"/>
    <sheet name="24.Pénzeszköz vált" sheetId="25" r:id="rId25"/>
    <sheet name="25. Pénzfelhaszn." sheetId="26" r:id="rId26"/>
    <sheet name="Munka1" sheetId="27" r:id="rId27"/>
  </sheets>
  <definedNames>
    <definedName name="_xlnm.Print_Titles" localSheetId="14">'14. Maradvány'!$7:$12</definedName>
    <definedName name="_xlnm.Print_Titles" localSheetId="15">'15. Eszközök'!$7:$12</definedName>
    <definedName name="_xlnm.Print_Titles" localSheetId="16">'16.Források'!$7:$12</definedName>
    <definedName name="_xlnm.Print_Titles" localSheetId="17">'17.Úniós'!$7:$12</definedName>
    <definedName name="_xlnm.Print_Titles" localSheetId="18">'18. Többéves'!$4:$9</definedName>
    <definedName name="_xlnm.Print_Titles" localSheetId="19">'19. Adósságot kimutatás'!$1:$6</definedName>
    <definedName name="_xlnm.Print_Area" localSheetId="0">'1.mell Bevételek kiadások.'!$A$1:$E$151</definedName>
    <definedName name="_xlnm.Print_Area" localSheetId="10">'10. Szervezetek támogatása'!$A$1:$F$43</definedName>
    <definedName name="_xlnm.Print_Area" localSheetId="14">'14. Maradvány'!$A$1:$N$27</definedName>
    <definedName name="_xlnm.Print_Area" localSheetId="6">'6.mell Önk.'!$A$1:$E$151</definedName>
    <definedName name="_xlnm.Print_Area" localSheetId="7">'7.mell.PH'!$A$1:$E$60</definedName>
    <definedName name="_xlnm.Print_Area" localSheetId="8">'8. mell Óvoda.'!$A$1:$E$60</definedName>
    <definedName name="_xlnm.Print_Area" localSheetId="9">'9. Létszám'!$A$1:$H$41</definedName>
  </definedNames>
  <calcPr fullCalcOnLoad="1"/>
</workbook>
</file>

<file path=xl/sharedStrings.xml><?xml version="1.0" encoding="utf-8"?>
<sst xmlns="http://schemas.openxmlformats.org/spreadsheetml/2006/main" count="2511" uniqueCount="1150">
  <si>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</si>
  <si>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</si>
  <si>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</si>
  <si>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</si>
  <si>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</si>
  <si>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</si>
  <si>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</si>
  <si>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</si>
  <si>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</si>
  <si>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</si>
  <si>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</si>
  <si>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</si>
  <si>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</si>
  <si>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</si>
  <si>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</si>
  <si>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</si>
  <si>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</si>
  <si>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</si>
  <si>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</si>
  <si>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</si>
  <si>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</si>
  <si>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</si>
  <si>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</si>
  <si>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</si>
  <si>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</si>
  <si>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</si>
  <si>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</si>
  <si>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</si>
  <si>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</si>
  <si>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</si>
  <si>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</si>
  <si>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</si>
  <si>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</si>
  <si>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</si>
  <si>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</si>
  <si>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</si>
  <si>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</si>
  <si>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</si>
  <si>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</si>
  <si>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</si>
  <si>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</si>
  <si>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</si>
  <si>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</si>
  <si>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</si>
  <si>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</si>
  <si>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</si>
  <si>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</si>
  <si>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</si>
  <si>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</si>
  <si>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</si>
  <si>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</si>
  <si>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</si>
  <si>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</si>
  <si>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</si>
  <si>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</si>
  <si>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</si>
  <si>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</si>
  <si>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</si>
  <si>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</si>
  <si>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</si>
  <si>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</si>
  <si>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</si>
  <si>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</si>
  <si>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</si>
  <si>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</si>
  <si>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</si>
  <si>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</si>
  <si>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</si>
  <si>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</si>
  <si>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</si>
  <si>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</si>
  <si>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</si>
  <si>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</si>
  <si>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</si>
  <si>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</si>
  <si>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</si>
  <si>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</si>
  <si>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</si>
  <si>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</si>
  <si>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</si>
  <si>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</si>
  <si>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</si>
  <si>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</si>
  <si>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</si>
  <si>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</si>
  <si>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</si>
  <si>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</si>
  <si>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</si>
  <si>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</si>
  <si>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</si>
  <si>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</si>
  <si>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</si>
  <si>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</si>
  <si>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</si>
  <si>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</si>
  <si>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</si>
  <si>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</si>
  <si>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</si>
  <si>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</si>
  <si>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</si>
  <si>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</si>
  <si>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</si>
  <si>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</si>
  <si>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</si>
  <si>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</si>
  <si>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</si>
  <si>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</si>
  <si>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</si>
  <si>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</si>
  <si>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</si>
  <si>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</si>
  <si>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</si>
  <si>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</si>
  <si>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</si>
  <si>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</si>
  <si>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</si>
  <si>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</si>
  <si>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</si>
  <si>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</si>
  <si>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</si>
  <si>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</si>
  <si>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</si>
  <si>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</si>
  <si>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</si>
  <si>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</si>
  <si>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</si>
  <si>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</si>
  <si>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</si>
  <si>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</si>
  <si>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</si>
  <si>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</si>
  <si>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</si>
  <si>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</si>
  <si>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</si>
  <si>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</si>
  <si>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</si>
  <si>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</si>
  <si>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</si>
  <si>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</si>
  <si>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</si>
  <si>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</si>
  <si>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</si>
  <si>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</si>
  <si>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</si>
  <si>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</si>
  <si>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</si>
  <si>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</si>
  <si>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</si>
  <si>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</si>
  <si>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</si>
  <si>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</si>
  <si>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</si>
  <si>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</si>
  <si>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</si>
  <si>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</si>
  <si>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</si>
  <si>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</si>
  <si>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</si>
  <si>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</si>
  <si>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</si>
  <si>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</si>
  <si>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</si>
  <si>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</si>
  <si>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</si>
  <si>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</si>
  <si>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</si>
  <si>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</si>
  <si>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</si>
  <si>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</si>
  <si>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</si>
  <si>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</si>
  <si>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</si>
  <si>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</si>
  <si>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</si>
  <si>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</si>
  <si>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</si>
  <si>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</si>
  <si>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</si>
  <si>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</si>
  <si>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</si>
  <si>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</si>
  <si>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</si>
  <si>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</si>
  <si>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</si>
  <si>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</si>
  <si>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</si>
  <si>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</si>
  <si>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</si>
  <si>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</si>
  <si>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</si>
  <si>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</si>
  <si>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</si>
  <si>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</si>
  <si>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</si>
  <si>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</si>
  <si>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</si>
  <si>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</si>
  <si>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</si>
  <si>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</si>
  <si>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</si>
  <si>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</si>
  <si>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</si>
  <si>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</si>
  <si>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</si>
  <si>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</si>
  <si>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</si>
  <si>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</si>
  <si>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</si>
  <si>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</si>
  <si>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</si>
  <si>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</si>
  <si>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</si>
  <si>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</si>
  <si>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</si>
  <si>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</si>
  <si>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</si>
  <si>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</si>
  <si>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</si>
  <si>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</si>
  <si>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</si>
  <si>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Sorszám</t>
  </si>
  <si>
    <t>Bruttó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</si>
  <si>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</si>
  <si>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</si>
  <si>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</si>
  <si>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</si>
  <si>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</si>
  <si>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</si>
  <si>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</si>
  <si>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</si>
  <si>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</si>
  <si>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</si>
  <si>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</si>
  <si>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</si>
  <si>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</si>
  <si>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</si>
  <si>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</si>
  <si>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</si>
  <si>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</si>
  <si>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</si>
  <si>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</si>
  <si>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</si>
  <si>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</si>
  <si>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</si>
  <si>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</si>
  <si>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</si>
  <si>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</si>
  <si>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</si>
  <si>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</si>
  <si>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</si>
  <si>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</si>
  <si>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</si>
  <si>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</si>
  <si>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</si>
  <si>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</si>
  <si>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</si>
  <si>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</si>
  <si>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</si>
  <si>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</si>
  <si>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</si>
  <si>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</si>
  <si>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</si>
  <si>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</si>
  <si>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</si>
  <si>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</si>
  <si>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</si>
  <si>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</si>
  <si>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</si>
  <si>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</si>
  <si>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</si>
  <si>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</si>
  <si>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</si>
  <si>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</si>
  <si>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</si>
  <si>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</si>
  <si>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</si>
  <si>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</si>
  <si>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</si>
  <si>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</si>
  <si>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</si>
  <si>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</si>
  <si>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</si>
  <si>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</si>
  <si>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</si>
  <si>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</si>
  <si>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</si>
  <si>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</si>
  <si>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</si>
  <si>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</si>
  <si>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</si>
  <si>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</si>
  <si>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</si>
  <si>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</si>
  <si>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</si>
  <si>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</si>
  <si>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</si>
  <si>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</si>
  <si>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</si>
  <si>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</si>
  <si>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</si>
  <si>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</si>
  <si>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</si>
  <si>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</si>
  <si>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</si>
  <si>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</si>
  <si>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</si>
  <si>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</si>
  <si>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</si>
  <si>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</si>
  <si>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</si>
  <si>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</si>
  <si>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</si>
  <si>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</si>
  <si>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</si>
  <si>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</si>
  <si>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</si>
  <si>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</si>
  <si>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</si>
  <si>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</si>
  <si>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</si>
  <si>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</si>
  <si>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</si>
  <si>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</si>
  <si>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</si>
  <si>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</si>
  <si>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</si>
  <si>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</si>
  <si>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</si>
  <si>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</si>
  <si>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</si>
  <si>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</si>
  <si>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</si>
  <si>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</si>
  <si>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</si>
  <si>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</si>
  <si>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</si>
  <si>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</si>
  <si>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</si>
  <si>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</si>
  <si>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</si>
  <si>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</si>
  <si>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</si>
  <si>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</si>
  <si>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</si>
  <si>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</si>
  <si>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</si>
  <si>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</si>
  <si>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</si>
  <si>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</si>
  <si>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</si>
  <si>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</si>
  <si>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</si>
  <si>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</si>
  <si>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</si>
  <si>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</si>
  <si>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</si>
  <si>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</si>
  <si>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</si>
  <si>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</si>
  <si>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</si>
  <si>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</si>
  <si>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</si>
  <si>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</si>
  <si>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</si>
  <si>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</si>
  <si>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</si>
  <si>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</si>
  <si>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</si>
  <si>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</si>
  <si>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</si>
  <si>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</si>
  <si>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</si>
  <si>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</si>
  <si>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</si>
  <si>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</si>
  <si>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</si>
  <si>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</si>
  <si>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</si>
  <si>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</si>
  <si>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</si>
  <si>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</si>
  <si>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</si>
  <si>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</si>
  <si>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</si>
  <si>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</si>
  <si>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</si>
  <si>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</si>
  <si>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</si>
  <si>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</si>
  <si>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</si>
  <si>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</si>
  <si>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</si>
  <si>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</si>
  <si>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</si>
  <si>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</si>
  <si>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</si>
  <si>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</si>
  <si>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</si>
  <si>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</si>
  <si>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</si>
  <si>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</si>
  <si>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</si>
  <si>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</si>
  <si>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</si>
  <si>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</si>
  <si>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</si>
  <si>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</si>
  <si>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</si>
  <si>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</si>
  <si>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</si>
  <si>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</si>
  <si>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</si>
  <si>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</si>
  <si>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</si>
  <si>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</si>
  <si>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</si>
  <si>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</si>
  <si>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</si>
  <si>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</si>
  <si>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</si>
  <si>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</si>
  <si>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</si>
  <si>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</si>
  <si>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</si>
  <si>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</si>
  <si>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</si>
  <si>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</si>
  <si>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</si>
  <si>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</si>
  <si>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</si>
  <si>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</si>
  <si>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</si>
  <si>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</si>
  <si>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</si>
  <si>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</si>
  <si>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</si>
  <si>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</si>
  <si>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</si>
  <si>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</si>
  <si>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</si>
  <si>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</si>
  <si>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</si>
  <si>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</si>
  <si>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</si>
  <si>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</si>
  <si>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</si>
  <si>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</si>
  <si>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</si>
  <si>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</si>
  <si>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</si>
  <si>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</si>
  <si>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</si>
  <si>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</si>
  <si>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</si>
  <si>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</si>
  <si>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</si>
  <si>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</si>
  <si>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</si>
  <si>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</si>
  <si>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</si>
  <si>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</si>
  <si>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</si>
  <si>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</si>
  <si>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</si>
  <si>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</si>
  <si>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</si>
  <si>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</si>
  <si>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</si>
  <si>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</si>
  <si>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</si>
  <si>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B </t>
  </si>
  <si>
    <t>H=(D+…+G)</t>
  </si>
  <si>
    <t>I=(C+H)</t>
  </si>
  <si>
    <t>IV. Koncesszióba, vagyonkezelésbe adott eszközök</t>
  </si>
  <si>
    <t>I. Készletek</t>
  </si>
  <si>
    <t>II. Értékpapírok</t>
  </si>
  <si>
    <t>I. Lekötött bankbetétek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</si>
  <si>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</si>
  <si>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</si>
  <si>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</si>
  <si>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</si>
  <si>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</si>
  <si>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</si>
  <si>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I. Nemzeti vagyon induláskori értéke</t>
  </si>
  <si>
    <t>II. Nemzeti vagyon változásai</t>
  </si>
  <si>
    <t>III. Egyéb eszközök induláskori értéke és változásai</t>
  </si>
  <si>
    <t>V. Eszközök értékhelyesbítésének forrása</t>
  </si>
  <si>
    <t>VI. Mérleg szerinti eredmény</t>
  </si>
  <si>
    <t>II. Költségvetési évet követően esedékes kötelezettségek</t>
  </si>
  <si>
    <t>III. Kötelezettség jellegű sajátos elszámolások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</si>
  <si>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</si>
  <si>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</si>
  <si>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</si>
  <si>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</si>
  <si>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</si>
  <si>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</si>
  <si>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</si>
  <si>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</si>
  <si>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</si>
  <si>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</si>
  <si>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</si>
  <si>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</si>
  <si>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J=(F+…+I)</t>
  </si>
  <si>
    <t>Készletek</t>
  </si>
  <si>
    <t>I. Költségvetési évben esedékes kötelezettségek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</si>
  <si>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</si>
  <si>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</si>
  <si>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</si>
  <si>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</si>
  <si>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</si>
  <si>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</si>
  <si>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</si>
  <si>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</si>
  <si>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</si>
  <si>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</si>
  <si>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</si>
  <si>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</si>
  <si>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</si>
  <si>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</si>
  <si>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</si>
  <si>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</si>
  <si>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</si>
  <si>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</si>
  <si>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</si>
  <si>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</si>
  <si>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</si>
  <si>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</si>
  <si>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</si>
  <si>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</si>
  <si>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</si>
  <si>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</si>
  <si>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</si>
  <si>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</si>
  <si>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</si>
  <si>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</si>
  <si>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</si>
  <si>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</si>
  <si>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</si>
  <si>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</si>
  <si>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</si>
  <si>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</si>
  <si>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</si>
  <si>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</si>
  <si>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</si>
  <si>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</si>
  <si>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</si>
  <si>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</si>
  <si>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</si>
  <si>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</si>
  <si>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</si>
  <si>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</si>
  <si>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</si>
  <si>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</si>
  <si>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</si>
  <si>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</si>
  <si>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</si>
  <si>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</si>
  <si>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</si>
  <si>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</si>
  <si>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</si>
  <si>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</si>
  <si>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</si>
  <si>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</si>
  <si>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</si>
  <si>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</si>
  <si>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</si>
  <si>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</si>
  <si>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</si>
  <si>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</si>
  <si>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</si>
  <si>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</si>
  <si>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</si>
  <si>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</si>
  <si>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</si>
  <si>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</si>
  <si>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</si>
  <si>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</si>
  <si>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</si>
  <si>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</si>
  <si>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</si>
  <si>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</si>
  <si>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</si>
  <si>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</si>
  <si>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</si>
  <si>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</si>
  <si>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Tengelici Polgármesteri Hivatal</t>
  </si>
  <si>
    <t>Tengelic Község Önkormányzata</t>
  </si>
  <si>
    <t>Tengelici Mézeskalács Óvoda</t>
  </si>
  <si>
    <t>működési támogatás</t>
  </si>
  <si>
    <t>Tengelic SE</t>
  </si>
  <si>
    <t>Rollecate Kétilabda SE</t>
  </si>
  <si>
    <t>Felnövekvő Nemzedékért Alapítvány</t>
  </si>
  <si>
    <t>Horgász Egyesület</t>
  </si>
  <si>
    <t>Polgárőr Egyesület Tengelic</t>
  </si>
  <si>
    <t>Tengelic Szőlőhegyért Egyesület</t>
  </si>
  <si>
    <t>Tengelic Községért Alapítvány</t>
  </si>
  <si>
    <t>3T Civil Szervezet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</si>
  <si>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</si>
  <si>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</si>
  <si>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</si>
  <si>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</si>
  <si>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</si>
  <si>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</si>
  <si>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</si>
  <si>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</si>
  <si>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</si>
  <si>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</si>
  <si>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</si>
  <si>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</si>
  <si>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Nyitó pénzkészlet</t>
  </si>
  <si>
    <t>-----</t>
  </si>
  <si>
    <t>B11</t>
  </si>
  <si>
    <t>Működési célú támogatások ÁH-on belül</t>
  </si>
  <si>
    <t>B15-16</t>
  </si>
  <si>
    <t>Felhalmozási célú támogatások ÁH-on belül</t>
  </si>
  <si>
    <t>B2</t>
  </si>
  <si>
    <t>B3</t>
  </si>
  <si>
    <t>Működési bevételek</t>
  </si>
  <si>
    <t>B4</t>
  </si>
  <si>
    <t>B5</t>
  </si>
  <si>
    <t>B6</t>
  </si>
  <si>
    <t>B7</t>
  </si>
  <si>
    <t>Finanszírozási bevételek</t>
  </si>
  <si>
    <t>B8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</si>
  <si>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</si>
  <si>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</si>
  <si>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</si>
  <si>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</si>
  <si>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</si>
  <si>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</si>
  <si>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</si>
  <si>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</si>
  <si>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</si>
  <si>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Finanszírozási kiadások</t>
  </si>
  <si>
    <t>K9</t>
  </si>
  <si>
    <t>Egyenleg (10-23)</t>
  </si>
  <si>
    <t>Dunaág Kft</t>
  </si>
  <si>
    <t>Mezőföldvíz Kft</t>
  </si>
  <si>
    <t>Re-víz Dunamenti Kft</t>
  </si>
  <si>
    <t>Működési célú költségvetési támogatások és kiegészítő támogatások</t>
  </si>
  <si>
    <t>Elszámolásból származó bevételek</t>
  </si>
  <si>
    <t>2018.</t>
  </si>
  <si>
    <t>Forintban</t>
  </si>
  <si>
    <t xml:space="preserve"> Forintban !</t>
  </si>
  <si>
    <t>Forintban !</t>
  </si>
  <si>
    <t>2019.</t>
  </si>
  <si>
    <t>Forintban!</t>
  </si>
  <si>
    <t>Terv</t>
  </si>
  <si>
    <t>elt</t>
  </si>
  <si>
    <t>Tengelici Borostyán Nyugdíjas Egyesület</t>
  </si>
  <si>
    <t>2017. évi teljesítés</t>
  </si>
  <si>
    <t>Óvoda felújítás</t>
  </si>
  <si>
    <t>2020.</t>
  </si>
  <si>
    <t>2020. után</t>
  </si>
  <si>
    <t>II. Fizetendő általános forgalmi adó elszámolása</t>
  </si>
  <si>
    <t>Nefela Egyesülés</t>
  </si>
  <si>
    <t>sor-szám</t>
  </si>
  <si>
    <t>2018. évi költségvetés</t>
  </si>
  <si>
    <t>2018. évi módosított előirányzat</t>
  </si>
  <si>
    <t>Teljesítés 12.31</t>
  </si>
  <si>
    <t xml:space="preserve">Teljesítés %-ban   </t>
  </si>
  <si>
    <t>I.</t>
  </si>
  <si>
    <t xml:space="preserve">A települési önkormányzatok általános működésének támogatása </t>
  </si>
  <si>
    <t>2017. évről áthúzódó bérkompenzáció támogatása</t>
  </si>
  <si>
    <t>II.</t>
  </si>
  <si>
    <t>Óvodapedagógusok és az óvodapedagógusok nevelő munkáját közvetlenül segítők bértámogatása</t>
  </si>
  <si>
    <t>Óvodaműködtetési támogatás</t>
  </si>
  <si>
    <t>Köznevelési feladatok összesen:</t>
  </si>
  <si>
    <t>III.</t>
  </si>
  <si>
    <t>Szociális feladatok egyéb támogatása</t>
  </si>
  <si>
    <t>Gyermek étkeztetés támogatása</t>
  </si>
  <si>
    <t>A szociális ágazati összevont pótlék</t>
  </si>
  <si>
    <t>Önkormányzatok szociális és gyermekjóléti feladatainak támogatása összesen:</t>
  </si>
  <si>
    <t>IV.</t>
  </si>
  <si>
    <t>Könyvtári, közművelődési és múzeumi feladatok támogatása</t>
  </si>
  <si>
    <t>Önkormányzatok kulturális feladatainak támogatása összesen:</t>
  </si>
  <si>
    <t>I. Működési célú támogatások</t>
  </si>
  <si>
    <t>Közszférában dolgozók bérkompenzációja</t>
  </si>
  <si>
    <t>Rezsicsökkentésben nem részesülők támogatása</t>
  </si>
  <si>
    <t xml:space="preserve">I. 1. </t>
  </si>
  <si>
    <t>I. Működési célú támogatások összesen:</t>
  </si>
  <si>
    <t>II. Felhalmozási célú támogatások</t>
  </si>
  <si>
    <t xml:space="preserve">II.1. </t>
  </si>
  <si>
    <t>Fejlesztési célú központi támogatás összesen:</t>
  </si>
  <si>
    <t>I-II. Mindösszesen: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</si>
  <si>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</si>
  <si>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</si>
  <si>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</si>
  <si>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</si>
  <si>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</si>
  <si>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</si>
  <si>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</si>
  <si>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</si>
  <si>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11.</t>
  </si>
  <si>
    <t xml:space="preserve"> 12.</t>
  </si>
  <si>
    <t xml:space="preserve"> 13.</t>
  </si>
  <si>
    <t xml:space="preserve"> 14.</t>
  </si>
  <si>
    <t xml:space="preserve">I. </t>
  </si>
  <si>
    <t>Működési célú pénzeszköz átvétel államháztartáson kívülről</t>
  </si>
  <si>
    <t xml:space="preserve"> 1.</t>
  </si>
  <si>
    <t>Működési célú pénzeszköz átvétel államháztartáson kívülről összesen:</t>
  </si>
  <si>
    <t>I-II.</t>
  </si>
  <si>
    <t xml:space="preserve"> Működési célú támogatásértékű bevételek és átvett</t>
  </si>
  <si>
    <t>pénzeszközök összesen:</t>
  </si>
  <si>
    <t>Felhalmozási célú támogatásértékű bevételek összesen:</t>
  </si>
  <si>
    <t>Felhalmozási célú pénzeszközök államháztartáson kívülről</t>
  </si>
  <si>
    <t>Felhalmozási célú pénzeszközök államháztartáson kívülről összesen:</t>
  </si>
  <si>
    <t>III.-IV. Felhalm.célú támogatás értékű bevételek és átvett pénzeszközök összesen:</t>
  </si>
  <si>
    <t>V.</t>
  </si>
  <si>
    <t>Működési célú támogatási kölcsönök visszatérülése</t>
  </si>
  <si>
    <t>Működési célú támogatási kölcsönök visszatérülése összesen:</t>
  </si>
  <si>
    <t>VI.</t>
  </si>
  <si>
    <t>Felhalmozási célú támogatási kölcsönök visszatérülése</t>
  </si>
  <si>
    <t>Felhalmozási célú támogatási kölcsönök visszatérülése összesen:</t>
  </si>
  <si>
    <t>V.-VI. Támogatási kölcsönök visszatérülése összesen:</t>
  </si>
  <si>
    <t>I-VI.mindösszesen:</t>
  </si>
  <si>
    <t xml:space="preserve"> </t>
  </si>
  <si>
    <t>Közszférában foglalkoztatottak  létszáma</t>
  </si>
  <si>
    <t>Cím</t>
  </si>
  <si>
    <t>Al-</t>
  </si>
  <si>
    <t>Cím és alcím megnevezése</t>
  </si>
  <si>
    <t>sz.</t>
  </si>
  <si>
    <t>cím</t>
  </si>
  <si>
    <t>Önállóan működő és gazdálkodó és</t>
  </si>
  <si>
    <t>önállóan működő költségvetési szervek</t>
  </si>
  <si>
    <t>előirányzat</t>
  </si>
  <si>
    <t>%-a</t>
  </si>
  <si>
    <t>Kiemelt előirányzat</t>
  </si>
  <si>
    <t>Ebből:</t>
  </si>
  <si>
    <t>Szociálpolitikai feladatok</t>
  </si>
  <si>
    <t>Központi támogatás</t>
  </si>
  <si>
    <t>Saját forrás</t>
  </si>
  <si>
    <t xml:space="preserve">Mód.  </t>
  </si>
  <si>
    <t>Telj.</t>
  </si>
  <si>
    <t>Mód.</t>
  </si>
  <si>
    <t>Mód.új</t>
  </si>
  <si>
    <t>Eltérés</t>
  </si>
  <si>
    <t xml:space="preserve"> ei.</t>
  </si>
  <si>
    <t>12.31.</t>
  </si>
  <si>
    <t>ei.</t>
  </si>
  <si>
    <t>(+,-)</t>
  </si>
  <si>
    <t xml:space="preserve">Képviselő testületi hatáskörbe tartozó jogcímek </t>
  </si>
  <si>
    <t>1, 6</t>
  </si>
  <si>
    <t>1, 7</t>
  </si>
  <si>
    <t>Települési támogatás/lakásfenntartási támogatás</t>
  </si>
  <si>
    <t>1, 8</t>
  </si>
  <si>
    <t>1, 9</t>
  </si>
  <si>
    <t>1, 10</t>
  </si>
  <si>
    <t>1, 11</t>
  </si>
  <si>
    <t>1, 12</t>
  </si>
  <si>
    <t>1, 13</t>
  </si>
  <si>
    <t>1, 14</t>
  </si>
  <si>
    <t>1, 15</t>
  </si>
  <si>
    <t>Köztemetés</t>
  </si>
  <si>
    <t>1, 16</t>
  </si>
  <si>
    <t>1, 17</t>
  </si>
  <si>
    <t>1, 18</t>
  </si>
  <si>
    <t>1, 19</t>
  </si>
  <si>
    <t>1, 20</t>
  </si>
  <si>
    <t>Önkormányzat szociálpolitikai kifizetések összesen:</t>
  </si>
  <si>
    <t>Jegyzői hatáskörbe tartozó jogcímek</t>
  </si>
  <si>
    <t>2,1</t>
  </si>
  <si>
    <t>Rendszeres gyermekvédelmi kedvezményhez kapcsolódó egyszeri kiegészítés (Erzsébet utalvány)</t>
  </si>
  <si>
    <t>2,2</t>
  </si>
  <si>
    <t>2,3</t>
  </si>
  <si>
    <t>Polgármesteri Hivatal szociálpolitikai kifizetések összesen:</t>
  </si>
  <si>
    <t>Szociálpolitikai kiadások összesen</t>
  </si>
  <si>
    <t>Záró</t>
  </si>
  <si>
    <t>Követelés jellegű</t>
  </si>
  <si>
    <t>Egyéb sajátos</t>
  </si>
  <si>
    <t xml:space="preserve">Kötelezettség jell. </t>
  </si>
  <si>
    <t>Aktív és</t>
  </si>
  <si>
    <t>Tárgyévi</t>
  </si>
  <si>
    <t>Alaptevékenység</t>
  </si>
  <si>
    <t>pénz-</t>
  </si>
  <si>
    <t>sajátos elsz.</t>
  </si>
  <si>
    <t xml:space="preserve">eszközoldali </t>
  </si>
  <si>
    <t>sajátos elszám.</t>
  </si>
  <si>
    <t>passzív</t>
  </si>
  <si>
    <t>maradvány</t>
  </si>
  <si>
    <t xml:space="preserve">költségvetési </t>
  </si>
  <si>
    <t xml:space="preserve">finanszírozási </t>
  </si>
  <si>
    <t>maradványa</t>
  </si>
  <si>
    <t>Költségvetési szervek</t>
  </si>
  <si>
    <t>készlet</t>
  </si>
  <si>
    <t>(adott előlegek)</t>
  </si>
  <si>
    <t>elszámolások</t>
  </si>
  <si>
    <t>Kapott előlegek</t>
  </si>
  <si>
    <t>pü. elsz.</t>
  </si>
  <si>
    <t>bevételei</t>
  </si>
  <si>
    <t>kiadásai</t>
  </si>
  <si>
    <t>egyenlege</t>
  </si>
  <si>
    <t>(-)243</t>
  </si>
  <si>
    <t>összesen</t>
  </si>
  <si>
    <t xml:space="preserve">1251. Intézmény  gazdálkodás - szektor </t>
  </si>
  <si>
    <t>1254. Önkormányzati gazdálkodás- szektor</t>
  </si>
  <si>
    <t>Mindösszesen</t>
  </si>
  <si>
    <t>Tárgyi eszközök és</t>
  </si>
  <si>
    <t>Nettó értékből</t>
  </si>
  <si>
    <t>Befektetett</t>
  </si>
  <si>
    <t>Koncesszióba</t>
  </si>
  <si>
    <t>Nemzeti</t>
  </si>
  <si>
    <t>Forgóeszközök</t>
  </si>
  <si>
    <t>Pénz-</t>
  </si>
  <si>
    <t>Követe-</t>
  </si>
  <si>
    <t>Aktív</t>
  </si>
  <si>
    <t>Eszközök</t>
  </si>
  <si>
    <t>immateriális javak</t>
  </si>
  <si>
    <t>Immateriális</t>
  </si>
  <si>
    <t>Tárgyi eszközök</t>
  </si>
  <si>
    <t>pénzügyi</t>
  </si>
  <si>
    <t>vagyonkez.-be</t>
  </si>
  <si>
    <t>vagyonba</t>
  </si>
  <si>
    <t>Érték-</t>
  </si>
  <si>
    <t>eszközök</t>
  </si>
  <si>
    <t>lések</t>
  </si>
  <si>
    <t>elszámo-</t>
  </si>
  <si>
    <t>időbeli</t>
  </si>
  <si>
    <t>mind-</t>
  </si>
  <si>
    <t>bruttó</t>
  </si>
  <si>
    <t>nettó</t>
  </si>
  <si>
    <t>javak</t>
  </si>
  <si>
    <t>Ingatlanok</t>
  </si>
  <si>
    <t>Gépek,</t>
  </si>
  <si>
    <t>Beruhá-</t>
  </si>
  <si>
    <t>adott</t>
  </si>
  <si>
    <t>tartozó</t>
  </si>
  <si>
    <t>papírok</t>
  </si>
  <si>
    <t>lások</t>
  </si>
  <si>
    <t>elhatárolások</t>
  </si>
  <si>
    <t>érték</t>
  </si>
  <si>
    <t>és kapcsolódó</t>
  </si>
  <si>
    <t>berendezések</t>
  </si>
  <si>
    <t>zások,</t>
  </si>
  <si>
    <t>befektetett</t>
  </si>
  <si>
    <t>forgó-</t>
  </si>
  <si>
    <t>vagyoni</t>
  </si>
  <si>
    <t>felszerelések,</t>
  </si>
  <si>
    <t>felújítások</t>
  </si>
  <si>
    <t>értékű jogok</t>
  </si>
  <si>
    <t>járművek</t>
  </si>
  <si>
    <t>Saját</t>
  </si>
  <si>
    <t>Kötelezettségek</t>
  </si>
  <si>
    <t>Kincstári</t>
  </si>
  <si>
    <t>Passzív</t>
  </si>
  <si>
    <t>Ell.</t>
  </si>
  <si>
    <t>tőke</t>
  </si>
  <si>
    <t>Költségvetési</t>
  </si>
  <si>
    <t>Kötelezettség</t>
  </si>
  <si>
    <t>Kötele-</t>
  </si>
  <si>
    <t>számlavezetéssel</t>
  </si>
  <si>
    <t>szám</t>
  </si>
  <si>
    <t>évben</t>
  </si>
  <si>
    <t>évet követően</t>
  </si>
  <si>
    <t>jellegű</t>
  </si>
  <si>
    <t>zettségek</t>
  </si>
  <si>
    <t>kapcsolatos</t>
  </si>
  <si>
    <t>esedékes</t>
  </si>
  <si>
    <t>Tárgyévet megelőző kiadások</t>
  </si>
  <si>
    <t xml:space="preserve">2018. évi terv </t>
  </si>
  <si>
    <t>Európai Uniós pályázati támogatás összesen:</t>
  </si>
  <si>
    <t>Kiadás</t>
  </si>
  <si>
    <t>Egyéb hozzájárulás</t>
  </si>
  <si>
    <t>ebből: 2018. évi ütem</t>
  </si>
  <si>
    <t>Mód. új</t>
  </si>
  <si>
    <t>Teljesítés 12.31.</t>
  </si>
  <si>
    <t>2018. évi teljesítés %-a</t>
  </si>
  <si>
    <t>Teljesítés %-a</t>
  </si>
  <si>
    <t>Forrása</t>
  </si>
  <si>
    <t>tény</t>
  </si>
  <si>
    <t>ei</t>
  </si>
  <si>
    <t>áthúzódó</t>
  </si>
  <si>
    <t>2018.  ütem</t>
  </si>
  <si>
    <t>műk.</t>
  </si>
  <si>
    <t>Fejl.</t>
  </si>
  <si>
    <t xml:space="preserve">2018. törvény </t>
  </si>
  <si>
    <t>2018. elszámolás</t>
  </si>
  <si>
    <t>különbség</t>
  </si>
  <si>
    <t>index</t>
  </si>
  <si>
    <t>megjegyzés</t>
  </si>
  <si>
    <r>
      <t>feladatmutató                 (fő, db,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</si>
  <si>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Ft/mutató (2018)</t>
  </si>
  <si>
    <t>összeg (Ft) (2018)</t>
  </si>
  <si>
    <t>9=8-5</t>
  </si>
  <si>
    <t>10=8/5</t>
  </si>
  <si>
    <t>2/I.1.a</t>
  </si>
  <si>
    <t>Önkormányzati hivatal működésének támogatása</t>
  </si>
  <si>
    <t>2/I.1.ba</t>
  </si>
  <si>
    <t>zöldterület gazdálkodás</t>
  </si>
  <si>
    <t>2/I.1.bb</t>
  </si>
  <si>
    <t>közvilágítás fenntartása</t>
  </si>
  <si>
    <t>2/I.1.bc</t>
  </si>
  <si>
    <t>köztemető fenntartása</t>
  </si>
  <si>
    <t>2/I.1.bd</t>
  </si>
  <si>
    <t>közutak fenntartása</t>
  </si>
  <si>
    <t>2/I.1.b</t>
  </si>
  <si>
    <t>Település üzemeltetéshez kapcsolódó feladatellátás tám. összesen</t>
  </si>
  <si>
    <t>2/I.1.c</t>
  </si>
  <si>
    <t>egyéb önkormányzati feladatok</t>
  </si>
  <si>
    <t>2/I.1.d</t>
  </si>
  <si>
    <t>Lakott külterülettel kapcsolatos feladatok</t>
  </si>
  <si>
    <t>2/I.1.e</t>
  </si>
  <si>
    <t xml:space="preserve">Üdülőhelyi feladatok </t>
  </si>
  <si>
    <t>2/V.</t>
  </si>
  <si>
    <t>Iparűzési adóalap beszámítása</t>
  </si>
  <si>
    <t>2/I. összesen</t>
  </si>
  <si>
    <t>HELYI ÖNKORMÁNYZATOK ÁLTALÁNOS MŰKÖDÉSÉNEK TÁMOGATÁSA beszámítás után:</t>
  </si>
  <si>
    <t>2/I.6</t>
  </si>
  <si>
    <t>Polgármesteri illetmény támogatása</t>
  </si>
  <si>
    <t>HELYI ÖNKORMÁNYZATOK ÁLTALÁNOS MŰKÖDÉSÉNEK TÁMOGATÁSA ÖSSZESEN:</t>
  </si>
  <si>
    <t>2/II.1.</t>
  </si>
  <si>
    <t>óvodapedagógusok bére 8 hónap</t>
  </si>
  <si>
    <r>
      <t xml:space="preserve">közvetlen segítők bére 8 hónap </t>
    </r>
    <r>
      <rPr>
        <b/>
        <sz val="9"/>
        <rFont val="Arial"/>
        <family val="2"/>
      </rPr>
      <t>nem ped.</t>
    </r>
    <r>
      <rPr>
        <sz val="9"/>
        <rFont val="Arial"/>
        <family val="2"/>
      </rPr>
      <t>végzettségű</t>
    </r>
  </si>
  <si>
    <t>óvodapedagógusok  bére 4 hónap</t>
  </si>
  <si>
    <r>
      <t xml:space="preserve">közvetlen segítők bére 4 hónap </t>
    </r>
    <r>
      <rPr>
        <b/>
        <sz val="9"/>
        <rFont val="Arial"/>
        <family val="2"/>
      </rPr>
      <t>nem ped.</t>
    </r>
    <r>
      <rPr>
        <sz val="9"/>
        <rFont val="Arial"/>
        <family val="2"/>
      </rPr>
      <t>végzettségű</t>
    </r>
  </si>
  <si>
    <r>
      <t>közvetlen segítők bére 4 hónap</t>
    </r>
    <r>
      <rPr>
        <b/>
        <sz val="9"/>
        <rFont val="Arial"/>
        <family val="2"/>
      </rPr>
      <t xml:space="preserve"> ped</t>
    </r>
    <r>
      <rPr>
        <sz val="9"/>
        <rFont val="Arial"/>
        <family val="2"/>
      </rPr>
      <t>.végzettségű</t>
    </r>
  </si>
  <si>
    <t>2/II.4.a(1)</t>
  </si>
  <si>
    <r>
      <t>óvodapedagógusok minősítéséből adódó többletkiadások: alapfokú Pedagógus II.</t>
    </r>
    <r>
      <rPr>
        <b/>
        <sz val="9"/>
        <rFont val="Arial"/>
        <family val="2"/>
      </rPr>
      <t xml:space="preserve"> </t>
    </r>
  </si>
  <si>
    <t>2/II.4.b(1)</t>
  </si>
  <si>
    <r>
      <t xml:space="preserve">óvodapedagógusok minősítéséből adódó többletkiadások: alapfokú Pedagógus II. </t>
    </r>
    <r>
      <rPr>
        <b/>
        <sz val="9"/>
        <rFont val="Arial"/>
        <family val="2"/>
      </rPr>
      <t>2017</t>
    </r>
    <r>
      <rPr>
        <sz val="9"/>
        <rFont val="Arial"/>
        <family val="2"/>
      </rPr>
      <t xml:space="preserve">. évben </t>
    </r>
    <r>
      <rPr>
        <b/>
        <sz val="9"/>
        <rFont val="Arial"/>
        <family val="2"/>
      </rPr>
      <t>minősített</t>
    </r>
  </si>
  <si>
    <t>2/II.4.a(2)</t>
  </si>
  <si>
    <r>
      <t xml:space="preserve">óvodapedagógusok minősítéséből adódó többletkiadások: alapfokú Mesterpedagógus </t>
    </r>
    <r>
      <rPr>
        <b/>
        <sz val="9"/>
        <rFont val="Arial"/>
        <family val="2"/>
      </rPr>
      <t>2016</t>
    </r>
    <r>
      <rPr>
        <sz val="9"/>
        <rFont val="Arial"/>
        <family val="2"/>
      </rPr>
      <t>. évben besorolt</t>
    </r>
  </si>
  <si>
    <t>2/II.4.b(2)</t>
  </si>
  <si>
    <r>
      <t xml:space="preserve">óvodapedagógusok minősítéséből adódó többletkiadások: alapfokú Mesterpedagógus </t>
    </r>
    <r>
      <rPr>
        <b/>
        <sz val="9"/>
        <rFont val="Arial"/>
        <family val="2"/>
      </rPr>
      <t>2017</t>
    </r>
    <r>
      <rPr>
        <sz val="9"/>
        <rFont val="Arial"/>
        <family val="2"/>
      </rPr>
      <t>. évben besorolt</t>
    </r>
  </si>
  <si>
    <t>2/II.4.a(4)</t>
  </si>
  <si>
    <r>
      <t xml:space="preserve">óvodapedagógusok minősítéséből adódó többletkiadások: Mesterfokozatú Mesterpedagógus </t>
    </r>
    <r>
      <rPr>
        <b/>
        <sz val="9"/>
        <rFont val="Arial"/>
        <family val="2"/>
      </rPr>
      <t xml:space="preserve"> 2017</t>
    </r>
    <r>
      <rPr>
        <sz val="9"/>
        <rFont val="Arial"/>
        <family val="2"/>
      </rPr>
      <t>. évben besorolt</t>
    </r>
  </si>
  <si>
    <t>2/II.4.b(4)</t>
  </si>
  <si>
    <r>
      <t xml:space="preserve">óvodapedagógusok minősítéséből adódó többletkiadások: alapfokú Mesterpedagógus </t>
    </r>
    <r>
      <rPr>
        <b/>
        <sz val="9"/>
        <rFont val="Arial"/>
        <family val="2"/>
      </rPr>
      <t>2017</t>
    </r>
    <r>
      <rPr>
        <sz val="9"/>
        <rFont val="Arial"/>
        <family val="2"/>
      </rPr>
      <t xml:space="preserve">. évben </t>
    </r>
    <r>
      <rPr>
        <b/>
        <sz val="9"/>
        <rFont val="Arial"/>
        <family val="2"/>
      </rPr>
      <t>minősített</t>
    </r>
  </si>
  <si>
    <t>Óvoda bértámogatás összesen:</t>
  </si>
  <si>
    <t>2/II.2.a</t>
  </si>
  <si>
    <t>óvodaműködtetési alaptámogatás</t>
  </si>
  <si>
    <t>Óvodaműködtetési támogatás összesen:</t>
  </si>
  <si>
    <t>2/II. összesen</t>
  </si>
  <si>
    <t>EGYES KÖZNEVELÉSI FELADATOK TÁMOGATÁSA:</t>
  </si>
  <si>
    <t>2/III.2</t>
  </si>
  <si>
    <t>2/III.3.c</t>
  </si>
  <si>
    <t>szociális étkezés</t>
  </si>
  <si>
    <t>közösségi elllátások összesen</t>
  </si>
  <si>
    <t>2/III.5.a</t>
  </si>
  <si>
    <t>étkeztetés elismert dolgozók bértámogatása</t>
  </si>
  <si>
    <t>2/III.5.b</t>
  </si>
  <si>
    <t>étkezés üzemeltetési támogatása</t>
  </si>
  <si>
    <t>2/III.6</t>
  </si>
  <si>
    <t>A rászoruló gyermekek intézményen kívüli szünidei étkeztetésének támogatása</t>
  </si>
  <si>
    <t>étkeztetés összesen</t>
  </si>
  <si>
    <t>2/III.7.a</t>
  </si>
  <si>
    <t>felsőfokú v. kisgyermeknevelők bértámogatása</t>
  </si>
  <si>
    <t>dajkák, középfokú v. kisgyermeknevelők tám.</t>
  </si>
  <si>
    <t>2/III.7.b</t>
  </si>
  <si>
    <t>Bölcsődei üzemeltetési ellátás</t>
  </si>
  <si>
    <t>bölcsődei ellátás összesen:</t>
  </si>
  <si>
    <t>Szoc. és gyermekjóléti alapszolg. feladatok összesen</t>
  </si>
  <si>
    <t>2/III.1.</t>
  </si>
  <si>
    <t>Szociális ágazati összevont pótlék</t>
  </si>
  <si>
    <t>Szociális ágazatban dolgozók eü pótléka</t>
  </si>
  <si>
    <t>III. összesen</t>
  </si>
  <si>
    <t xml:space="preserve">ÖNKORMÁNYZATOK SZOCIÁLIS ÉS GYERMEKJÓLÉTI FELADATAINAK TÁMOGATÁSA </t>
  </si>
  <si>
    <t>2/I-III., IX. össz</t>
  </si>
  <si>
    <t>I-IX. FELADATOK ÖSSZESEN</t>
  </si>
  <si>
    <t>2/IV.1.b</t>
  </si>
  <si>
    <t>megyei könyvtárak támogatása</t>
  </si>
  <si>
    <t>2/IV.1.c</t>
  </si>
  <si>
    <t>megyeszékhely megyei jogú városok közművelődési tám.</t>
  </si>
  <si>
    <t>2/IV.1.ha</t>
  </si>
  <si>
    <t>kistelepülési könyvtári kieg. tám. 1000 fő alatti településsel</t>
  </si>
  <si>
    <t>2/IV.1.hb</t>
  </si>
  <si>
    <t>kistelepülési könyvtári kieg. tám. 1001-1500 fős településsel</t>
  </si>
  <si>
    <t>2/IV.1.hc</t>
  </si>
  <si>
    <t>kistelepülési könyvtári kieg. tám. 1501-5000 fős településsel</t>
  </si>
  <si>
    <t>Könyvtár támogatása összesen:</t>
  </si>
  <si>
    <t>2/IV. össz</t>
  </si>
  <si>
    <t>A TELEPÜLÉSI ÖNKORMÁNYZATOK KULTURÁLIS FELADATAINAK TÁMOGATÁSA ÖSSZESEN:</t>
  </si>
  <si>
    <t>Felmérésben szereplő támogatások</t>
  </si>
  <si>
    <t>Az önkormányzat támogatásai össz.</t>
  </si>
  <si>
    <t>2018. évi kompenzáció</t>
  </si>
  <si>
    <t>2017-ről áthúzódó bérkompenzáció</t>
  </si>
  <si>
    <t>2017.</t>
  </si>
  <si>
    <t>Index</t>
  </si>
  <si>
    <t>(nettó érték)</t>
  </si>
  <si>
    <t>(%)</t>
  </si>
  <si>
    <t>2017=100 %</t>
  </si>
  <si>
    <t>A) Nemzeti vagyonba tartozó befektetett eszközök</t>
  </si>
  <si>
    <t>G) Saját tőke</t>
  </si>
  <si>
    <t>I. Immateriális javak</t>
  </si>
  <si>
    <t>II. Tárgyi eszközök</t>
  </si>
  <si>
    <t xml:space="preserve">    1. Ingatlanok és kapcsolódó vagyoni értékű jogok</t>
  </si>
  <si>
    <t xml:space="preserve">    2. Gépek, berendezések, felszerelések, járművek</t>
  </si>
  <si>
    <t>IV. Felhalmozott erdemény</t>
  </si>
  <si>
    <t xml:space="preserve">    3. Tenyészállatok</t>
  </si>
  <si>
    <t xml:space="preserve">    4. Beruházások, felújítások</t>
  </si>
  <si>
    <t xml:space="preserve">    5. Tárgyi eszközök értékhelyesbítése</t>
  </si>
  <si>
    <t>III. Befektetett pénzügyi eszközök</t>
  </si>
  <si>
    <t>H) Kötelezettségek</t>
  </si>
  <si>
    <t xml:space="preserve">    1. Tartós részesedések</t>
  </si>
  <si>
    <t xml:space="preserve">    2. Tartós hitelviszonyt megtestesítő értékpapírok</t>
  </si>
  <si>
    <t xml:space="preserve">    3. Befektetett pénzügyi eszközök</t>
  </si>
  <si>
    <t>I) Kincstári számlavezetéssel kapcsolatos elszámolások</t>
  </si>
  <si>
    <t>B) Nemzeti vagyonba tartozó forgóeszközök</t>
  </si>
  <si>
    <t>J) Passzív időbeli elhatárolások</t>
  </si>
  <si>
    <t>C) Pénzeszközök</t>
  </si>
  <si>
    <t>D) Követelések</t>
  </si>
  <si>
    <t>E) Egyéb sajátos elszámolások</t>
  </si>
  <si>
    <t>I. Előzetesen felszámított általános forgalmi adó elszámolása</t>
  </si>
  <si>
    <t>III. Egyéb sajátos eszközoldali elszámolások</t>
  </si>
  <si>
    <t>F) Aktív időbeli elhatárolások</t>
  </si>
  <si>
    <t>Eszközök összesen</t>
  </si>
  <si>
    <t>Források összesen</t>
  </si>
  <si>
    <t>Eszközcsoportok</t>
  </si>
  <si>
    <t>Nettó</t>
  </si>
  <si>
    <t>Ingatlanok és kapcsolódó vagyoni értékű jogok</t>
  </si>
  <si>
    <t>csökkenési</t>
  </si>
  <si>
    <t>2018.12.31-i bruttó értékének megoszlása</t>
  </si>
  <si>
    <t>leírás</t>
  </si>
  <si>
    <t>forgalomképesség szerint</t>
  </si>
  <si>
    <t>"0"-ra leírt immateriális javak és tárgyi eszközök</t>
  </si>
  <si>
    <t>Bruttó érték</t>
  </si>
  <si>
    <t xml:space="preserve"> - Immateriális javak</t>
  </si>
  <si>
    <t>(Forintban)</t>
  </si>
  <si>
    <t xml:space="preserve"> - Ingatlanok és kapcsolódó vagyoni értékű jogok</t>
  </si>
  <si>
    <t>Forgalomképtelen törzsvagyon</t>
  </si>
  <si>
    <t xml:space="preserve"> - Gépek, berendezések, felszerelések, járművek</t>
  </si>
  <si>
    <t>Korlátozottan forgalomképes vagyon</t>
  </si>
  <si>
    <t xml:space="preserve"> - Tenyészállatok</t>
  </si>
  <si>
    <t>Üzleti vagyon</t>
  </si>
  <si>
    <t>Nvt. 1. § (2) bek. g) és h) pont szerinti kulturális 
javak, régészeti leletek</t>
  </si>
  <si>
    <t>Függő követelések</t>
  </si>
  <si>
    <t>Függő kötelezettségek</t>
  </si>
  <si>
    <t>Biztos jövőbeni követelések</t>
  </si>
  <si>
    <t>2018.01.01. nyitó állomány</t>
  </si>
  <si>
    <t>2018.12.31. záró állomány</t>
  </si>
  <si>
    <t>Változás összege</t>
  </si>
  <si>
    <t>1.) Lekötött bankbetétek</t>
  </si>
  <si>
    <t>2.) Pénztárak</t>
  </si>
  <si>
    <t>3.) Forintszámlák</t>
  </si>
  <si>
    <t xml:space="preserve">4.) Devizaszámlák </t>
  </si>
  <si>
    <t>Pénzeszközök összesen:</t>
  </si>
  <si>
    <t>Szociális étkeztetés</t>
  </si>
  <si>
    <t>Tanyagondnoki szolgálat</t>
  </si>
  <si>
    <r>
      <t xml:space="preserve">   Működési költségvetés kiadásai </t>
    </r>
    <r>
      <rPr>
        <sz val="8"/>
        <rFont val="Times New Roman"/>
        <family val="1"/>
      </rPr>
      <t>(1.1+…+1.5.)</t>
    </r>
  </si>
  <si>
    <r>
      <t xml:space="preserve">   Felhalmozási költségvetés kiadásai </t>
    </r>
    <r>
      <rPr>
        <sz val="8"/>
        <rFont val="Times New Roman"/>
        <family val="1"/>
      </rPr>
      <t>(2.1.+2.3.+2.5.)</t>
    </r>
  </si>
  <si>
    <t>2018. évi eredeti előirányzat</t>
  </si>
  <si>
    <t>2018. évi teljesítés</t>
  </si>
  <si>
    <t>Szociális és egyéb feladatok támogatása</t>
  </si>
  <si>
    <t>Szociális tüzifa támogatás</t>
  </si>
  <si>
    <t>Járda felújítás / BM pályázat I.</t>
  </si>
  <si>
    <t>Járda felújítás / BM pályázat II.</t>
  </si>
  <si>
    <t xml:space="preserve"> Működési célú támogatások államháztartáson belülről</t>
  </si>
  <si>
    <t>ASP működtetéséhez nyújtott támogatás</t>
  </si>
  <si>
    <t>TOP-5.3.1-16.TL-2017-00002 pályázat</t>
  </si>
  <si>
    <t>Rendszeres gyermekvédelmi kedvezményhaz kapcsolódó egyszeri támogatás (Erzsébet-utalvány)</t>
  </si>
  <si>
    <t>Hungarikum pályázat</t>
  </si>
  <si>
    <t>TB finanszírozás</t>
  </si>
  <si>
    <t>NEA védőnői finanszírozás</t>
  </si>
  <si>
    <t>Közfoglalkoztatotti támogatás</t>
  </si>
  <si>
    <t>TEIT-RHK működési támogatás</t>
  </si>
  <si>
    <t>JETA-11-2017 pályázat   (rendezvény támogatás)</t>
  </si>
  <si>
    <t>Testvértelepülési pályázat</t>
  </si>
  <si>
    <t>Mezőőri szolgálat működési támogatása</t>
  </si>
  <si>
    <t>Országygyűlési választás</t>
  </si>
  <si>
    <t>Szerencsejáték Zrt pályázati támogatása (óvodai rendezvény)</t>
  </si>
  <si>
    <t>Rendezvények támogatása</t>
  </si>
  <si>
    <t>Erőműves támogatás</t>
  </si>
  <si>
    <t>JETA-08-2017 pályázat (konyha felújítás)</t>
  </si>
  <si>
    <t>JETA-09-2017 pályázat (garázs építés)</t>
  </si>
  <si>
    <t>Működési célú támogatások államháztartáson belülről összesen:</t>
  </si>
  <si>
    <t>Ingatlan értékesítés</t>
  </si>
  <si>
    <t>Tengelic-Szőlőhegyi Nyugdíjasok Érdekszövetsége</t>
  </si>
  <si>
    <t>Nagydorogi Római Katolikus Plébánia</t>
  </si>
  <si>
    <t>Tolna Megyei Balassa János Kórház</t>
  </si>
  <si>
    <t>Szekszárd és Környéke Szoc.Alapszolgáltató</t>
  </si>
  <si>
    <t>1.3</t>
  </si>
  <si>
    <t>1.2</t>
  </si>
  <si>
    <t>1.1</t>
  </si>
  <si>
    <t>1.4</t>
  </si>
  <si>
    <t>Települési támogatás/közgyógy ellátás</t>
  </si>
  <si>
    <t>Rendkívüli települési támogatás</t>
  </si>
  <si>
    <t>Rendkívüli települési támogatás temetési segélyek finanszírozásához</t>
  </si>
  <si>
    <t>Felhasználás 2017. XII.31-ig</t>
  </si>
  <si>
    <t>Összes teljesítés 2018. XII.31-ig</t>
  </si>
  <si>
    <t>2018</t>
  </si>
  <si>
    <t>Települési rendezési terv</t>
  </si>
  <si>
    <t>Ingatlan vásárlás</t>
  </si>
  <si>
    <t>Önkormányzati garázs építése</t>
  </si>
  <si>
    <t>Teherautó vásárlása</t>
  </si>
  <si>
    <t>Egyéb eszközök vásárlása</t>
  </si>
  <si>
    <t>Viziközművízhálózat felújítása</t>
  </si>
  <si>
    <t>Járdaszakaszok felújítása</t>
  </si>
  <si>
    <t>Önkormányzat főzőkonyha felújítása</t>
  </si>
  <si>
    <t>Bölcsöde kiviteli tervek</t>
  </si>
  <si>
    <t>Sportcsarnok nyílászárók cseréje</t>
  </si>
  <si>
    <t>(+) 145</t>
  </si>
  <si>
    <t>(+)175</t>
  </si>
  <si>
    <t>Adósság állomány alakulása lejárat, eszközök, bel- és külföldi hitelezők szerinti bontásban 2018. december 31-én</t>
  </si>
  <si>
    <t>2018. eredeti terv</t>
  </si>
  <si>
    <t>2/I.5</t>
  </si>
  <si>
    <t>2016. évről áthúzódó bérkompenzáció támogatása</t>
  </si>
  <si>
    <t>2/III.3.e</t>
  </si>
  <si>
    <t>2/IV.1.d.</t>
  </si>
  <si>
    <t>települési önkormányzatok nyilvános könyvtári és közművelődési feladatainak támogatása</t>
  </si>
  <si>
    <t>A Tengelic Község Önkormányzata tulajdonában álló gazdálkodó szervezetek működéséből származó kötelezettségek és részesedések alakulása a 2018. évben</t>
  </si>
  <si>
    <t xml:space="preserve"> Tengelic Község Önkormányzat pénzfelhasználása
2018. évre</t>
  </si>
  <si>
    <t>Helyi önkormányzatok általános működésének és ágazati feladatainak támogatása</t>
  </si>
  <si>
    <t>Központi támogatások</t>
  </si>
  <si>
    <t>Támogatás államháztartáson belülről, átvett pénzeszközök</t>
  </si>
  <si>
    <t>Közszférában foglalkoztatottak létszám kerete</t>
  </si>
  <si>
    <t>Működési célú támogatások szervezetek részére 2018. évben</t>
  </si>
  <si>
    <t>2018.évi beszámoló szerinti maravány, elszámolása</t>
  </si>
  <si>
    <t>Többéves kihatással járó kötelezettségek</t>
  </si>
  <si>
    <t>Helyi önkormányzatok általános működésének támogatása eredeti - elszámolás</t>
  </si>
  <si>
    <t>2018. évi mérleg - Eszközök</t>
  </si>
  <si>
    <t>2018. évi mérleg - Források</t>
  </si>
  <si>
    <t>Vagyoni helyzet bemutatása</t>
  </si>
  <si>
    <t>Közvetett támogatás 2018. évben</t>
  </si>
  <si>
    <t>Pénzeszközök változása</t>
  </si>
  <si>
    <t>( Ft)</t>
  </si>
  <si>
    <t xml:space="preserve"> 2019. évi ütem</t>
  </si>
  <si>
    <t>5.=2+3-4</t>
  </si>
  <si>
    <t>6.=1+5</t>
  </si>
  <si>
    <t>9.=7-8</t>
  </si>
  <si>
    <t>12.=9+10-11=6.</t>
  </si>
  <si>
    <t xml:space="preserve">        - Közfoglalkoztatottak</t>
  </si>
  <si>
    <t xml:space="preserve">        - Választott tisztségviselők</t>
  </si>
  <si>
    <t>2.sz.táblázat</t>
  </si>
  <si>
    <t>Európai uniós támogatással megvalósuló projektek bevételei, kiadásai, hozzájárulások</t>
  </si>
  <si>
    <t>Talajterhelési díj</t>
  </si>
  <si>
    <t>2.1. melléklet a 7 (V.29.) önkormányzati rendelethez</t>
  </si>
  <si>
    <t>2.2. melléklet a 7 /2019. (V.29.) önkormányzati rendelethez</t>
  </si>
  <si>
    <t>3. melléklet a 7 / 2019. (V.29.) önkormányzati rendelethez</t>
  </si>
  <si>
    <t>4. melléklet a 7 / 2019. (V.29.) önkormányzati rendelethez</t>
  </si>
  <si>
    <t>5. melléklet a 7 / 2019.(V.29.) önkormányzati rendelethez</t>
  </si>
  <si>
    <t>6. melléklet a 7 /2019. (V.29.) önkormányzati rendelethez</t>
  </si>
  <si>
    <t>7. melléklet a 7 / 2019.(V.29.) önkormányzati rendelethez</t>
  </si>
  <si>
    <t>8. melléklet a 7 / 2019.(V.29.) önkormányzati rendelethez</t>
  </si>
  <si>
    <t>9. melléklet a 7 /2019. (V.29.) önkormányzati rendelethez</t>
  </si>
  <si>
    <t>10. melléklet a 7 /2019. (V.29.) önkormányzati rendelethez</t>
  </si>
  <si>
    <t>11. melléklet a 7 /2019. (V.29.) önkormányzati rendelethez</t>
  </si>
  <si>
    <t>12. melléklet a 7 /2019. (V.29.) önkormányzati rendelethez</t>
  </si>
  <si>
    <t>13. melléklet a 7 / 2019. (V.29.) önkormányzati rendelethez</t>
  </si>
  <si>
    <t>14. melléklet a 7 / 2019. (V.29.) önkormányzati rendelethez</t>
  </si>
  <si>
    <t>15. melléklet a 7 /2019. (V.29.) önkormányzati rendelethez</t>
  </si>
  <si>
    <t>16. melléklet a 7 /2019. (V.29.) önkormányzati rendelethez</t>
  </si>
  <si>
    <t>17. melléklet a 7 /2019. (V.29.) önkormányzati rendelethez</t>
  </si>
  <si>
    <t>18. melléklet a 7 /2019. (V.29.) önkormányzati rendelethez</t>
  </si>
  <si>
    <t>19. melléklet a 7 / 2019. (V.29.) önkormányzati rendelethez</t>
  </si>
  <si>
    <t>20. melléklet a 7 /2019. (V.29.) önkormányzati rendelethez</t>
  </si>
  <si>
    <t>21. melléklet a 7 /2019. (V.29.) önkormányzati rendelethez</t>
  </si>
  <si>
    <t>22. melléklet a 7 /2019. (V.29.) önkormányzati rendelethez</t>
  </si>
  <si>
    <t>23. melléklet a 7/ 2019. (V.29.) önkormányzati rendelethez</t>
  </si>
  <si>
    <t>24. melléklet a 7 /2019. (V.29.) önkormányzati rendelethez</t>
  </si>
  <si>
    <t>25. melléklet a 7 /2019. (V.29.)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</si>
</sst>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0.0"/>
    <numFmt numFmtId="181" formatCode="0.0%"/>
    <numFmt numFmtId="182" formatCode="mmm\ d/"/>
  </numFmts>
  <fonts count="9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sz val="10"/>
      <name val="Times New Roman"/>
      <family val="1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 CE"/>
      <family val="0"/>
    </font>
    <font>
      <b/>
      <i/>
      <sz val="12"/>
      <name val="Times New Roman"/>
      <family val="1"/>
    </font>
    <font>
      <b/>
      <sz val="12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9"/>
      <name val="HBangkok"/>
      <family val="0"/>
    </font>
    <font>
      <sz val="12"/>
      <color indexed="10"/>
      <name val="Times New Roman CE"/>
      <family val="1"/>
    </font>
    <font>
      <sz val="10"/>
      <name val="Arial CE"/>
      <family val="0"/>
    </font>
    <font>
      <i/>
      <sz val="12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 CE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2"/>
      <color indexed="8"/>
      <name val="Times New Roman CE"/>
      <family val="0"/>
    </font>
    <font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 CE"/>
      <family val="0"/>
    </font>
    <font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0"/>
      <color theme="1"/>
      <name val="Times New Roman CE"/>
      <family val="1"/>
    </font>
    <font>
      <sz val="9"/>
      <color theme="1"/>
      <name val="Times New Roman CE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 CE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>
        <color indexed="63"/>
      </left>
      <right style="thin"/>
      <top/>
      <bottom style="double"/>
    </border>
    <border>
      <left style="thin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2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2" fillId="1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6" borderId="7" applyNumberFormat="0" applyFont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11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153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6" fontId="12" fillId="0" borderId="14" xfId="0" applyNumberFormat="1" applyFont="1" applyFill="1" applyBorder="1" applyAlignment="1" applyProtection="1">
      <alignment vertical="center" wrapText="1"/>
      <protection/>
    </xf>
    <xf numFmtId="166" fontId="12" fillId="0" borderId="15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6" fontId="13" fillId="0" borderId="10" xfId="0" applyNumberFormat="1" applyFont="1" applyFill="1" applyBorder="1" applyAlignment="1" applyProtection="1">
      <alignment vertical="center"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center" vertical="center" wrapText="1"/>
      <protection/>
    </xf>
    <xf numFmtId="166" fontId="6" fillId="0" borderId="14" xfId="0" applyNumberFormat="1" applyFont="1" applyFill="1" applyBorder="1" applyAlignment="1" applyProtection="1">
      <alignment horizontal="center" vertical="center" wrapText="1"/>
      <protection/>
    </xf>
    <xf numFmtId="166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6" fontId="12" fillId="0" borderId="14" xfId="0" applyNumberFormat="1" applyFont="1" applyFill="1" applyBorder="1" applyAlignment="1" applyProtection="1">
      <alignment vertical="center"/>
      <protection/>
    </xf>
    <xf numFmtId="166" fontId="12" fillId="0" borderId="15" xfId="0" applyNumberFormat="1" applyFont="1" applyFill="1" applyBorder="1" applyAlignment="1" applyProtection="1">
      <alignment vertical="center"/>
      <protection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12" fillId="0" borderId="18" xfId="0" applyNumberFormat="1" applyFont="1" applyFill="1" applyBorder="1" applyAlignment="1" applyProtection="1">
      <alignment horizontal="center" vertical="center" wrapText="1"/>
      <protection/>
    </xf>
    <xf numFmtId="166" fontId="13" fillId="0" borderId="19" xfId="0" applyNumberFormat="1" applyFont="1" applyFill="1" applyBorder="1" applyAlignment="1" applyProtection="1">
      <alignment vertical="center" wrapText="1"/>
      <protection locked="0"/>
    </xf>
    <xf numFmtId="166" fontId="12" fillId="0" borderId="17" xfId="0" applyNumberFormat="1" applyFont="1" applyFill="1" applyBorder="1" applyAlignment="1" applyProtection="1">
      <alignment vertical="center" wrapText="1"/>
      <protection/>
    </xf>
    <xf numFmtId="166" fontId="13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166" fontId="13" fillId="0" borderId="22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6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3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9" xfId="0" applyNumberFormat="1" applyFont="1" applyFill="1" applyBorder="1" applyAlignment="1" applyProtection="1">
      <alignment horizontal="centerContinuous" vertical="center"/>
      <protection/>
    </xf>
    <xf numFmtId="166" fontId="6" fillId="0" borderId="30" xfId="0" applyNumberFormat="1" applyFont="1" applyFill="1" applyBorder="1" applyAlignment="1" applyProtection="1">
      <alignment horizontal="centerContinuous" vertical="center"/>
      <protection/>
    </xf>
    <xf numFmtId="166" fontId="6" fillId="0" borderId="31" xfId="0" applyNumberFormat="1" applyFont="1" applyFill="1" applyBorder="1" applyAlignment="1" applyProtection="1">
      <alignment horizontal="centerContinuous" vertical="center"/>
      <protection/>
    </xf>
    <xf numFmtId="166" fontId="17" fillId="0" borderId="0" xfId="0" applyNumberFormat="1" applyFont="1" applyFill="1" applyAlignment="1">
      <alignment vertical="center"/>
    </xf>
    <xf numFmtId="166" fontId="6" fillId="0" borderId="18" xfId="0" applyNumberFormat="1" applyFont="1" applyFill="1" applyBorder="1" applyAlignment="1" applyProtection="1">
      <alignment horizontal="center" vertical="center"/>
      <protection/>
    </xf>
    <xf numFmtId="166" fontId="6" fillId="0" borderId="32" xfId="0" applyNumberFormat="1" applyFont="1" applyFill="1" applyBorder="1" applyAlignment="1" applyProtection="1">
      <alignment horizontal="center" vertical="center"/>
      <protection/>
    </xf>
    <xf numFmtId="166" fontId="6" fillId="0" borderId="33" xfId="0" applyNumberFormat="1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>
      <alignment horizontal="center" vertical="center"/>
    </xf>
    <xf numFmtId="166" fontId="12" fillId="0" borderId="14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vertical="center" wrapText="1"/>
      <protection/>
    </xf>
    <xf numFmtId="166" fontId="12" fillId="0" borderId="29" xfId="0" applyNumberFormat="1" applyFont="1" applyFill="1" applyBorder="1" applyAlignment="1" applyProtection="1">
      <alignment vertical="center" wrapText="1"/>
      <protection/>
    </xf>
    <xf numFmtId="166" fontId="12" fillId="0" borderId="35" xfId="0" applyNumberFormat="1" applyFont="1" applyFill="1" applyBorder="1" applyAlignment="1" applyProtection="1">
      <alignment vertical="center" wrapText="1"/>
      <protection/>
    </xf>
    <xf numFmtId="166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6" xfId="0" applyNumberFormat="1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19" xfId="0" applyNumberFormat="1" applyFont="1" applyFill="1" applyBorder="1" applyAlignment="1" applyProtection="1">
      <alignment vertical="center" wrapText="1"/>
      <protection/>
    </xf>
    <xf numFmtId="166" fontId="12" fillId="0" borderId="36" xfId="0" applyNumberFormat="1" applyFont="1" applyFill="1" applyBorder="1" applyAlignment="1" applyProtection="1">
      <alignment vertical="center" wrapTex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25" xfId="0" applyNumberFormat="1" applyFont="1" applyFill="1" applyBorder="1" applyAlignment="1" applyProtection="1">
      <alignment vertical="center" wrapText="1"/>
      <protection/>
    </xf>
    <xf numFmtId="166" fontId="12" fillId="0" borderId="38" xfId="0" applyNumberFormat="1" applyFont="1" applyFill="1" applyBorder="1" applyAlignment="1" applyProtection="1">
      <alignment vertical="center" wrapText="1"/>
      <protection/>
    </xf>
    <xf numFmtId="1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Fill="1" applyBorder="1" applyAlignment="1" applyProtection="1">
      <alignment vertical="center" wrapText="1"/>
      <protection locked="0"/>
    </xf>
    <xf numFmtId="166" fontId="13" fillId="0" borderId="38" xfId="0" applyNumberFormat="1" applyFont="1" applyFill="1" applyBorder="1" applyAlignment="1" applyProtection="1">
      <alignment vertical="center" wrapText="1"/>
      <protection locked="0"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39" xfId="0" applyNumberFormat="1" applyFont="1" applyFill="1" applyBorder="1" applyAlignment="1" applyProtection="1">
      <alignment vertical="center" wrapText="1"/>
      <protection/>
    </xf>
    <xf numFmtId="166" fontId="12" fillId="0" borderId="14" xfId="0" applyNumberFormat="1" applyFont="1" applyFill="1" applyBorder="1" applyAlignment="1" applyProtection="1">
      <alignment vertical="center" wrapText="1"/>
      <protection/>
    </xf>
    <xf numFmtId="166" fontId="12" fillId="0" borderId="39" xfId="0" applyNumberFormat="1" applyFont="1" applyFill="1" applyBorder="1" applyAlignment="1" applyProtection="1">
      <alignment vertical="center" wrapText="1"/>
      <protection/>
    </xf>
    <xf numFmtId="166" fontId="12" fillId="0" borderId="40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6" fontId="13" fillId="0" borderId="19" xfId="0" applyNumberFormat="1" applyFont="1" applyFill="1" applyBorder="1" applyAlignment="1" applyProtection="1">
      <alignment vertical="center"/>
      <protection locked="0"/>
    </xf>
    <xf numFmtId="166" fontId="12" fillId="0" borderId="19" xfId="0" applyNumberFormat="1" applyFont="1" applyFill="1" applyBorder="1" applyAlignment="1" applyProtection="1">
      <alignment vertical="center"/>
      <protection/>
    </xf>
    <xf numFmtId="166" fontId="13" fillId="0" borderId="20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vertical="center" wrapText="1"/>
      <protection locked="0"/>
    </xf>
    <xf numFmtId="166" fontId="13" fillId="0" borderId="42" xfId="0" applyNumberFormat="1" applyFont="1" applyFill="1" applyBorder="1" applyAlignment="1" applyProtection="1">
      <alignment vertical="center"/>
      <protection locked="0"/>
    </xf>
    <xf numFmtId="166" fontId="13" fillId="0" borderId="32" xfId="0" applyNumberFormat="1" applyFont="1" applyFill="1" applyBorder="1" applyAlignment="1" applyProtection="1">
      <alignment vertical="center"/>
      <protection locked="0"/>
    </xf>
    <xf numFmtId="166" fontId="12" fillId="0" borderId="39" xfId="0" applyNumberFormat="1" applyFont="1" applyFill="1" applyBorder="1" applyAlignment="1" applyProtection="1">
      <alignment vertical="center"/>
      <protection/>
    </xf>
    <xf numFmtId="166" fontId="12" fillId="0" borderId="33" xfId="0" applyNumberFormat="1" applyFont="1" applyFill="1" applyBorder="1" applyAlignment="1" applyProtection="1">
      <alignment vertical="center"/>
      <protection/>
    </xf>
    <xf numFmtId="166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 applyProtection="1">
      <alignment horizontal="right" vertical="center" wrapText="1" indent="1"/>
      <protection/>
    </xf>
    <xf numFmtId="0" fontId="15" fillId="0" borderId="44" xfId="0" applyFont="1" applyFill="1" applyBorder="1" applyAlignment="1" applyProtection="1">
      <alignment horizontal="lef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5" fillId="0" borderId="46" xfId="0" applyFont="1" applyFill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5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41" xfId="0" applyFont="1" applyFill="1" applyBorder="1" applyAlignment="1">
      <alignment horizontal="right" vertical="center" wrapText="1" indent="1"/>
    </xf>
    <xf numFmtId="166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right" vertical="center" inden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6" fontId="12" fillId="0" borderId="14" xfId="0" applyNumberFormat="1" applyFont="1" applyFill="1" applyBorder="1" applyAlignment="1">
      <alignment vertical="center" wrapText="1"/>
    </xf>
    <xf numFmtId="166" fontId="12" fillId="0" borderId="15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6" fontId="12" fillId="0" borderId="14" xfId="0" applyNumberFormat="1" applyFont="1" applyFill="1" applyBorder="1" applyAlignment="1">
      <alignment horizontal="right" vertical="center" wrapText="1" indent="2"/>
    </xf>
    <xf numFmtId="166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43" xfId="0" applyFont="1" applyBorder="1" applyAlignment="1" applyProtection="1">
      <alignment horizontal="center" vertical="top" wrapText="1"/>
      <protection/>
    </xf>
    <xf numFmtId="0" fontId="26" fillId="0" borderId="12" xfId="0" applyFont="1" applyBorder="1" applyAlignment="1" applyProtection="1">
      <alignment horizontal="center" vertical="top" wrapText="1"/>
      <protection/>
    </xf>
    <xf numFmtId="0" fontId="26" fillId="0" borderId="13" xfId="0" applyFont="1" applyBorder="1" applyAlignment="1" applyProtection="1">
      <alignment horizontal="center" vertical="top" wrapText="1"/>
      <protection/>
    </xf>
    <xf numFmtId="0" fontId="26" fillId="25" borderId="14" xfId="0" applyFont="1" applyFill="1" applyBorder="1" applyAlignment="1" applyProtection="1">
      <alignment horizontal="center" vertical="top" wrapText="1"/>
      <protection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9" fontId="28" fillId="0" borderId="23" xfId="78" applyFont="1" applyBorder="1" applyAlignment="1" applyProtection="1">
      <alignment horizontal="center" vertical="center" wrapText="1"/>
      <protection locked="0"/>
    </xf>
    <xf numFmtId="9" fontId="28" fillId="0" borderId="10" xfId="78" applyFont="1" applyBorder="1" applyAlignment="1" applyProtection="1">
      <alignment horizontal="center" vertical="center" wrapText="1"/>
      <protection locked="0"/>
    </xf>
    <xf numFmtId="9" fontId="28" fillId="0" borderId="11" xfId="78" applyFont="1" applyBorder="1" applyAlignment="1" applyProtection="1">
      <alignment horizontal="center" vertical="center" wrapText="1"/>
      <protection locked="0"/>
    </xf>
    <xf numFmtId="168" fontId="28" fillId="0" borderId="23" xfId="46" applyNumberFormat="1" applyFont="1" applyBorder="1" applyAlignment="1" applyProtection="1">
      <alignment horizontal="center" vertical="center" wrapText="1"/>
      <protection locked="0"/>
    </xf>
    <xf numFmtId="168" fontId="28" fillId="0" borderId="10" xfId="46" applyNumberFormat="1" applyFont="1" applyBorder="1" applyAlignment="1" applyProtection="1">
      <alignment horizontal="center" vertical="center" wrapText="1"/>
      <protection locked="0"/>
    </xf>
    <xf numFmtId="168" fontId="28" fillId="0" borderId="11" xfId="46" applyNumberFormat="1" applyFont="1" applyBorder="1" applyAlignment="1" applyProtection="1">
      <alignment horizontal="center" vertical="center" wrapText="1"/>
      <protection locked="0"/>
    </xf>
    <xf numFmtId="168" fontId="28" fillId="0" borderId="14" xfId="46" applyNumberFormat="1" applyFont="1" applyBorder="1" applyAlignment="1" applyProtection="1">
      <alignment horizontal="center" vertical="center" wrapText="1"/>
      <protection/>
    </xf>
    <xf numFmtId="168" fontId="28" fillId="0" borderId="45" xfId="46" applyNumberFormat="1" applyFont="1" applyBorder="1" applyAlignment="1" applyProtection="1">
      <alignment horizontal="center" vertical="top" wrapText="1"/>
      <protection locked="0"/>
    </xf>
    <xf numFmtId="168" fontId="28" fillId="0" borderId="17" xfId="46" applyNumberFormat="1" applyFont="1" applyBorder="1" applyAlignment="1" applyProtection="1">
      <alignment horizontal="center" vertical="top" wrapText="1"/>
      <protection locked="0"/>
    </xf>
    <xf numFmtId="168" fontId="28" fillId="0" borderId="50" xfId="46" applyNumberFormat="1" applyFont="1" applyBorder="1" applyAlignment="1" applyProtection="1">
      <alignment horizontal="center" vertical="top" wrapText="1"/>
      <protection locked="0"/>
    </xf>
    <xf numFmtId="168" fontId="28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3" fillId="0" borderId="25" xfId="70" applyFont="1" applyFill="1" applyBorder="1" applyAlignment="1" applyProtection="1">
      <alignment horizontal="left" vertical="center" wrapText="1" indent="1"/>
      <protection/>
    </xf>
    <xf numFmtId="0" fontId="13" fillId="0" borderId="10" xfId="70" applyFont="1" applyFill="1" applyBorder="1" applyAlignment="1" applyProtection="1">
      <alignment horizontal="left" vertical="center" wrapText="1" indent="1"/>
      <protection/>
    </xf>
    <xf numFmtId="0" fontId="13" fillId="0" borderId="23" xfId="70" applyFont="1" applyFill="1" applyBorder="1" applyAlignment="1" applyProtection="1">
      <alignment horizontal="left" vertical="center" wrapText="1" indent="1"/>
      <protection/>
    </xf>
    <xf numFmtId="0" fontId="13" fillId="0" borderId="22" xfId="70" applyFont="1" applyFill="1" applyBorder="1" applyAlignment="1" applyProtection="1">
      <alignment horizontal="left" vertical="center" wrapText="1" indent="1"/>
      <protection/>
    </xf>
    <xf numFmtId="0" fontId="13" fillId="0" borderId="46" xfId="70" applyFont="1" applyFill="1" applyBorder="1" applyAlignment="1" applyProtection="1">
      <alignment horizontal="left" vertical="center" wrapText="1" indent="1"/>
      <protection/>
    </xf>
    <xf numFmtId="0" fontId="13" fillId="0" borderId="11" xfId="70" applyFont="1" applyFill="1" applyBorder="1" applyAlignment="1" applyProtection="1">
      <alignment horizontal="left" vertical="center" wrapText="1" indent="1"/>
      <protection/>
    </xf>
    <xf numFmtId="0" fontId="13" fillId="0" borderId="0" xfId="70" applyFont="1" applyFill="1" applyBorder="1" applyAlignment="1" applyProtection="1">
      <alignment horizontal="left" vertical="center" wrapText="1" indent="1"/>
      <protection/>
    </xf>
    <xf numFmtId="0" fontId="12" fillId="0" borderId="14" xfId="70" applyFont="1" applyFill="1" applyBorder="1" applyAlignment="1" applyProtection="1">
      <alignment horizontal="left" vertical="center" wrapText="1" indent="1"/>
      <protection/>
    </xf>
    <xf numFmtId="0" fontId="12" fillId="0" borderId="14" xfId="70" applyFont="1" applyFill="1" applyBorder="1" applyAlignment="1" applyProtection="1">
      <alignment vertical="center" wrapText="1"/>
      <protection/>
    </xf>
    <xf numFmtId="0" fontId="12" fillId="0" borderId="48" xfId="70" applyFont="1" applyFill="1" applyBorder="1" applyAlignment="1" applyProtection="1">
      <alignment vertical="center" wrapText="1"/>
      <protection/>
    </xf>
    <xf numFmtId="0" fontId="12" fillId="0" borderId="16" xfId="70" applyFont="1" applyFill="1" applyBorder="1" applyAlignment="1" applyProtection="1">
      <alignment horizontal="center" vertical="center" wrapText="1"/>
      <protection/>
    </xf>
    <xf numFmtId="0" fontId="12" fillId="0" borderId="14" xfId="70" applyFont="1" applyFill="1" applyBorder="1" applyAlignment="1" applyProtection="1">
      <alignment horizontal="left" vertical="center" wrapText="1" indent="1"/>
      <protection/>
    </xf>
    <xf numFmtId="0" fontId="13" fillId="0" borderId="10" xfId="70" applyFont="1" applyFill="1" applyBorder="1" applyAlignment="1" applyProtection="1">
      <alignment horizontal="left" indent="6"/>
      <protection/>
    </xf>
    <xf numFmtId="0" fontId="13" fillId="0" borderId="10" xfId="70" applyFont="1" applyFill="1" applyBorder="1" applyAlignment="1" applyProtection="1">
      <alignment horizontal="left" vertical="center" wrapText="1" indent="6"/>
      <protection/>
    </xf>
    <xf numFmtId="0" fontId="13" fillId="0" borderId="11" xfId="70" applyFont="1" applyFill="1" applyBorder="1" applyAlignment="1" applyProtection="1">
      <alignment horizontal="left" vertical="center" wrapText="1" indent="6"/>
      <protection/>
    </xf>
    <xf numFmtId="0" fontId="13" fillId="0" borderId="42" xfId="70" applyFont="1" applyFill="1" applyBorder="1" applyAlignment="1" applyProtection="1">
      <alignment horizontal="left" vertical="center" wrapText="1" indent="6"/>
      <protection/>
    </xf>
    <xf numFmtId="166" fontId="13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7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4" fillId="0" borderId="54" xfId="0" applyFont="1" applyBorder="1" applyAlignment="1" applyProtection="1">
      <alignment horizontal="left" vertical="center" wrapText="1" indent="1"/>
      <protection/>
    </xf>
    <xf numFmtId="166" fontId="12" fillId="0" borderId="14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70" applyNumberFormat="1" applyFont="1" applyFill="1" applyBorder="1" applyAlignment="1" applyProtection="1">
      <alignment horizontal="right" vertical="center" wrapText="1" indent="1"/>
      <protection/>
    </xf>
    <xf numFmtId="0" fontId="13" fillId="0" borderId="23" xfId="70" applyFont="1" applyFill="1" applyBorder="1" applyAlignment="1" applyProtection="1">
      <alignment horizontal="left" vertical="center" wrapText="1" indent="6"/>
      <protection/>
    </xf>
    <xf numFmtId="0" fontId="15" fillId="0" borderId="23" xfId="0" applyFont="1" applyBorder="1" applyAlignment="1" applyProtection="1">
      <alignment horizontal="left" wrapText="1" indent="1"/>
      <protection/>
    </xf>
    <xf numFmtId="0" fontId="15" fillId="0" borderId="10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166" fontId="13" fillId="0" borderId="23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5" xfId="0" applyNumberFormat="1" applyFont="1" applyFill="1" applyBorder="1" applyAlignment="1" applyProtection="1">
      <alignment horizontal="center" vertical="center" wrapText="1"/>
      <protection/>
    </xf>
    <xf numFmtId="166" fontId="12" fillId="0" borderId="54" xfId="0" applyNumberFormat="1" applyFont="1" applyFill="1" applyBorder="1" applyAlignment="1" applyProtection="1">
      <alignment horizontal="center" vertical="center" wrapText="1"/>
      <protection/>
    </xf>
    <xf numFmtId="166" fontId="12" fillId="0" borderId="56" xfId="0" applyNumberFormat="1" applyFont="1" applyFill="1" applyBorder="1" applyAlignment="1" applyProtection="1">
      <alignment horizontal="center" vertical="center" wrapTex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6" fillId="0" borderId="57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 locked="0"/>
    </xf>
    <xf numFmtId="0" fontId="6" fillId="0" borderId="58" xfId="0" applyFont="1" applyFill="1" applyBorder="1" applyAlignment="1" applyProtection="1" quotePrefix="1">
      <alignment horizontal="right" vertical="center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12" fillId="0" borderId="47" xfId="70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wrapText="1"/>
      <protection/>
    </xf>
    <xf numFmtId="0" fontId="16" fillId="0" borderId="14" xfId="0" applyFont="1" applyBorder="1" applyAlignment="1" applyProtection="1">
      <alignment wrapText="1"/>
      <protection/>
    </xf>
    <xf numFmtId="0" fontId="16" fillId="0" borderId="54" xfId="0" applyFont="1" applyBorder="1" applyAlignment="1" applyProtection="1">
      <alignment wrapText="1"/>
      <protection/>
    </xf>
    <xf numFmtId="49" fontId="13" fillId="0" borderId="43" xfId="70" applyNumberFormat="1" applyFont="1" applyFill="1" applyBorder="1" applyAlignment="1" applyProtection="1">
      <alignment horizontal="center" vertical="center" wrapText="1"/>
      <protection/>
    </xf>
    <xf numFmtId="49" fontId="13" fillId="0" borderId="12" xfId="70" applyNumberFormat="1" applyFont="1" applyFill="1" applyBorder="1" applyAlignment="1" applyProtection="1">
      <alignment horizontal="center" vertical="center" wrapText="1"/>
      <protection/>
    </xf>
    <xf numFmtId="49" fontId="13" fillId="0" borderId="13" xfId="7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wrapText="1"/>
      <protection/>
    </xf>
    <xf numFmtId="0" fontId="15" fillId="0" borderId="43" xfId="0" applyFont="1" applyBorder="1" applyAlignment="1" applyProtection="1">
      <alignment horizontal="center" wrapText="1"/>
      <protection/>
    </xf>
    <xf numFmtId="0" fontId="15" fillId="0" borderId="12" xfId="0" applyFont="1" applyBorder="1" applyAlignment="1" applyProtection="1">
      <alignment horizontal="center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16" fillId="0" borderId="55" xfId="0" applyFont="1" applyBorder="1" applyAlignment="1" applyProtection="1">
      <alignment horizontal="center" wrapText="1"/>
      <protection/>
    </xf>
    <xf numFmtId="49" fontId="13" fillId="0" borderId="34" xfId="70" applyNumberFormat="1" applyFont="1" applyFill="1" applyBorder="1" applyAlignment="1" applyProtection="1">
      <alignment horizontal="center" vertical="center" wrapText="1"/>
      <protection/>
    </xf>
    <xf numFmtId="49" fontId="13" fillId="0" borderId="37" xfId="70" applyNumberFormat="1" applyFont="1" applyFill="1" applyBorder="1" applyAlignment="1" applyProtection="1">
      <alignment horizontal="center" vertical="center" wrapText="1"/>
      <protection/>
    </xf>
    <xf numFmtId="49" fontId="13" fillId="0" borderId="41" xfId="70" applyNumberFormat="1" applyFont="1" applyFill="1" applyBorder="1" applyAlignment="1" applyProtection="1">
      <alignment horizontal="center" vertical="center" wrapText="1"/>
      <protection/>
    </xf>
    <xf numFmtId="0" fontId="16" fillId="0" borderId="55" xfId="0" applyFont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6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4" xfId="7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6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8" xfId="0" applyNumberFormat="1" applyFont="1" applyFill="1" applyBorder="1" applyAlignment="1" applyProtection="1">
      <alignment horizontal="right" vertical="center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70" applyFont="1" applyFill="1" applyBorder="1" applyAlignment="1" applyProtection="1">
      <alignment horizontal="left" vertical="center" wrapText="1" indent="1"/>
      <protection/>
    </xf>
    <xf numFmtId="0" fontId="13" fillId="0" borderId="10" xfId="70" applyFont="1" applyFill="1" applyBorder="1" applyAlignment="1" applyProtection="1">
      <alignment horizontal="left" vertical="center" wrapText="1" indent="1"/>
      <protection/>
    </xf>
    <xf numFmtId="0" fontId="13" fillId="0" borderId="54" xfId="70" applyFont="1" applyFill="1" applyBorder="1" applyAlignment="1" applyProtection="1" quotePrefix="1">
      <alignment horizontal="left" vertical="center" wrapText="1" indent="1"/>
      <protection/>
    </xf>
    <xf numFmtId="166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1" xfId="0" applyNumberFormat="1" applyFont="1" applyFill="1" applyBorder="1" applyAlignment="1" applyProtection="1">
      <alignment horizontal="center" vertical="center" wrapText="1"/>
      <protection/>
    </xf>
    <xf numFmtId="166" fontId="12" fillId="0" borderId="39" xfId="0" applyNumberFormat="1" applyFont="1" applyFill="1" applyBorder="1" applyAlignment="1" applyProtection="1">
      <alignment horizontal="center" vertical="center" wrapText="1"/>
      <protection/>
    </xf>
    <xf numFmtId="166" fontId="12" fillId="0" borderId="63" xfId="0" applyNumberFormat="1" applyFont="1" applyFill="1" applyBorder="1" applyAlignment="1" applyProtection="1">
      <alignment horizontal="center" vertical="center" wrapText="1"/>
      <protection/>
    </xf>
    <xf numFmtId="166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NumberFormat="1" applyFont="1" applyFill="1" applyAlignment="1" applyProtection="1">
      <alignment textRotation="180" wrapText="1"/>
      <protection locked="0"/>
    </xf>
    <xf numFmtId="49" fontId="0" fillId="0" borderId="0" xfId="0" applyNumberForma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left" vertical="center" indent="1"/>
      <protection locked="0"/>
    </xf>
    <xf numFmtId="0" fontId="13" fillId="0" borderId="10" xfId="0" applyFont="1" applyBorder="1" applyAlignment="1" applyProtection="1">
      <alignment horizontal="left" vertical="center" indent="1"/>
      <protection locked="0"/>
    </xf>
    <xf numFmtId="166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1" applyFill="1" applyProtection="1">
      <alignment/>
      <protection locked="0"/>
    </xf>
    <xf numFmtId="0" fontId="2" fillId="0" borderId="0" xfId="71" applyFill="1" applyProtection="1">
      <alignment/>
      <protection/>
    </xf>
    <xf numFmtId="0" fontId="4" fillId="0" borderId="0" xfId="0" applyFont="1" applyFill="1" applyAlignment="1">
      <alignment horizontal="right"/>
    </xf>
    <xf numFmtId="0" fontId="6" fillId="0" borderId="47" xfId="71" applyFont="1" applyFill="1" applyBorder="1" applyAlignment="1" applyProtection="1">
      <alignment horizontal="center" vertical="center" wrapText="1"/>
      <protection/>
    </xf>
    <xf numFmtId="0" fontId="6" fillId="0" borderId="48" xfId="71" applyFont="1" applyFill="1" applyBorder="1" applyAlignment="1" applyProtection="1">
      <alignment horizontal="center" vertical="center"/>
      <protection/>
    </xf>
    <xf numFmtId="0" fontId="6" fillId="0" borderId="49" xfId="71" applyFont="1" applyFill="1" applyBorder="1" applyAlignment="1" applyProtection="1">
      <alignment horizontal="center" vertical="center"/>
      <protection/>
    </xf>
    <xf numFmtId="0" fontId="13" fillId="0" borderId="16" xfId="71" applyFont="1" applyFill="1" applyBorder="1" applyAlignment="1" applyProtection="1">
      <alignment horizontal="left" vertical="center" indent="1"/>
      <protection/>
    </xf>
    <xf numFmtId="0" fontId="2" fillId="0" borderId="0" xfId="71" applyFill="1" applyAlignment="1" applyProtection="1">
      <alignment vertical="center"/>
      <protection/>
    </xf>
    <xf numFmtId="0" fontId="13" fillId="0" borderId="34" xfId="71" applyFont="1" applyFill="1" applyBorder="1" applyAlignment="1" applyProtection="1">
      <alignment horizontal="left" vertical="center" indent="1"/>
      <protection/>
    </xf>
    <xf numFmtId="0" fontId="13" fillId="0" borderId="25" xfId="71" applyFont="1" applyFill="1" applyBorder="1" applyAlignment="1" applyProtection="1">
      <alignment horizontal="left" vertical="center" indent="1"/>
      <protection/>
    </xf>
    <xf numFmtId="166" fontId="13" fillId="0" borderId="25" xfId="71" applyNumberFormat="1" applyFont="1" applyFill="1" applyBorder="1" applyAlignment="1" applyProtection="1">
      <alignment vertical="center"/>
      <protection locked="0"/>
    </xf>
    <xf numFmtId="166" fontId="13" fillId="0" borderId="67" xfId="71" applyNumberFormat="1" applyFont="1" applyFill="1" applyBorder="1" applyAlignment="1" applyProtection="1" quotePrefix="1">
      <alignment horizontal="center" vertical="center"/>
      <protection/>
    </xf>
    <xf numFmtId="0" fontId="13" fillId="0" borderId="12" xfId="71" applyFont="1" applyFill="1" applyBorder="1" applyAlignment="1" applyProtection="1">
      <alignment horizontal="left" vertical="center" indent="1"/>
      <protection/>
    </xf>
    <xf numFmtId="0" fontId="13" fillId="0" borderId="10" xfId="71" applyFont="1" applyFill="1" applyBorder="1" applyAlignment="1" applyProtection="1">
      <alignment horizontal="left" vertical="center" wrapText="1" indent="1"/>
      <protection/>
    </xf>
    <xf numFmtId="166" fontId="13" fillId="0" borderId="10" xfId="71" applyNumberFormat="1" applyFont="1" applyFill="1" applyBorder="1" applyAlignment="1" applyProtection="1">
      <alignment vertical="center"/>
      <protection locked="0"/>
    </xf>
    <xf numFmtId="166" fontId="13" fillId="0" borderId="17" xfId="71" applyNumberFormat="1" applyFont="1" applyFill="1" applyBorder="1" applyAlignment="1" applyProtection="1">
      <alignment vertical="center"/>
      <protection/>
    </xf>
    <xf numFmtId="0" fontId="2" fillId="0" borderId="0" xfId="71" applyFill="1" applyAlignment="1" applyProtection="1">
      <alignment vertical="center"/>
      <protection locked="0"/>
    </xf>
    <xf numFmtId="0" fontId="13" fillId="0" borderId="23" xfId="71" applyFont="1" applyFill="1" applyBorder="1" applyAlignment="1" applyProtection="1">
      <alignment horizontal="left" vertical="center" wrapText="1" indent="1"/>
      <protection/>
    </xf>
    <xf numFmtId="166" fontId="13" fillId="0" borderId="23" xfId="71" applyNumberFormat="1" applyFont="1" applyFill="1" applyBorder="1" applyAlignment="1" applyProtection="1">
      <alignment vertical="center"/>
      <protection locked="0"/>
    </xf>
    <xf numFmtId="166" fontId="13" fillId="0" borderId="45" xfId="71" applyNumberFormat="1" applyFont="1" applyFill="1" applyBorder="1" applyAlignment="1" applyProtection="1">
      <alignment vertical="center"/>
      <protection/>
    </xf>
    <xf numFmtId="0" fontId="13" fillId="0" borderId="10" xfId="71" applyFont="1" applyFill="1" applyBorder="1" applyAlignment="1" applyProtection="1">
      <alignment horizontal="left" vertical="center" indent="1"/>
      <protection/>
    </xf>
    <xf numFmtId="0" fontId="13" fillId="0" borderId="41" xfId="71" applyFont="1" applyFill="1" applyBorder="1" applyAlignment="1" applyProtection="1">
      <alignment horizontal="left" vertical="center" indent="1"/>
      <protection/>
    </xf>
    <xf numFmtId="0" fontId="6" fillId="0" borderId="14" xfId="71" applyFont="1" applyFill="1" applyBorder="1" applyAlignment="1" applyProtection="1">
      <alignment horizontal="left" vertical="center" indent="1"/>
      <protection/>
    </xf>
    <xf numFmtId="166" fontId="12" fillId="0" borderId="14" xfId="71" applyNumberFormat="1" applyFont="1" applyFill="1" applyBorder="1" applyAlignment="1" applyProtection="1">
      <alignment vertical="center"/>
      <protection/>
    </xf>
    <xf numFmtId="166" fontId="12" fillId="0" borderId="15" xfId="71" applyNumberFormat="1" applyFont="1" applyFill="1" applyBorder="1" applyAlignment="1" applyProtection="1">
      <alignment vertical="center"/>
      <protection/>
    </xf>
    <xf numFmtId="0" fontId="13" fillId="0" borderId="43" xfId="71" applyFont="1" applyFill="1" applyBorder="1" applyAlignment="1" applyProtection="1">
      <alignment horizontal="left" vertical="center" indent="1"/>
      <protection/>
    </xf>
    <xf numFmtId="0" fontId="13" fillId="0" borderId="23" xfId="71" applyFont="1" applyFill="1" applyBorder="1" applyAlignment="1" applyProtection="1">
      <alignment horizontal="left" vertical="center" indent="1"/>
      <protection/>
    </xf>
    <xf numFmtId="0" fontId="12" fillId="0" borderId="16" xfId="71" applyFont="1" applyFill="1" applyBorder="1" applyAlignment="1" applyProtection="1">
      <alignment horizontal="left" vertical="center" indent="1"/>
      <protection/>
    </xf>
    <xf numFmtId="0" fontId="6" fillId="0" borderId="14" xfId="71" applyFont="1" applyFill="1" applyBorder="1" applyAlignment="1" applyProtection="1">
      <alignment horizontal="left" indent="1"/>
      <protection/>
    </xf>
    <xf numFmtId="166" fontId="12" fillId="0" borderId="14" xfId="71" applyNumberFormat="1" applyFont="1" applyFill="1" applyBorder="1" applyProtection="1">
      <alignment/>
      <protection/>
    </xf>
    <xf numFmtId="166" fontId="12" fillId="0" borderId="15" xfId="71" applyNumberFormat="1" applyFont="1" applyFill="1" applyBorder="1" applyAlignment="1" applyProtection="1" quotePrefix="1">
      <alignment horizontal="center"/>
      <protection/>
    </xf>
    <xf numFmtId="0" fontId="0" fillId="0" borderId="0" xfId="71" applyFont="1" applyFill="1" applyProtection="1">
      <alignment/>
      <protection/>
    </xf>
    <xf numFmtId="0" fontId="17" fillId="0" borderId="0" xfId="71" applyFont="1" applyFill="1" applyProtection="1">
      <alignment/>
      <protection locked="0"/>
    </xf>
    <xf numFmtId="0" fontId="5" fillId="0" borderId="0" xfId="71" applyFont="1" applyFill="1" applyProtection="1">
      <alignment/>
      <protection locked="0"/>
    </xf>
    <xf numFmtId="166" fontId="13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26" borderId="10" xfId="70" applyNumberFormat="1" applyFont="1" applyFill="1" applyBorder="1" applyAlignment="1" applyProtection="1">
      <alignment horizontal="right" vertical="center" wrapText="1" indent="1"/>
      <protection/>
    </xf>
    <xf numFmtId="166" fontId="13" fillId="26" borderId="42" xfId="70" applyNumberFormat="1" applyFont="1" applyFill="1" applyBorder="1" applyAlignment="1" applyProtection="1">
      <alignment horizontal="right" vertical="center" wrapText="1" indent="1"/>
      <protection/>
    </xf>
    <xf numFmtId="166" fontId="0" fillId="0" borderId="37" xfId="0" applyNumberFormat="1" applyFill="1" applyBorder="1" applyAlignment="1" applyProtection="1">
      <alignment horizontal="left" vertical="center" wrapText="1"/>
      <protection locked="0"/>
    </xf>
    <xf numFmtId="3" fontId="0" fillId="0" borderId="0" xfId="71" applyNumberFormat="1" applyFont="1" applyFill="1" applyProtection="1">
      <alignment/>
      <protection locked="0"/>
    </xf>
    <xf numFmtId="166" fontId="13" fillId="0" borderId="22" xfId="71" applyNumberFormat="1" applyFont="1" applyFill="1" applyBorder="1" applyAlignment="1" applyProtection="1">
      <alignment vertical="center"/>
      <protection locked="0"/>
    </xf>
    <xf numFmtId="166" fontId="13" fillId="0" borderId="22" xfId="71" applyNumberFormat="1" applyFont="1" applyFill="1" applyBorder="1" applyAlignment="1" applyProtection="1">
      <alignment vertical="center"/>
      <protection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3" fontId="13" fillId="0" borderId="10" xfId="0" applyNumberFormat="1" applyFont="1" applyBorder="1" applyAlignment="1" applyProtection="1">
      <alignment horizontal="right" vertical="center" indent="1"/>
      <protection locked="0"/>
    </xf>
    <xf numFmtId="3" fontId="3" fillId="0" borderId="0" xfId="71" applyNumberFormat="1" applyFont="1" applyFill="1" applyAlignment="1" applyProtection="1">
      <alignment horizontal="center"/>
      <protection/>
    </xf>
    <xf numFmtId="3" fontId="3" fillId="0" borderId="0" xfId="71" applyNumberFormat="1" applyFont="1" applyFill="1" applyAlignment="1" applyProtection="1">
      <alignment vertical="center"/>
      <protection/>
    </xf>
    <xf numFmtId="0" fontId="2" fillId="0" borderId="0" xfId="71" applyFont="1" applyFill="1" applyAlignment="1" applyProtection="1">
      <alignment vertical="center"/>
      <protection/>
    </xf>
    <xf numFmtId="166" fontId="2" fillId="0" borderId="0" xfId="71" applyNumberFormat="1" applyFill="1" applyAlignment="1" applyProtection="1">
      <alignment vertical="center"/>
      <protection/>
    </xf>
    <xf numFmtId="3" fontId="3" fillId="0" borderId="0" xfId="71" applyNumberFormat="1" applyFont="1" applyFill="1" applyAlignment="1" applyProtection="1">
      <alignment vertical="center"/>
      <protection locked="0"/>
    </xf>
    <xf numFmtId="3" fontId="0" fillId="0" borderId="0" xfId="71" applyNumberFormat="1" applyFont="1" applyFill="1" applyAlignment="1" applyProtection="1">
      <alignment vertical="center"/>
      <protection/>
    </xf>
    <xf numFmtId="3" fontId="3" fillId="0" borderId="0" xfId="71" applyNumberFormat="1" applyFont="1" applyFill="1" applyProtection="1">
      <alignment/>
      <protection locked="0"/>
    </xf>
    <xf numFmtId="3" fontId="47" fillId="0" borderId="46" xfId="0" applyNumberFormat="1" applyFont="1" applyFill="1" applyBorder="1" applyAlignment="1">
      <alignment horizontal="center" vertical="center" wrapText="1"/>
    </xf>
    <xf numFmtId="3" fontId="47" fillId="0" borderId="38" xfId="0" applyNumberFormat="1" applyFont="1" applyBorder="1" applyAlignment="1">
      <alignment vertical="top"/>
    </xf>
    <xf numFmtId="3" fontId="47" fillId="0" borderId="25" xfId="0" applyNumberFormat="1" applyFont="1" applyBorder="1" applyAlignment="1">
      <alignment vertical="top"/>
    </xf>
    <xf numFmtId="0" fontId="48" fillId="0" borderId="19" xfId="0" applyFont="1" applyBorder="1" applyAlignment="1">
      <alignment horizontal="center" vertical="center" wrapText="1"/>
    </xf>
    <xf numFmtId="49" fontId="47" fillId="0" borderId="46" xfId="0" applyNumberFormat="1" applyFont="1" applyBorder="1" applyAlignment="1">
      <alignment horizontal="center" vertical="center"/>
    </xf>
    <xf numFmtId="0" fontId="47" fillId="27" borderId="10" xfId="0" applyFont="1" applyFill="1" applyBorder="1" applyAlignment="1">
      <alignment horizontal="center" vertical="center" wrapText="1"/>
    </xf>
    <xf numFmtId="14" fontId="80" fillId="0" borderId="10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48" fillId="0" borderId="38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49" fontId="24" fillId="0" borderId="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48" fillId="0" borderId="68" xfId="0" applyFont="1" applyBorder="1" applyAlignment="1">
      <alignment vertical="top"/>
    </xf>
    <xf numFmtId="49" fontId="48" fillId="0" borderId="46" xfId="0" applyNumberFormat="1" applyFont="1" applyBorder="1" applyAlignment="1">
      <alignment vertical="top"/>
    </xf>
    <xf numFmtId="0" fontId="48" fillId="0" borderId="19" xfId="0" applyFont="1" applyBorder="1" applyAlignment="1">
      <alignment vertical="top"/>
    </xf>
    <xf numFmtId="3" fontId="48" fillId="0" borderId="11" xfId="0" applyNumberFormat="1" applyFont="1" applyBorder="1" applyAlignment="1">
      <alignment vertical="top"/>
    </xf>
    <xf numFmtId="0" fontId="48" fillId="0" borderId="25" xfId="0" applyFont="1" applyBorder="1" applyAlignment="1">
      <alignment horizontal="right" vertical="top"/>
    </xf>
    <xf numFmtId="3" fontId="48" fillId="0" borderId="25" xfId="0" applyNumberFormat="1" applyFont="1" applyBorder="1" applyAlignment="1">
      <alignment horizontal="right" vertical="top" wrapText="1"/>
    </xf>
    <xf numFmtId="3" fontId="48" fillId="0" borderId="25" xfId="0" applyNumberFormat="1" applyFont="1" applyBorder="1" applyAlignment="1">
      <alignment vertical="top"/>
    </xf>
    <xf numFmtId="180" fontId="48" fillId="0" borderId="25" xfId="0" applyNumberFormat="1" applyFont="1" applyBorder="1" applyAlignment="1">
      <alignment vertical="top"/>
    </xf>
    <xf numFmtId="3" fontId="47" fillId="0" borderId="23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vertical="top"/>
    </xf>
    <xf numFmtId="3" fontId="24" fillId="0" borderId="46" xfId="0" applyNumberFormat="1" applyFont="1" applyBorder="1" applyAlignment="1">
      <alignment horizontal="right" vertical="top"/>
    </xf>
    <xf numFmtId="180" fontId="27" fillId="0" borderId="10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horizontal="center" vertical="top"/>
    </xf>
    <xf numFmtId="180" fontId="48" fillId="0" borderId="0" xfId="0" applyNumberFormat="1" applyFont="1" applyAlignment="1">
      <alignment vertical="top"/>
    </xf>
    <xf numFmtId="3" fontId="27" fillId="0" borderId="68" xfId="0" applyNumberFormat="1" applyFont="1" applyBorder="1" applyAlignment="1">
      <alignment horizontal="left" vertical="top"/>
    </xf>
    <xf numFmtId="180" fontId="48" fillId="0" borderId="10" xfId="0" applyNumberFormat="1" applyFont="1" applyBorder="1" applyAlignment="1">
      <alignment vertical="top"/>
    </xf>
    <xf numFmtId="3" fontId="48" fillId="0" borderId="65" xfId="0" applyNumberFormat="1" applyFont="1" applyBorder="1" applyAlignment="1">
      <alignment horizontal="right" wrapText="1"/>
    </xf>
    <xf numFmtId="0" fontId="27" fillId="0" borderId="23" xfId="0" applyFont="1" applyBorder="1" applyAlignment="1">
      <alignment vertical="top"/>
    </xf>
    <xf numFmtId="3" fontId="27" fillId="0" borderId="68" xfId="0" applyNumberFormat="1" applyFont="1" applyBorder="1" applyAlignment="1">
      <alignment horizontal="right" vertical="top"/>
    </xf>
    <xf numFmtId="0" fontId="27" fillId="0" borderId="0" xfId="0" applyFont="1" applyAlignment="1">
      <alignment vertical="top"/>
    </xf>
    <xf numFmtId="3" fontId="24" fillId="0" borderId="19" xfId="0" applyNumberFormat="1" applyFont="1" applyBorder="1" applyAlignment="1">
      <alignment horizontal="right" vertical="top"/>
    </xf>
    <xf numFmtId="0" fontId="80" fillId="0" borderId="0" xfId="0" applyFont="1" applyBorder="1" applyAlignment="1">
      <alignment vertical="top"/>
    </xf>
    <xf numFmtId="49" fontId="80" fillId="0" borderId="0" xfId="0" applyNumberFormat="1" applyFont="1" applyBorder="1" applyAlignment="1">
      <alignment vertical="top"/>
    </xf>
    <xf numFmtId="0" fontId="80" fillId="0" borderId="0" xfId="0" applyFont="1" applyAlignment="1">
      <alignment vertical="top"/>
    </xf>
    <xf numFmtId="49" fontId="80" fillId="0" borderId="0" xfId="0" applyNumberFormat="1" applyFont="1" applyAlignment="1">
      <alignment vertical="top"/>
    </xf>
    <xf numFmtId="0" fontId="48" fillId="0" borderId="10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69" xfId="0" applyFont="1" applyBorder="1" applyAlignment="1">
      <alignment horizontal="left"/>
    </xf>
    <xf numFmtId="3" fontId="47" fillId="0" borderId="69" xfId="0" applyNumberFormat="1" applyFont="1" applyBorder="1" applyAlignment="1">
      <alignment horizontal="center" wrapText="1"/>
    </xf>
    <xf numFmtId="0" fontId="48" fillId="0" borderId="65" xfId="0" applyFont="1" applyBorder="1" applyAlignment="1">
      <alignment/>
    </xf>
    <xf numFmtId="0" fontId="48" fillId="0" borderId="0" xfId="0" applyFont="1" applyAlignment="1">
      <alignment/>
    </xf>
    <xf numFmtId="0" fontId="48" fillId="0" borderId="20" xfId="0" applyFont="1" applyBorder="1" applyAlignment="1">
      <alignment horizontal="right" vertical="top"/>
    </xf>
    <xf numFmtId="3" fontId="47" fillId="0" borderId="20" xfId="0" applyNumberFormat="1" applyFont="1" applyBorder="1" applyAlignment="1">
      <alignment horizontal="right" vertical="top" wrapText="1"/>
    </xf>
    <xf numFmtId="3" fontId="47" fillId="0" borderId="11" xfId="0" applyNumberFormat="1" applyFont="1" applyBorder="1" applyAlignment="1">
      <alignment horizontal="right" vertical="top" wrapText="1"/>
    </xf>
    <xf numFmtId="173" fontId="48" fillId="0" borderId="28" xfId="0" applyNumberFormat="1" applyFont="1" applyBorder="1" applyAlignment="1">
      <alignment vertical="top"/>
    </xf>
    <xf numFmtId="0" fontId="48" fillId="0" borderId="38" xfId="0" applyFont="1" applyBorder="1" applyAlignment="1">
      <alignment horizontal="right" vertical="top"/>
    </xf>
    <xf numFmtId="3" fontId="47" fillId="0" borderId="38" xfId="0" applyNumberFormat="1" applyFont="1" applyBorder="1" applyAlignment="1">
      <alignment horizontal="right" vertical="top" wrapText="1"/>
    </xf>
    <xf numFmtId="3" fontId="47" fillId="0" borderId="25" xfId="0" applyNumberFormat="1" applyFont="1" applyBorder="1" applyAlignment="1">
      <alignment horizontal="right" vertical="top" wrapText="1"/>
    </xf>
    <xf numFmtId="173" fontId="48" fillId="0" borderId="65" xfId="0" applyNumberFormat="1" applyFont="1" applyBorder="1" applyAlignment="1">
      <alignment vertical="top"/>
    </xf>
    <xf numFmtId="3" fontId="47" fillId="0" borderId="65" xfId="0" applyNumberFormat="1" applyFont="1" applyBorder="1" applyAlignment="1">
      <alignment vertical="top" wrapText="1"/>
    </xf>
    <xf numFmtId="3" fontId="80" fillId="0" borderId="65" xfId="0" applyNumberFormat="1" applyFont="1" applyBorder="1" applyAlignment="1">
      <alignment vertical="top" wrapText="1"/>
    </xf>
    <xf numFmtId="3" fontId="48" fillId="0" borderId="65" xfId="0" applyNumberFormat="1" applyFont="1" applyBorder="1" applyAlignment="1">
      <alignment vertical="top" wrapText="1"/>
    </xf>
    <xf numFmtId="3" fontId="47" fillId="0" borderId="65" xfId="78" applyNumberFormat="1" applyFont="1" applyBorder="1" applyAlignment="1">
      <alignment vertical="top" wrapText="1"/>
    </xf>
    <xf numFmtId="3" fontId="47" fillId="0" borderId="65" xfId="0" applyNumberFormat="1" applyFont="1" applyBorder="1" applyAlignment="1">
      <alignment vertical="top"/>
    </xf>
    <xf numFmtId="0" fontId="27" fillId="0" borderId="10" xfId="0" applyFont="1" applyBorder="1" applyAlignment="1">
      <alignment horizontal="left"/>
    </xf>
    <xf numFmtId="3" fontId="27" fillId="0" borderId="10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173" fontId="27" fillId="0" borderId="10" xfId="0" applyNumberFormat="1" applyFont="1" applyBorder="1" applyAlignment="1">
      <alignment vertical="top"/>
    </xf>
    <xf numFmtId="0" fontId="48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/>
    </xf>
    <xf numFmtId="3" fontId="47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173" fontId="48" fillId="0" borderId="0" xfId="0" applyNumberFormat="1" applyFont="1" applyAlignment="1">
      <alignment/>
    </xf>
    <xf numFmtId="0" fontId="27" fillId="0" borderId="19" xfId="0" applyFont="1" applyFill="1" applyBorder="1" applyAlignment="1">
      <alignment horizontal="left" vertical="center"/>
    </xf>
    <xf numFmtId="0" fontId="24" fillId="0" borderId="68" xfId="0" applyFont="1" applyBorder="1" applyAlignment="1">
      <alignment horizontal="left" vertical="top" wrapText="1"/>
    </xf>
    <xf numFmtId="3" fontId="47" fillId="0" borderId="19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1" xfId="0" applyNumberFormat="1" applyFont="1" applyBorder="1" applyAlignment="1">
      <alignment/>
    </xf>
    <xf numFmtId="0" fontId="48" fillId="0" borderId="38" xfId="0" applyFont="1" applyFill="1" applyBorder="1" applyAlignment="1">
      <alignment horizontal="right"/>
    </xf>
    <xf numFmtId="0" fontId="48" fillId="0" borderId="20" xfId="0" applyFont="1" applyBorder="1" applyAlignment="1">
      <alignment horizontal="left"/>
    </xf>
    <xf numFmtId="0" fontId="48" fillId="0" borderId="0" xfId="0" applyFont="1" applyBorder="1" applyAlignment="1">
      <alignment horizontal="right"/>
    </xf>
    <xf numFmtId="3" fontId="47" fillId="0" borderId="38" xfId="0" applyNumberFormat="1" applyFont="1" applyBorder="1" applyAlignment="1">
      <alignment/>
    </xf>
    <xf numFmtId="3" fontId="48" fillId="0" borderId="25" xfId="0" applyNumberFormat="1" applyFont="1" applyBorder="1" applyAlignment="1">
      <alignment/>
    </xf>
    <xf numFmtId="0" fontId="48" fillId="0" borderId="38" xfId="0" applyFont="1" applyFill="1" applyBorder="1" applyAlignment="1">
      <alignment horizontal="right" vertical="center"/>
    </xf>
    <xf numFmtId="0" fontId="48" fillId="0" borderId="38" xfId="0" applyFont="1" applyBorder="1" applyAlignment="1">
      <alignment horizontal="left"/>
    </xf>
    <xf numFmtId="173" fontId="48" fillId="0" borderId="25" xfId="0" applyNumberFormat="1" applyFont="1" applyBorder="1" applyAlignment="1">
      <alignment/>
    </xf>
    <xf numFmtId="0" fontId="48" fillId="0" borderId="0" xfId="0" applyFont="1" applyBorder="1" applyAlignment="1">
      <alignment horizontal="right" vertical="top" wrapText="1"/>
    </xf>
    <xf numFmtId="3" fontId="47" fillId="0" borderId="38" xfId="0" applyNumberFormat="1" applyFont="1" applyBorder="1" applyAlignment="1">
      <alignment horizontal="right" vertical="top"/>
    </xf>
    <xf numFmtId="0" fontId="27" fillId="0" borderId="10" xfId="0" applyFont="1" applyFill="1" applyBorder="1" applyAlignment="1">
      <alignment horizontal="left" vertical="top"/>
    </xf>
    <xf numFmtId="0" fontId="24" fillId="0" borderId="10" xfId="0" applyFont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top"/>
    </xf>
    <xf numFmtId="0" fontId="27" fillId="0" borderId="20" xfId="0" applyFont="1" applyBorder="1" applyAlignment="1">
      <alignment/>
    </xf>
    <xf numFmtId="0" fontId="24" fillId="0" borderId="69" xfId="0" applyFont="1" applyBorder="1" applyAlignment="1">
      <alignment horizontal="left" vertical="top"/>
    </xf>
    <xf numFmtId="0" fontId="24" fillId="0" borderId="28" xfId="0" applyFont="1" applyBorder="1" applyAlignment="1">
      <alignment horizontal="left" vertical="top"/>
    </xf>
    <xf numFmtId="3" fontId="47" fillId="0" borderId="20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0" fontId="48" fillId="0" borderId="70" xfId="0" applyFont="1" applyBorder="1" applyAlignment="1">
      <alignment/>
    </xf>
    <xf numFmtId="0" fontId="24" fillId="0" borderId="71" xfId="0" applyFont="1" applyBorder="1" applyAlignment="1">
      <alignment horizontal="left" vertical="top"/>
    </xf>
    <xf numFmtId="0" fontId="24" fillId="0" borderId="44" xfId="0" applyFont="1" applyBorder="1" applyAlignment="1">
      <alignment horizontal="left" vertical="top"/>
    </xf>
    <xf numFmtId="3" fontId="24" fillId="0" borderId="71" xfId="0" applyNumberFormat="1" applyFont="1" applyBorder="1" applyAlignment="1">
      <alignment horizontal="right"/>
    </xf>
    <xf numFmtId="173" fontId="27" fillId="0" borderId="23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24" fillId="0" borderId="68" xfId="0" applyFont="1" applyFill="1" applyBorder="1" applyAlignment="1">
      <alignment/>
    </xf>
    <xf numFmtId="3" fontId="47" fillId="0" borderId="46" xfId="0" applyNumberFormat="1" applyFont="1" applyBorder="1" applyAlignment="1">
      <alignment horizontal="center" wrapText="1"/>
    </xf>
    <xf numFmtId="173" fontId="48" fillId="0" borderId="28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 vertical="top" wrapText="1"/>
    </xf>
    <xf numFmtId="0" fontId="47" fillId="0" borderId="25" xfId="0" applyFont="1" applyBorder="1" applyAlignment="1">
      <alignment horizontal="right" vertical="top" wrapText="1"/>
    </xf>
    <xf numFmtId="3" fontId="80" fillId="0" borderId="25" xfId="0" applyNumberFormat="1" applyFont="1" applyBorder="1" applyAlignment="1">
      <alignment horizontal="right" vertical="top" wrapText="1"/>
    </xf>
    <xf numFmtId="3" fontId="47" fillId="0" borderId="25" xfId="78" applyNumberFormat="1" applyFont="1" applyBorder="1" applyAlignment="1">
      <alignment horizontal="right" vertical="top" wrapText="1"/>
    </xf>
    <xf numFmtId="3" fontId="48" fillId="0" borderId="23" xfId="0" applyNumberFormat="1" applyFont="1" applyBorder="1" applyAlignment="1">
      <alignment vertical="top"/>
    </xf>
    <xf numFmtId="0" fontId="48" fillId="0" borderId="19" xfId="0" applyFont="1" applyBorder="1" applyAlignment="1">
      <alignment horizontal="right" vertical="top"/>
    </xf>
    <xf numFmtId="173" fontId="27" fillId="0" borderId="11" xfId="0" applyNumberFormat="1" applyFont="1" applyBorder="1" applyAlignment="1">
      <alignment vertical="top"/>
    </xf>
    <xf numFmtId="0" fontId="27" fillId="0" borderId="20" xfId="0" applyFont="1" applyBorder="1" applyAlignment="1">
      <alignment/>
    </xf>
    <xf numFmtId="0" fontId="27" fillId="0" borderId="19" xfId="0" applyFont="1" applyBorder="1" applyAlignment="1">
      <alignment horizontal="left"/>
    </xf>
    <xf numFmtId="0" fontId="27" fillId="0" borderId="46" xfId="0" applyFont="1" applyBorder="1" applyAlignment="1">
      <alignment horizontal="left"/>
    </xf>
    <xf numFmtId="3" fontId="27" fillId="0" borderId="68" xfId="0" applyNumberFormat="1" applyFont="1" applyBorder="1" applyAlignment="1">
      <alignment horizontal="left"/>
    </xf>
    <xf numFmtId="3" fontId="47" fillId="0" borderId="19" xfId="0" applyNumberFormat="1" applyFont="1" applyBorder="1" applyAlignment="1">
      <alignment/>
    </xf>
    <xf numFmtId="3" fontId="48" fillId="0" borderId="68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 vertical="top"/>
    </xf>
    <xf numFmtId="173" fontId="48" fillId="0" borderId="11" xfId="0" applyNumberFormat="1" applyFont="1" applyBorder="1" applyAlignment="1">
      <alignment vertical="top"/>
    </xf>
    <xf numFmtId="3" fontId="48" fillId="0" borderId="70" xfId="0" applyNumberFormat="1" applyFont="1" applyBorder="1" applyAlignment="1">
      <alignment vertical="top"/>
    </xf>
    <xf numFmtId="173" fontId="48" fillId="0" borderId="23" xfId="0" applyNumberFormat="1" applyFont="1" applyBorder="1" applyAlignment="1">
      <alignment vertical="top"/>
    </xf>
    <xf numFmtId="0" fontId="27" fillId="0" borderId="19" xfId="0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/>
    </xf>
    <xf numFmtId="0" fontId="48" fillId="0" borderId="38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173" fontId="48" fillId="0" borderId="0" xfId="0" applyNumberFormat="1" applyFont="1" applyBorder="1" applyAlignment="1">
      <alignment vertical="top"/>
    </xf>
    <xf numFmtId="3" fontId="27" fillId="0" borderId="46" xfId="0" applyNumberFormat="1" applyFont="1" applyFill="1" applyBorder="1" applyAlignment="1">
      <alignment horizontal="right" wrapText="1"/>
    </xf>
    <xf numFmtId="173" fontId="27" fillId="0" borderId="10" xfId="0" applyNumberFormat="1" applyFont="1" applyBorder="1" applyAlignment="1">
      <alignment horizontal="right"/>
    </xf>
    <xf numFmtId="0" fontId="48" fillId="0" borderId="19" xfId="0" applyFont="1" applyBorder="1" applyAlignment="1">
      <alignment/>
    </xf>
    <xf numFmtId="0" fontId="24" fillId="0" borderId="68" xfId="0" applyFont="1" applyBorder="1" applyAlignment="1">
      <alignment/>
    </xf>
    <xf numFmtId="3" fontId="24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73" fontId="48" fillId="0" borderId="10" xfId="0" applyNumberFormat="1" applyFont="1" applyBorder="1" applyAlignment="1">
      <alignment vertical="top"/>
    </xf>
    <xf numFmtId="0" fontId="48" fillId="0" borderId="38" xfId="0" applyFont="1" applyBorder="1" applyAlignment="1">
      <alignment horizontal="right"/>
    </xf>
    <xf numFmtId="3" fontId="47" fillId="0" borderId="65" xfId="0" applyNumberFormat="1" applyFont="1" applyBorder="1" applyAlignment="1">
      <alignment horizontal="right"/>
    </xf>
    <xf numFmtId="3" fontId="47" fillId="0" borderId="25" xfId="0" applyNumberFormat="1" applyFont="1" applyBorder="1" applyAlignment="1">
      <alignment/>
    </xf>
    <xf numFmtId="3" fontId="47" fillId="0" borderId="38" xfId="0" applyNumberFormat="1" applyFont="1" applyBorder="1" applyAlignment="1">
      <alignment/>
    </xf>
    <xf numFmtId="173" fontId="48" fillId="0" borderId="25" xfId="0" applyNumberFormat="1" applyFont="1" applyBorder="1" applyAlignment="1">
      <alignment vertical="top"/>
    </xf>
    <xf numFmtId="3" fontId="0" fillId="0" borderId="65" xfId="0" applyNumberFormat="1" applyBorder="1" applyAlignment="1">
      <alignment horizontal="right" vertical="top" wrapText="1"/>
    </xf>
    <xf numFmtId="0" fontId="24" fillId="0" borderId="10" xfId="0" applyFont="1" applyBorder="1" applyAlignment="1">
      <alignment horizontal="left"/>
    </xf>
    <xf numFmtId="3" fontId="24" fillId="0" borderId="46" xfId="0" applyNumberFormat="1" applyFont="1" applyBorder="1" applyAlignment="1">
      <alignment horizontal="right" wrapText="1"/>
    </xf>
    <xf numFmtId="0" fontId="27" fillId="0" borderId="70" xfId="0" applyFont="1" applyBorder="1" applyAlignment="1">
      <alignment/>
    </xf>
    <xf numFmtId="3" fontId="24" fillId="0" borderId="0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/>
    </xf>
    <xf numFmtId="0" fontId="48" fillId="0" borderId="69" xfId="0" applyFont="1" applyBorder="1" applyAlignment="1">
      <alignment horizontal="left"/>
    </xf>
    <xf numFmtId="3" fontId="48" fillId="0" borderId="11" xfId="0" applyNumberFormat="1" applyFont="1" applyBorder="1" applyAlignment="1">
      <alignment horizontal="right"/>
    </xf>
    <xf numFmtId="3" fontId="47" fillId="0" borderId="20" xfId="0" applyNumberFormat="1" applyFont="1" applyBorder="1" applyAlignment="1">
      <alignment/>
    </xf>
    <xf numFmtId="0" fontId="48" fillId="0" borderId="0" xfId="0" applyFont="1" applyBorder="1" applyAlignment="1">
      <alignment horizontal="left"/>
    </xf>
    <xf numFmtId="3" fontId="48" fillId="0" borderId="25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0" fontId="27" fillId="0" borderId="19" xfId="0" applyFont="1" applyFill="1" applyBorder="1" applyAlignment="1">
      <alignment horizontal="left"/>
    </xf>
    <xf numFmtId="0" fontId="27" fillId="0" borderId="68" xfId="0" applyFont="1" applyFill="1" applyBorder="1" applyAlignment="1">
      <alignment horizontal="left"/>
    </xf>
    <xf numFmtId="3" fontId="27" fillId="0" borderId="10" xfId="0" applyNumberFormat="1" applyFont="1" applyFill="1" applyBorder="1" applyAlignment="1">
      <alignment horizontal="right"/>
    </xf>
    <xf numFmtId="3" fontId="24" fillId="0" borderId="19" xfId="0" applyNumberFormat="1" applyFont="1" applyBorder="1" applyAlignment="1">
      <alignment/>
    </xf>
    <xf numFmtId="3" fontId="48" fillId="0" borderId="0" xfId="0" applyNumberFormat="1" applyFont="1" applyAlignment="1">
      <alignment horizontal="right"/>
    </xf>
    <xf numFmtId="3" fontId="48" fillId="0" borderId="38" xfId="0" applyNumberFormat="1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69" xfId="0" applyFont="1" applyBorder="1" applyAlignment="1">
      <alignment/>
    </xf>
    <xf numFmtId="0" fontId="27" fillId="0" borderId="28" xfId="0" applyFont="1" applyBorder="1" applyAlignment="1">
      <alignment horizontal="center" wrapText="1"/>
    </xf>
    <xf numFmtId="3" fontId="27" fillId="0" borderId="69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/>
    </xf>
    <xf numFmtId="0" fontId="48" fillId="0" borderId="71" xfId="0" applyFont="1" applyBorder="1" applyAlignment="1">
      <alignment/>
    </xf>
    <xf numFmtId="0" fontId="27" fillId="0" borderId="44" xfId="0" applyFont="1" applyBorder="1" applyAlignment="1">
      <alignment horizontal="center" wrapText="1"/>
    </xf>
    <xf numFmtId="3" fontId="27" fillId="0" borderId="71" xfId="0" applyNumberFormat="1" applyFont="1" applyBorder="1" applyAlignment="1">
      <alignment horizontal="right" wrapText="1"/>
    </xf>
    <xf numFmtId="173" fontId="27" fillId="0" borderId="23" xfId="0" applyNumberFormat="1" applyFont="1" applyBorder="1" applyAlignment="1">
      <alignment vertical="top"/>
    </xf>
    <xf numFmtId="3" fontId="48" fillId="0" borderId="0" xfId="0" applyNumberFormat="1" applyFont="1" applyAlignment="1">
      <alignment/>
    </xf>
    <xf numFmtId="0" fontId="22" fillId="0" borderId="11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2" fillId="0" borderId="25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Continuous"/>
    </xf>
    <xf numFmtId="0" fontId="50" fillId="0" borderId="38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3" fontId="24" fillId="0" borderId="25" xfId="0" applyNumberFormat="1" applyFont="1" applyFill="1" applyBorder="1" applyAlignment="1">
      <alignment/>
    </xf>
    <xf numFmtId="3" fontId="22" fillId="0" borderId="38" xfId="0" applyNumberFormat="1" applyFont="1" applyFill="1" applyBorder="1" applyAlignment="1">
      <alignment horizontal="left"/>
    </xf>
    <xf numFmtId="3" fontId="22" fillId="0" borderId="20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9" fontId="24" fillId="0" borderId="25" xfId="0" applyNumberFormat="1" applyFont="1" applyFill="1" applyBorder="1" applyAlignment="1">
      <alignment/>
    </xf>
    <xf numFmtId="3" fontId="22" fillId="0" borderId="38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2" fillId="0" borderId="65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3" fontId="22" fillId="0" borderId="70" xfId="0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left"/>
    </xf>
    <xf numFmtId="173" fontId="22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3" fontId="47" fillId="0" borderId="38" xfId="0" applyNumberFormat="1" applyFont="1" applyFill="1" applyBorder="1" applyAlignment="1">
      <alignment/>
    </xf>
    <xf numFmtId="49" fontId="81" fillId="28" borderId="72" xfId="0" applyNumberFormat="1" applyFont="1" applyFill="1" applyBorder="1" applyAlignment="1">
      <alignment horizontal="center"/>
    </xf>
    <xf numFmtId="0" fontId="81" fillId="28" borderId="72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81" fillId="28" borderId="73" xfId="0" applyNumberFormat="1" applyFont="1" applyFill="1" applyBorder="1" applyAlignment="1">
      <alignment horizontal="center"/>
    </xf>
    <xf numFmtId="0" fontId="81" fillId="28" borderId="73" xfId="0" applyFont="1" applyFill="1" applyBorder="1" applyAlignment="1">
      <alignment horizontal="center"/>
    </xf>
    <xf numFmtId="0" fontId="82" fillId="29" borderId="74" xfId="0" applyFont="1" applyFill="1" applyBorder="1" applyAlignment="1">
      <alignment/>
    </xf>
    <xf numFmtId="0" fontId="82" fillId="29" borderId="75" xfId="0" applyFont="1" applyFill="1" applyBorder="1" applyAlignment="1">
      <alignment/>
    </xf>
    <xf numFmtId="0" fontId="82" fillId="29" borderId="76" xfId="0" applyFont="1" applyFill="1" applyBorder="1" applyAlignment="1">
      <alignment/>
    </xf>
    <xf numFmtId="0" fontId="81" fillId="28" borderId="73" xfId="0" applyFont="1" applyFill="1" applyBorder="1" applyAlignment="1">
      <alignment/>
    </xf>
    <xf numFmtId="3" fontId="81" fillId="28" borderId="72" xfId="0" applyNumberFormat="1" applyFont="1" applyFill="1" applyBorder="1" applyAlignment="1">
      <alignment horizontal="center"/>
    </xf>
    <xf numFmtId="0" fontId="82" fillId="29" borderId="72" xfId="0" applyFont="1" applyFill="1" applyBorder="1" applyAlignment="1">
      <alignment horizontal="center"/>
    </xf>
    <xf numFmtId="49" fontId="81" fillId="28" borderId="77" xfId="0" applyNumberFormat="1" applyFont="1" applyFill="1" applyBorder="1" applyAlignment="1">
      <alignment horizontal="center"/>
    </xf>
    <xf numFmtId="0" fontId="81" fillId="28" borderId="77" xfId="0" applyFont="1" applyFill="1" applyBorder="1" applyAlignment="1">
      <alignment horizontal="left"/>
    </xf>
    <xf numFmtId="0" fontId="81" fillId="28" borderId="77" xfId="0" applyFont="1" applyFill="1" applyBorder="1" applyAlignment="1">
      <alignment/>
    </xf>
    <xf numFmtId="3" fontId="81" fillId="28" borderId="73" xfId="0" applyNumberFormat="1" applyFont="1" applyFill="1" applyBorder="1" applyAlignment="1">
      <alignment horizontal="center"/>
    </xf>
    <xf numFmtId="0" fontId="82" fillId="29" borderId="73" xfId="0" applyFont="1" applyFill="1" applyBorder="1" applyAlignment="1">
      <alignment horizontal="center"/>
    </xf>
    <xf numFmtId="3" fontId="82" fillId="30" borderId="75" xfId="0" applyNumberFormat="1" applyFont="1" applyFill="1" applyBorder="1" applyAlignment="1">
      <alignment horizontal="center"/>
    </xf>
    <xf numFmtId="0" fontId="82" fillId="30" borderId="75" xfId="0" applyFont="1" applyFill="1" applyBorder="1" applyAlignment="1">
      <alignment horizontal="center"/>
    </xf>
    <xf numFmtId="182" fontId="82" fillId="27" borderId="73" xfId="67" applyNumberFormat="1" applyFont="1" applyFill="1" applyBorder="1" applyAlignment="1">
      <alignment horizontal="center" vertical="top"/>
      <protection/>
    </xf>
    <xf numFmtId="0" fontId="82" fillId="27" borderId="73" xfId="67" applyFont="1" applyFill="1" applyBorder="1" applyAlignment="1">
      <alignment vertical="top"/>
      <protection/>
    </xf>
    <xf numFmtId="3" fontId="82" fillId="27" borderId="11" xfId="66" applyNumberFormat="1" applyFont="1" applyFill="1" applyBorder="1" applyAlignment="1">
      <alignment vertical="top"/>
      <protection/>
    </xf>
    <xf numFmtId="3" fontId="82" fillId="27" borderId="25" xfId="66" applyNumberFormat="1" applyFont="1" applyFill="1" applyBorder="1" applyAlignment="1">
      <alignment vertical="top"/>
      <protection/>
    </xf>
    <xf numFmtId="3" fontId="82" fillId="27" borderId="0" xfId="66" applyNumberFormat="1" applyFont="1" applyFill="1" applyBorder="1" applyAlignment="1">
      <alignment vertical="top"/>
      <protection/>
    </xf>
    <xf numFmtId="180" fontId="82" fillId="27" borderId="73" xfId="0" applyNumberFormat="1" applyFont="1" applyFill="1" applyBorder="1" applyAlignment="1">
      <alignment vertical="top"/>
    </xf>
    <xf numFmtId="0" fontId="82" fillId="27" borderId="0" xfId="0" applyFont="1" applyFill="1" applyBorder="1" applyAlignment="1">
      <alignment vertical="top"/>
    </xf>
    <xf numFmtId="0" fontId="82" fillId="27" borderId="73" xfId="0" applyFont="1" applyFill="1" applyBorder="1" applyAlignment="1">
      <alignment vertical="top"/>
    </xf>
    <xf numFmtId="0" fontId="11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49" fontId="82" fillId="27" borderId="73" xfId="66" applyNumberFormat="1" applyFont="1" applyFill="1" applyBorder="1" applyAlignment="1">
      <alignment vertical="top"/>
      <protection/>
    </xf>
    <xf numFmtId="0" fontId="82" fillId="27" borderId="0" xfId="0" applyFont="1" applyFill="1" applyAlignment="1">
      <alignment vertical="top"/>
    </xf>
    <xf numFmtId="0" fontId="82" fillId="27" borderId="73" xfId="67" applyFont="1" applyFill="1" applyBorder="1" applyAlignment="1">
      <alignment vertical="top" wrapText="1"/>
      <protection/>
    </xf>
    <xf numFmtId="0" fontId="82" fillId="27" borderId="78" xfId="67" applyFont="1" applyFill="1" applyBorder="1" applyAlignment="1">
      <alignment vertical="top"/>
      <protection/>
    </xf>
    <xf numFmtId="0" fontId="55" fillId="0" borderId="0" xfId="0" applyFont="1" applyAlignment="1">
      <alignment/>
    </xf>
    <xf numFmtId="0" fontId="83" fillId="27" borderId="78" xfId="0" applyFont="1" applyFill="1" applyBorder="1" applyAlignment="1">
      <alignment horizontal="center" vertical="top" wrapText="1"/>
    </xf>
    <xf numFmtId="3" fontId="82" fillId="27" borderId="73" xfId="66" applyNumberFormat="1" applyFont="1" applyFill="1" applyBorder="1" applyAlignment="1">
      <alignment vertical="top"/>
      <protection/>
    </xf>
    <xf numFmtId="3" fontId="82" fillId="27" borderId="77" xfId="66" applyNumberFormat="1" applyFont="1" applyFill="1" applyBorder="1" applyAlignment="1">
      <alignment vertical="top"/>
      <protection/>
    </xf>
    <xf numFmtId="49" fontId="82" fillId="27" borderId="79" xfId="0" applyNumberFormat="1" applyFont="1" applyFill="1" applyBorder="1" applyAlignment="1">
      <alignment vertical="top"/>
    </xf>
    <xf numFmtId="182" fontId="82" fillId="27" borderId="79" xfId="0" applyNumberFormat="1" applyFont="1" applyFill="1" applyBorder="1" applyAlignment="1">
      <alignment horizontal="center" vertical="top"/>
    </xf>
    <xf numFmtId="0" fontId="81" fillId="27" borderId="75" xfId="0" applyFont="1" applyFill="1" applyBorder="1" applyAlignment="1">
      <alignment horizontal="center" vertical="top"/>
    </xf>
    <xf numFmtId="3" fontId="82" fillId="27" borderId="74" xfId="0" applyNumberFormat="1" applyFont="1" applyFill="1" applyBorder="1" applyAlignment="1">
      <alignment vertical="top"/>
    </xf>
    <xf numFmtId="180" fontId="82" fillId="27" borderId="79" xfId="0" applyNumberFormat="1" applyFont="1" applyFill="1" applyBorder="1" applyAlignment="1">
      <alignment vertical="top"/>
    </xf>
    <xf numFmtId="0" fontId="82" fillId="27" borderId="79" xfId="0" applyFont="1" applyFill="1" applyBorder="1" applyAlignment="1">
      <alignment vertical="top"/>
    </xf>
    <xf numFmtId="49" fontId="82" fillId="27" borderId="0" xfId="0" applyNumberFormat="1" applyFont="1" applyFill="1" applyAlignment="1">
      <alignment vertical="top"/>
    </xf>
    <xf numFmtId="3" fontId="82" fillId="27" borderId="0" xfId="0" applyNumberFormat="1" applyFont="1" applyFill="1" applyAlignment="1">
      <alignment vertical="top"/>
    </xf>
    <xf numFmtId="49" fontId="84" fillId="27" borderId="0" xfId="0" applyNumberFormat="1" applyFont="1" applyFill="1" applyAlignment="1">
      <alignment vertical="top"/>
    </xf>
    <xf numFmtId="0" fontId="84" fillId="27" borderId="0" xfId="0" applyFont="1" applyFill="1" applyAlignment="1">
      <alignment vertical="top"/>
    </xf>
    <xf numFmtId="3" fontId="84" fillId="27" borderId="0" xfId="0" applyNumberFormat="1" applyFont="1" applyFill="1" applyAlignment="1">
      <alignment vertical="top"/>
    </xf>
    <xf numFmtId="49" fontId="82" fillId="27" borderId="11" xfId="66" applyNumberFormat="1" applyFont="1" applyFill="1" applyBorder="1" applyAlignment="1">
      <alignment vertical="top"/>
      <protection/>
    </xf>
    <xf numFmtId="49" fontId="82" fillId="27" borderId="80" xfId="67" applyNumberFormat="1" applyFont="1" applyFill="1" applyBorder="1" applyAlignment="1">
      <alignment horizontal="center" vertical="top"/>
      <protection/>
    </xf>
    <xf numFmtId="0" fontId="82" fillId="27" borderId="80" xfId="67" applyFont="1" applyFill="1" applyBorder="1" applyAlignment="1">
      <alignment vertical="top" wrapText="1"/>
      <protection/>
    </xf>
    <xf numFmtId="3" fontId="82" fillId="27" borderId="72" xfId="0" applyNumberFormat="1" applyFont="1" applyFill="1" applyBorder="1" applyAlignment="1">
      <alignment vertical="top"/>
    </xf>
    <xf numFmtId="180" fontId="82" fillId="27" borderId="72" xfId="0" applyNumberFormat="1" applyFont="1" applyFill="1" applyBorder="1" applyAlignment="1">
      <alignment vertical="top"/>
    </xf>
    <xf numFmtId="0" fontId="84" fillId="27" borderId="81" xfId="0" applyFont="1" applyFill="1" applyBorder="1" applyAlignment="1">
      <alignment vertical="top"/>
    </xf>
    <xf numFmtId="49" fontId="84" fillId="27" borderId="25" xfId="66" applyNumberFormat="1" applyFont="1" applyFill="1" applyBorder="1" applyAlignment="1">
      <alignment vertical="top"/>
      <protection/>
    </xf>
    <xf numFmtId="49" fontId="82" fillId="27" borderId="73" xfId="67" applyNumberFormat="1" applyFont="1" applyFill="1" applyBorder="1" applyAlignment="1">
      <alignment horizontal="center" vertical="top"/>
      <protection/>
    </xf>
    <xf numFmtId="3" fontId="82" fillId="27" borderId="73" xfId="0" applyNumberFormat="1" applyFont="1" applyFill="1" applyBorder="1" applyAlignment="1">
      <alignment vertical="top"/>
    </xf>
    <xf numFmtId="0" fontId="84" fillId="27" borderId="0" xfId="0" applyFont="1" applyFill="1" applyBorder="1" applyAlignment="1">
      <alignment vertical="top"/>
    </xf>
    <xf numFmtId="0" fontId="82" fillId="27" borderId="0" xfId="67" applyFont="1" applyFill="1" applyBorder="1" applyAlignment="1">
      <alignment vertical="top" wrapText="1"/>
      <protection/>
    </xf>
    <xf numFmtId="0" fontId="85" fillId="27" borderId="0" xfId="0" applyFont="1" applyFill="1" applyAlignment="1">
      <alignment vertical="top"/>
    </xf>
    <xf numFmtId="3" fontId="85" fillId="27" borderId="0" xfId="0" applyNumberFormat="1" applyFont="1" applyFill="1" applyAlignment="1">
      <alignment vertical="top"/>
    </xf>
    <xf numFmtId="3" fontId="81" fillId="27" borderId="79" xfId="0" applyNumberFormat="1" applyFont="1" applyFill="1" applyBorder="1" applyAlignment="1">
      <alignment vertical="top"/>
    </xf>
    <xf numFmtId="0" fontId="85" fillId="27" borderId="79" xfId="0" applyFont="1" applyFill="1" applyBorder="1" applyAlignment="1">
      <alignment vertical="top"/>
    </xf>
    <xf numFmtId="49" fontId="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5" fontId="20" fillId="0" borderId="0" xfId="46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7" fillId="0" borderId="25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3" fontId="22" fillId="0" borderId="25" xfId="0" applyNumberFormat="1" applyFont="1" applyFill="1" applyBorder="1" applyAlignment="1">
      <alignment horizontal="left"/>
    </xf>
    <xf numFmtId="3" fontId="22" fillId="0" borderId="25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3" fontId="22" fillId="0" borderId="25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47" fillId="0" borderId="11" xfId="64" applyNumberFormat="1" applyFont="1" applyFill="1" applyBorder="1" applyAlignment="1">
      <alignment vertical="top"/>
      <protection/>
    </xf>
    <xf numFmtId="3" fontId="0" fillId="0" borderId="69" xfId="0" applyNumberFormat="1" applyFont="1" applyFill="1" applyBorder="1" applyAlignment="1">
      <alignment/>
    </xf>
    <xf numFmtId="3" fontId="47" fillId="0" borderId="82" xfId="64" applyNumberFormat="1" applyFont="1" applyFill="1" applyBorder="1" applyAlignment="1">
      <alignment/>
      <protection/>
    </xf>
    <xf numFmtId="3" fontId="0" fillId="0" borderId="83" xfId="0" applyNumberFormat="1" applyFont="1" applyFill="1" applyBorder="1" applyAlignment="1">
      <alignment/>
    </xf>
    <xf numFmtId="3" fontId="59" fillId="0" borderId="82" xfId="64" applyNumberFormat="1" applyFont="1" applyFill="1" applyBorder="1" applyAlignment="1">
      <alignment/>
      <protection/>
    </xf>
    <xf numFmtId="3" fontId="7" fillId="0" borderId="83" xfId="0" applyNumberFormat="1" applyFont="1" applyFill="1" applyBorder="1" applyAlignment="1">
      <alignment/>
    </xf>
    <xf numFmtId="3" fontId="59" fillId="0" borderId="82" xfId="64" applyNumberFormat="1" applyFont="1" applyFill="1" applyBorder="1" applyAlignment="1">
      <alignment horizontal="left"/>
      <protection/>
    </xf>
    <xf numFmtId="3" fontId="59" fillId="0" borderId="82" xfId="64" applyNumberFormat="1" applyFont="1" applyFill="1" applyBorder="1">
      <alignment/>
      <protection/>
    </xf>
    <xf numFmtId="3" fontId="47" fillId="0" borderId="84" xfId="64" applyNumberFormat="1" applyFont="1" applyFill="1" applyBorder="1" applyAlignment="1">
      <alignment/>
      <protection/>
    </xf>
    <xf numFmtId="3" fontId="0" fillId="0" borderId="85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Continuous"/>
    </xf>
    <xf numFmtId="3" fontId="3" fillId="0" borderId="25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0" fillId="0" borderId="86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81" fillId="27" borderId="72" xfId="69" applyNumberFormat="1" applyFont="1" applyFill="1" applyBorder="1" applyAlignment="1">
      <alignment horizontal="center" vertical="center" wrapText="1"/>
      <protection/>
    </xf>
    <xf numFmtId="3" fontId="2" fillId="0" borderId="0" xfId="69" applyNumberFormat="1" applyFont="1">
      <alignment/>
      <protection/>
    </xf>
    <xf numFmtId="0" fontId="86" fillId="27" borderId="73" xfId="0" applyFont="1" applyFill="1" applyBorder="1" applyAlignment="1">
      <alignment horizontal="center" vertical="center" wrapText="1"/>
    </xf>
    <xf numFmtId="0" fontId="86" fillId="27" borderId="73" xfId="0" applyFont="1" applyFill="1" applyBorder="1" applyAlignment="1">
      <alignment horizontal="center" vertical="center"/>
    </xf>
    <xf numFmtId="3" fontId="81" fillId="27" borderId="77" xfId="69" applyNumberFormat="1" applyFont="1" applyFill="1" applyBorder="1" applyAlignment="1">
      <alignment horizontal="center" vertical="center" wrapText="1"/>
      <protection/>
    </xf>
    <xf numFmtId="3" fontId="81" fillId="27" borderId="77" xfId="69" applyNumberFormat="1" applyFont="1" applyFill="1" applyBorder="1" applyAlignment="1">
      <alignment horizontal="center" vertical="center"/>
      <protection/>
    </xf>
    <xf numFmtId="0" fontId="83" fillId="27" borderId="89" xfId="0" applyFont="1" applyFill="1" applyBorder="1" applyAlignment="1">
      <alignment horizontal="center" vertical="center" wrapText="1"/>
    </xf>
    <xf numFmtId="3" fontId="81" fillId="27" borderId="79" xfId="69" applyNumberFormat="1" applyFont="1" applyFill="1" applyBorder="1" applyAlignment="1">
      <alignment horizontal="center" vertical="center" wrapText="1"/>
      <protection/>
    </xf>
    <xf numFmtId="0" fontId="83" fillId="27" borderId="77" xfId="0" applyFont="1" applyFill="1" applyBorder="1" applyAlignment="1">
      <alignment horizontal="center" vertical="center"/>
    </xf>
    <xf numFmtId="0" fontId="86" fillId="27" borderId="77" xfId="0" applyFont="1" applyFill="1" applyBorder="1" applyAlignment="1">
      <alignment horizontal="center" vertical="center"/>
    </xf>
    <xf numFmtId="3" fontId="81" fillId="27" borderId="79" xfId="69" applyNumberFormat="1" applyFont="1" applyFill="1" applyBorder="1" applyAlignment="1">
      <alignment horizontal="center" vertical="center"/>
      <protection/>
    </xf>
    <xf numFmtId="0" fontId="86" fillId="27" borderId="76" xfId="0" applyFont="1" applyFill="1" applyBorder="1" applyAlignment="1">
      <alignment horizontal="center" vertical="center"/>
    </xf>
    <xf numFmtId="3" fontId="81" fillId="27" borderId="79" xfId="69" applyNumberFormat="1" applyFont="1" applyFill="1" applyBorder="1" applyAlignment="1">
      <alignment horizontal="center" vertical="top"/>
      <protection/>
    </xf>
    <xf numFmtId="0" fontId="86" fillId="27" borderId="0" xfId="0" applyFont="1" applyFill="1" applyBorder="1" applyAlignment="1">
      <alignment horizontal="center" vertical="center"/>
    </xf>
    <xf numFmtId="3" fontId="81" fillId="27" borderId="74" xfId="69" applyNumberFormat="1" applyFont="1" applyFill="1" applyBorder="1" applyAlignment="1">
      <alignment horizontal="center" vertical="center"/>
      <protection/>
    </xf>
    <xf numFmtId="0" fontId="87" fillId="27" borderId="76" xfId="0" applyFont="1" applyFill="1" applyBorder="1" applyAlignment="1">
      <alignment horizontal="center" vertical="center"/>
    </xf>
    <xf numFmtId="0" fontId="88" fillId="27" borderId="79" xfId="65" applyFont="1" applyFill="1" applyBorder="1" applyAlignment="1">
      <alignment horizontal="left" wrapText="1"/>
      <protection/>
    </xf>
    <xf numFmtId="3" fontId="88" fillId="27" borderId="79" xfId="0" applyNumberFormat="1" applyFont="1" applyFill="1" applyBorder="1" applyAlignment="1">
      <alignment horizontal="right" wrapText="1"/>
    </xf>
    <xf numFmtId="3" fontId="82" fillId="27" borderId="10" xfId="69" applyNumberFormat="1" applyFont="1" applyFill="1" applyBorder="1" applyAlignment="1">
      <alignment horizontal="right"/>
      <protection/>
    </xf>
    <xf numFmtId="3" fontId="82" fillId="27" borderId="79" xfId="69" applyNumberFormat="1" applyFont="1" applyFill="1" applyBorder="1" applyAlignment="1">
      <alignment/>
      <protection/>
    </xf>
    <xf numFmtId="173" fontId="82" fillId="27" borderId="79" xfId="69" applyNumberFormat="1" applyFont="1" applyFill="1" applyBorder="1" applyAlignment="1">
      <alignment/>
      <protection/>
    </xf>
    <xf numFmtId="3" fontId="89" fillId="27" borderId="79" xfId="69" applyNumberFormat="1" applyFont="1" applyFill="1" applyBorder="1" applyAlignment="1">
      <alignment/>
      <protection/>
    </xf>
    <xf numFmtId="3" fontId="82" fillId="27" borderId="79" xfId="69" applyNumberFormat="1" applyFont="1" applyFill="1" applyBorder="1" applyAlignment="1">
      <alignment wrapText="1"/>
      <protection/>
    </xf>
    <xf numFmtId="3" fontId="89" fillId="27" borderId="79" xfId="69" applyNumberFormat="1" applyFont="1" applyFill="1" applyBorder="1" applyAlignment="1">
      <alignment wrapText="1"/>
      <protection/>
    </xf>
    <xf numFmtId="0" fontId="88" fillId="30" borderId="79" xfId="68" applyFont="1" applyFill="1" applyBorder="1" applyAlignment="1">
      <alignment horizontal="left" wrapText="1"/>
      <protection/>
    </xf>
    <xf numFmtId="3" fontId="81" fillId="27" borderId="79" xfId="69" applyNumberFormat="1" applyFont="1" applyFill="1" applyBorder="1" applyAlignment="1">
      <alignment wrapText="1"/>
      <protection/>
    </xf>
    <xf numFmtId="3" fontId="2" fillId="0" borderId="0" xfId="69" applyNumberFormat="1" applyFont="1" applyFill="1">
      <alignment/>
      <protection/>
    </xf>
    <xf numFmtId="3" fontId="5" fillId="0" borderId="0" xfId="69" applyNumberFormat="1" applyFont="1" applyAlignment="1">
      <alignment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62" fillId="0" borderId="90" xfId="0" applyFont="1" applyFill="1" applyBorder="1" applyAlignment="1">
      <alignment horizontal="center" vertical="center" wrapText="1" shrinkToFit="1"/>
    </xf>
    <xf numFmtId="0" fontId="62" fillId="0" borderId="91" xfId="0" applyFont="1" applyFill="1" applyBorder="1" applyAlignment="1">
      <alignment horizontal="center" vertical="center" wrapText="1"/>
    </xf>
    <xf numFmtId="0" fontId="62" fillId="0" borderId="92" xfId="0" applyFont="1" applyFill="1" applyBorder="1" applyAlignment="1">
      <alignment horizontal="center" vertical="center" wrapText="1"/>
    </xf>
    <xf numFmtId="0" fontId="62" fillId="0" borderId="93" xfId="0" applyFont="1" applyFill="1" applyBorder="1" applyAlignment="1">
      <alignment horizontal="center" vertical="center" wrapText="1"/>
    </xf>
    <xf numFmtId="0" fontId="62" fillId="0" borderId="94" xfId="0" applyFont="1" applyFill="1" applyBorder="1" applyAlignment="1">
      <alignment horizontal="center" vertical="center" wrapText="1"/>
    </xf>
    <xf numFmtId="0" fontId="62" fillId="0" borderId="95" xfId="0" applyFont="1" applyFill="1" applyBorder="1" applyAlignment="1">
      <alignment horizontal="center" vertical="center"/>
    </xf>
    <xf numFmtId="181" fontId="62" fillId="0" borderId="90" xfId="78" applyNumberFormat="1" applyFont="1" applyFill="1" applyBorder="1" applyAlignment="1">
      <alignment horizontal="center" vertical="center"/>
    </xf>
    <xf numFmtId="0" fontId="62" fillId="0" borderId="9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0" fillId="0" borderId="96" xfId="0" applyFont="1" applyFill="1" applyBorder="1" applyAlignment="1" quotePrefix="1">
      <alignment vertical="center" shrinkToFit="1"/>
    </xf>
    <xf numFmtId="0" fontId="60" fillId="0" borderId="97" xfId="0" applyFont="1" applyFill="1" applyBorder="1" applyAlignment="1">
      <alignment vertical="center" wrapText="1"/>
    </xf>
    <xf numFmtId="4" fontId="60" fillId="0" borderId="98" xfId="0" applyNumberFormat="1" applyFont="1" applyFill="1" applyBorder="1" applyAlignment="1">
      <alignment vertical="center"/>
    </xf>
    <xf numFmtId="3" fontId="60" fillId="0" borderId="23" xfId="0" applyNumberFormat="1" applyFont="1" applyFill="1" applyBorder="1" applyAlignment="1">
      <alignment vertical="center"/>
    </xf>
    <xf numFmtId="3" fontId="60" fillId="0" borderId="45" xfId="0" applyNumberFormat="1" applyFont="1" applyFill="1" applyBorder="1" applyAlignment="1">
      <alignment vertical="center"/>
    </xf>
    <xf numFmtId="181" fontId="60" fillId="0" borderId="96" xfId="78" applyNumberFormat="1" applyFont="1" applyFill="1" applyBorder="1" applyAlignment="1">
      <alignment vertical="center"/>
    </xf>
    <xf numFmtId="49" fontId="60" fillId="0" borderId="96" xfId="0" applyNumberFormat="1" applyFont="1" applyFill="1" applyBorder="1" applyAlignment="1">
      <alignment horizontal="lef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0" fontId="63" fillId="0" borderId="63" xfId="0" applyFont="1" applyFill="1" applyBorder="1" applyAlignment="1" quotePrefix="1">
      <alignment vertical="center" shrinkToFit="1"/>
    </xf>
    <xf numFmtId="0" fontId="63" fillId="0" borderId="99" xfId="0" applyFont="1" applyFill="1" applyBorder="1" applyAlignment="1">
      <alignment vertical="center" wrapText="1"/>
    </xf>
    <xf numFmtId="4" fontId="62" fillId="0" borderId="100" xfId="0" applyNumberFormat="1" applyFont="1" applyFill="1" applyBorder="1" applyAlignment="1">
      <alignment vertical="center"/>
    </xf>
    <xf numFmtId="3" fontId="63" fillId="0" borderId="25" xfId="0" applyNumberFormat="1" applyFont="1" applyFill="1" applyBorder="1" applyAlignment="1">
      <alignment vertical="center"/>
    </xf>
    <xf numFmtId="3" fontId="63" fillId="0" borderId="67" xfId="0" applyNumberFormat="1" applyFont="1" applyFill="1" applyBorder="1" applyAlignment="1">
      <alignment vertical="center"/>
    </xf>
    <xf numFmtId="181" fontId="62" fillId="0" borderId="63" xfId="78" applyNumberFormat="1" applyFont="1" applyFill="1" applyBorder="1" applyAlignment="1">
      <alignment vertical="center"/>
    </xf>
    <xf numFmtId="3" fontId="64" fillId="0" borderId="101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63" fillId="0" borderId="100" xfId="0" applyFont="1" applyFill="1" applyBorder="1" applyAlignment="1">
      <alignment vertical="center" wrapText="1"/>
    </xf>
    <xf numFmtId="3" fontId="64" fillId="0" borderId="63" xfId="0" applyNumberFormat="1" applyFont="1" applyFill="1" applyBorder="1" applyAlignment="1">
      <alignment horizontal="left" vertical="center" wrapText="1"/>
    </xf>
    <xf numFmtId="0" fontId="63" fillId="0" borderId="98" xfId="0" applyFont="1" applyFill="1" applyBorder="1" applyAlignment="1">
      <alignment vertical="center" wrapText="1"/>
    </xf>
    <xf numFmtId="3" fontId="64" fillId="0" borderId="96" xfId="0" applyNumberFormat="1" applyFont="1" applyFill="1" applyBorder="1" applyAlignment="1">
      <alignment horizontal="left" vertical="center" wrapText="1"/>
    </xf>
    <xf numFmtId="0" fontId="60" fillId="0" borderId="36" xfId="0" applyFont="1" applyFill="1" applyBorder="1" applyAlignment="1">
      <alignment vertical="center" shrinkToFit="1"/>
    </xf>
    <xf numFmtId="0" fontId="60" fillId="0" borderId="102" xfId="0" applyFont="1" applyFill="1" applyBorder="1" applyAlignment="1">
      <alignment vertical="center" wrapText="1"/>
    </xf>
    <xf numFmtId="3" fontId="60" fillId="0" borderId="102" xfId="0" applyNumberFormat="1" applyFont="1" applyFill="1" applyBorder="1" applyAlignment="1">
      <alignment vertical="center"/>
    </xf>
    <xf numFmtId="3" fontId="60" fillId="0" borderId="10" xfId="0" applyNumberFormat="1" applyFont="1" applyFill="1" applyBorder="1" applyAlignment="1">
      <alignment vertical="center"/>
    </xf>
    <xf numFmtId="3" fontId="60" fillId="0" borderId="17" xfId="0" applyNumberFormat="1" applyFont="1" applyFill="1" applyBorder="1" applyAlignment="1">
      <alignment vertical="center"/>
    </xf>
    <xf numFmtId="181" fontId="60" fillId="0" borderId="36" xfId="78" applyNumberFormat="1" applyFont="1" applyFill="1" applyBorder="1" applyAlignment="1">
      <alignment vertical="center"/>
    </xf>
    <xf numFmtId="49" fontId="60" fillId="0" borderId="36" xfId="0" applyNumberFormat="1" applyFont="1" applyFill="1" applyBorder="1" applyAlignment="1">
      <alignment horizontal="left" vertical="center" wrapText="1"/>
    </xf>
    <xf numFmtId="0" fontId="60" fillId="0" borderId="98" xfId="0" applyFont="1" applyFill="1" applyBorder="1" applyAlignment="1">
      <alignment vertical="center" wrapText="1"/>
    </xf>
    <xf numFmtId="3" fontId="62" fillId="0" borderId="98" xfId="0" applyNumberFormat="1" applyFont="1" applyFill="1" applyBorder="1" applyAlignment="1">
      <alignment vertical="center"/>
    </xf>
    <xf numFmtId="3" fontId="62" fillId="0" borderId="23" xfId="0" applyNumberFormat="1" applyFont="1" applyFill="1" applyBorder="1" applyAlignment="1">
      <alignment vertical="center"/>
    </xf>
    <xf numFmtId="0" fontId="60" fillId="0" borderId="36" xfId="0" applyFont="1" applyFill="1" applyBorder="1" applyAlignment="1" quotePrefix="1">
      <alignment vertical="center" shrinkToFit="1"/>
    </xf>
    <xf numFmtId="3" fontId="62" fillId="0" borderId="102" xfId="0" applyNumberFormat="1" applyFont="1" applyFill="1" applyBorder="1" applyAlignment="1">
      <alignment vertical="center"/>
    </xf>
    <xf numFmtId="3" fontId="62" fillId="0" borderId="10" xfId="0" applyNumberFormat="1" applyFont="1" applyFill="1" applyBorder="1" applyAlignment="1">
      <alignment vertical="center"/>
    </xf>
    <xf numFmtId="49" fontId="60" fillId="0" borderId="96" xfId="0" applyNumberFormat="1" applyFont="1" applyFill="1" applyBorder="1" applyAlignment="1" quotePrefix="1">
      <alignment horizontal="left" vertical="center" wrapText="1"/>
    </xf>
    <xf numFmtId="4" fontId="60" fillId="0" borderId="10" xfId="0" applyNumberFormat="1" applyFont="1" applyFill="1" applyBorder="1" applyAlignment="1">
      <alignment vertical="center"/>
    </xf>
    <xf numFmtId="0" fontId="60" fillId="0" borderId="40" xfId="0" applyFont="1" applyFill="1" applyBorder="1" applyAlignment="1">
      <alignment horizontal="left" vertical="center" wrapText="1" shrinkToFit="1"/>
    </xf>
    <xf numFmtId="0" fontId="60" fillId="0" borderId="51" xfId="0" applyFont="1" applyFill="1" applyBorder="1" applyAlignment="1">
      <alignment vertical="center" wrapText="1"/>
    </xf>
    <xf numFmtId="3" fontId="60" fillId="0" borderId="51" xfId="0" applyNumberFormat="1" applyFont="1" applyFill="1" applyBorder="1" applyAlignment="1">
      <alignment vertical="center"/>
    </xf>
    <xf numFmtId="3" fontId="60" fillId="0" borderId="14" xfId="0" applyNumberFormat="1" applyFont="1" applyFill="1" applyBorder="1" applyAlignment="1">
      <alignment vertical="center"/>
    </xf>
    <xf numFmtId="3" fontId="60" fillId="0" borderId="15" xfId="0" applyNumberFormat="1" applyFont="1" applyFill="1" applyBorder="1" applyAlignment="1">
      <alignment vertical="center"/>
    </xf>
    <xf numFmtId="181" fontId="60" fillId="0" borderId="40" xfId="78" applyNumberFormat="1" applyFont="1" applyFill="1" applyBorder="1" applyAlignment="1">
      <alignment vertical="center"/>
    </xf>
    <xf numFmtId="49" fontId="60" fillId="0" borderId="40" xfId="0" applyNumberFormat="1" applyFont="1" applyFill="1" applyBorder="1" applyAlignment="1">
      <alignment horizontal="left" vertical="center" wrapText="1"/>
    </xf>
    <xf numFmtId="0" fontId="60" fillId="0" borderId="63" xfId="0" applyFont="1" applyFill="1" applyBorder="1" applyAlignment="1">
      <alignment vertical="center" shrinkToFit="1"/>
    </xf>
    <xf numFmtId="0" fontId="60" fillId="0" borderId="100" xfId="0" applyFont="1" applyFill="1" applyBorder="1" applyAlignment="1">
      <alignment vertical="center" wrapText="1"/>
    </xf>
    <xf numFmtId="3" fontId="62" fillId="0" borderId="100" xfId="0" applyNumberFormat="1" applyFont="1" applyFill="1" applyBorder="1" applyAlignment="1">
      <alignment vertical="center"/>
    </xf>
    <xf numFmtId="3" fontId="62" fillId="0" borderId="25" xfId="0" applyNumberFormat="1" applyFont="1" applyFill="1" applyBorder="1" applyAlignment="1">
      <alignment vertical="center"/>
    </xf>
    <xf numFmtId="3" fontId="60" fillId="0" borderId="67" xfId="0" applyNumberFormat="1" applyFont="1" applyFill="1" applyBorder="1" applyAlignment="1">
      <alignment vertical="center"/>
    </xf>
    <xf numFmtId="181" fontId="60" fillId="0" borderId="63" xfId="78" applyNumberFormat="1" applyFont="1" applyFill="1" applyBorder="1" applyAlignment="1">
      <alignment vertical="center"/>
    </xf>
    <xf numFmtId="49" fontId="60" fillId="0" borderId="63" xfId="0" applyNumberFormat="1" applyFont="1" applyFill="1" applyBorder="1" applyAlignment="1">
      <alignment horizontal="left" vertical="center" wrapText="1"/>
    </xf>
    <xf numFmtId="0" fontId="62" fillId="0" borderId="63" xfId="0" applyFont="1" applyFill="1" applyBorder="1" applyAlignment="1" quotePrefix="1">
      <alignment vertical="center" shrinkToFit="1"/>
    </xf>
    <xf numFmtId="0" fontId="62" fillId="0" borderId="100" xfId="0" applyFont="1" applyFill="1" applyBorder="1" applyAlignment="1">
      <alignment vertical="center" wrapText="1"/>
    </xf>
    <xf numFmtId="173" fontId="62" fillId="0" borderId="100" xfId="0" applyNumberFormat="1" applyFont="1" applyFill="1" applyBorder="1" applyAlignment="1">
      <alignment vertical="center"/>
    </xf>
    <xf numFmtId="3" fontId="62" fillId="0" borderId="67" xfId="0" applyNumberFormat="1" applyFont="1" applyFill="1" applyBorder="1" applyAlignment="1">
      <alignment vertical="center"/>
    </xf>
    <xf numFmtId="3" fontId="60" fillId="0" borderId="103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vertical="center"/>
    </xf>
    <xf numFmtId="3" fontId="60" fillId="0" borderId="63" xfId="0" applyNumberFormat="1" applyFont="1" applyFill="1" applyBorder="1" applyAlignment="1">
      <alignment horizontal="center" vertical="center" wrapText="1"/>
    </xf>
    <xf numFmtId="168" fontId="62" fillId="0" borderId="0" xfId="46" applyNumberFormat="1" applyFont="1" applyFill="1" applyAlignment="1">
      <alignment vertical="center"/>
    </xf>
    <xf numFmtId="0" fontId="60" fillId="0" borderId="63" xfId="0" applyFont="1" applyFill="1" applyBorder="1" applyAlignment="1" quotePrefix="1">
      <alignment vertical="center" shrinkToFit="1"/>
    </xf>
    <xf numFmtId="173" fontId="60" fillId="0" borderId="100" xfId="0" applyNumberFormat="1" applyFont="1" applyFill="1" applyBorder="1" applyAlignment="1">
      <alignment vertical="center"/>
    </xf>
    <xf numFmtId="3" fontId="60" fillId="0" borderId="25" xfId="0" applyNumberFormat="1" applyFont="1" applyFill="1" applyBorder="1" applyAlignment="1">
      <alignment vertical="center"/>
    </xf>
    <xf numFmtId="3" fontId="60" fillId="0" borderId="63" xfId="0" applyNumberFormat="1" applyFont="1" applyFill="1" applyBorder="1" applyAlignment="1">
      <alignment horizontal="left" vertical="center" wrapText="1"/>
    </xf>
    <xf numFmtId="3" fontId="60" fillId="0" borderId="63" xfId="0" applyNumberFormat="1" applyFont="1" applyFill="1" applyBorder="1" applyAlignment="1">
      <alignment vertical="center" wrapText="1"/>
    </xf>
    <xf numFmtId="173" fontId="60" fillId="0" borderId="98" xfId="0" applyNumberFormat="1" applyFont="1" applyFill="1" applyBorder="1" applyAlignment="1">
      <alignment vertical="center"/>
    </xf>
    <xf numFmtId="181" fontId="62" fillId="0" borderId="96" xfId="78" applyNumberFormat="1" applyFont="1" applyFill="1" applyBorder="1" applyAlignment="1">
      <alignment vertical="center"/>
    </xf>
    <xf numFmtId="3" fontId="60" fillId="0" borderId="96" xfId="0" applyNumberFormat="1" applyFont="1" applyFill="1" applyBorder="1" applyAlignment="1">
      <alignment horizontal="left" vertical="center" wrapText="1"/>
    </xf>
    <xf numFmtId="181" fontId="60" fillId="0" borderId="51" xfId="78" applyNumberFormat="1" applyFont="1" applyFill="1" applyBorder="1" applyAlignment="1">
      <alignment vertical="center"/>
    </xf>
    <xf numFmtId="181" fontId="62" fillId="0" borderId="100" xfId="78" applyNumberFormat="1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 wrapText="1"/>
    </xf>
    <xf numFmtId="0" fontId="62" fillId="0" borderId="103" xfId="0" applyFont="1" applyFill="1" applyBorder="1" applyAlignment="1" quotePrefix="1">
      <alignment vertical="center" shrinkToFit="1"/>
    </xf>
    <xf numFmtId="0" fontId="62" fillId="0" borderId="104" xfId="0" applyFont="1" applyFill="1" applyBorder="1" applyAlignment="1">
      <alignment vertical="center" wrapText="1"/>
    </xf>
    <xf numFmtId="3" fontId="62" fillId="0" borderId="47" xfId="0" applyNumberFormat="1" applyFont="1" applyFill="1" applyBorder="1" applyAlignment="1">
      <alignment vertical="center"/>
    </xf>
    <xf numFmtId="3" fontId="62" fillId="0" borderId="105" xfId="0" applyNumberFormat="1" applyFont="1" applyFill="1" applyBorder="1" applyAlignment="1">
      <alignment vertical="center"/>
    </xf>
    <xf numFmtId="3" fontId="62" fillId="0" borderId="49" xfId="0" applyNumberFormat="1" applyFont="1" applyFill="1" applyBorder="1" applyAlignment="1">
      <alignment vertical="center"/>
    </xf>
    <xf numFmtId="181" fontId="62" fillId="0" borderId="103" xfId="78" applyNumberFormat="1" applyFont="1" applyFill="1" applyBorder="1" applyAlignment="1">
      <alignment vertical="center"/>
    </xf>
    <xf numFmtId="3" fontId="60" fillId="0" borderId="103" xfId="0" applyNumberFormat="1" applyFont="1" applyFill="1" applyBorder="1" applyAlignment="1">
      <alignment horizontal="left" vertical="center" wrapText="1"/>
    </xf>
    <xf numFmtId="3" fontId="62" fillId="0" borderId="37" xfId="0" applyNumberFormat="1" applyFont="1" applyFill="1" applyBorder="1" applyAlignment="1">
      <alignment vertical="center"/>
    </xf>
    <xf numFmtId="3" fontId="62" fillId="0" borderId="65" xfId="0" applyNumberFormat="1" applyFont="1" applyFill="1" applyBorder="1" applyAlignment="1">
      <alignment vertical="center"/>
    </xf>
    <xf numFmtId="3" fontId="62" fillId="0" borderId="55" xfId="0" applyNumberFormat="1" applyFont="1" applyFill="1" applyBorder="1" applyAlignment="1">
      <alignment vertical="center"/>
    </xf>
    <xf numFmtId="0" fontId="60" fillId="0" borderId="106" xfId="0" applyFont="1" applyFill="1" applyBorder="1" applyAlignment="1">
      <alignment vertical="center" shrinkToFit="1"/>
    </xf>
    <xf numFmtId="0" fontId="60" fillId="0" borderId="60" xfId="0" applyFont="1" applyFill="1" applyBorder="1" applyAlignment="1">
      <alignment vertical="center" wrapText="1"/>
    </xf>
    <xf numFmtId="3" fontId="60" fillId="0" borderId="41" xfId="0" applyNumberFormat="1" applyFont="1" applyFill="1" applyBorder="1" applyAlignment="1">
      <alignment vertical="center"/>
    </xf>
    <xf numFmtId="3" fontId="60" fillId="0" borderId="66" xfId="0" applyNumberFormat="1" applyFont="1" applyFill="1" applyBorder="1" applyAlignment="1">
      <alignment vertical="center"/>
    </xf>
    <xf numFmtId="3" fontId="60" fillId="0" borderId="33" xfId="0" applyNumberFormat="1" applyFont="1" applyFill="1" applyBorder="1" applyAlignment="1">
      <alignment vertical="center"/>
    </xf>
    <xf numFmtId="181" fontId="60" fillId="0" borderId="107" xfId="78" applyNumberFormat="1" applyFont="1" applyFill="1" applyBorder="1" applyAlignment="1">
      <alignment vertical="center"/>
    </xf>
    <xf numFmtId="3" fontId="60" fillId="0" borderId="106" xfId="0" applyNumberFormat="1" applyFont="1" applyFill="1" applyBorder="1" applyAlignment="1">
      <alignment vertical="center" wrapText="1"/>
    </xf>
    <xf numFmtId="0" fontId="62" fillId="0" borderId="51" xfId="0" applyFont="1" applyFill="1" applyBorder="1" applyAlignment="1">
      <alignment vertical="center" wrapText="1"/>
    </xf>
    <xf numFmtId="3" fontId="62" fillId="0" borderId="15" xfId="0" applyNumberFormat="1" applyFont="1" applyFill="1" applyBorder="1" applyAlignment="1">
      <alignment vertical="center"/>
    </xf>
    <xf numFmtId="181" fontId="62" fillId="0" borderId="40" xfId="78" applyNumberFormat="1" applyFont="1" applyFill="1" applyBorder="1" applyAlignment="1">
      <alignment vertical="center"/>
    </xf>
    <xf numFmtId="0" fontId="62" fillId="0" borderId="98" xfId="0" applyFont="1" applyFill="1" applyBorder="1" applyAlignment="1">
      <alignment vertical="center" wrapText="1"/>
    </xf>
    <xf numFmtId="3" fontId="62" fillId="0" borderId="45" xfId="0" applyNumberFormat="1" applyFont="1" applyFill="1" applyBorder="1" applyAlignment="1">
      <alignment vertical="center"/>
    </xf>
    <xf numFmtId="3" fontId="60" fillId="0" borderId="60" xfId="0" applyNumberFormat="1" applyFont="1" applyFill="1" applyBorder="1" applyAlignment="1">
      <alignment vertical="center"/>
    </xf>
    <xf numFmtId="3" fontId="60" fillId="0" borderId="42" xfId="0" applyNumberFormat="1" applyFont="1" applyFill="1" applyBorder="1" applyAlignment="1">
      <alignment vertical="center"/>
    </xf>
    <xf numFmtId="181" fontId="60" fillId="0" borderId="106" xfId="78" applyNumberFormat="1" applyFont="1" applyFill="1" applyBorder="1" applyAlignment="1">
      <alignment vertical="center"/>
    </xf>
    <xf numFmtId="3" fontId="60" fillId="0" borderId="103" xfId="0" applyNumberFormat="1" applyFont="1" applyFill="1" applyBorder="1" applyAlignment="1">
      <alignment vertical="center" wrapText="1"/>
    </xf>
    <xf numFmtId="3" fontId="62" fillId="0" borderId="63" xfId="0" applyNumberFormat="1" applyFont="1" applyFill="1" applyBorder="1" applyAlignment="1">
      <alignment vertical="center" wrapText="1"/>
    </xf>
    <xf numFmtId="0" fontId="62" fillId="0" borderId="63" xfId="0" applyFont="1" applyFill="1" applyBorder="1" applyAlignment="1">
      <alignment vertical="center" shrinkToFit="1"/>
    </xf>
    <xf numFmtId="181" fontId="60" fillId="0" borderId="60" xfId="78" applyNumberFormat="1" applyFont="1" applyFill="1" applyBorder="1" applyAlignment="1">
      <alignment vertical="center"/>
    </xf>
    <xf numFmtId="3" fontId="62" fillId="0" borderId="62" xfId="0" applyNumberFormat="1" applyFont="1" applyFill="1" applyBorder="1" applyAlignment="1">
      <alignment vertical="center"/>
    </xf>
    <xf numFmtId="3" fontId="60" fillId="0" borderId="16" xfId="0" applyNumberFormat="1" applyFont="1" applyFill="1" applyBorder="1" applyAlignment="1">
      <alignment vertical="center"/>
    </xf>
    <xf numFmtId="3" fontId="60" fillId="0" borderId="26" xfId="0" applyNumberFormat="1" applyFont="1" applyFill="1" applyBorder="1" applyAlignment="1">
      <alignment vertical="center"/>
    </xf>
    <xf numFmtId="3" fontId="60" fillId="0" borderId="24" xfId="0" applyNumberFormat="1" applyFont="1" applyFill="1" applyBorder="1" applyAlignment="1">
      <alignment vertical="center"/>
    </xf>
    <xf numFmtId="0" fontId="60" fillId="0" borderId="51" xfId="0" applyFont="1" applyFill="1" applyBorder="1" applyAlignment="1">
      <alignment vertical="center" shrinkToFit="1"/>
    </xf>
    <xf numFmtId="0" fontId="60" fillId="0" borderId="40" xfId="0" applyFont="1" applyFill="1" applyBorder="1" applyAlignment="1">
      <alignment vertical="center" wrapText="1"/>
    </xf>
    <xf numFmtId="3" fontId="60" fillId="0" borderId="40" xfId="0" applyNumberFormat="1" applyFont="1" applyFill="1" applyBorder="1" applyAlignment="1">
      <alignment vertical="center" wrapText="1"/>
    </xf>
    <xf numFmtId="0" fontId="62" fillId="0" borderId="100" xfId="0" applyFont="1" applyFill="1" applyBorder="1" applyAlignment="1" quotePrefix="1">
      <alignment vertical="center" shrinkToFit="1"/>
    </xf>
    <xf numFmtId="0" fontId="62" fillId="0" borderId="63" xfId="0" applyFont="1" applyFill="1" applyBorder="1" applyAlignment="1">
      <alignment vertical="center" wrapText="1"/>
    </xf>
    <xf numFmtId="0" fontId="62" fillId="0" borderId="63" xfId="0" applyFont="1" applyFill="1" applyBorder="1" applyAlignment="1">
      <alignment vertical="center"/>
    </xf>
    <xf numFmtId="3" fontId="62" fillId="0" borderId="67" xfId="0" applyNumberFormat="1" applyFont="1" applyFill="1" applyBorder="1" applyAlignment="1">
      <alignment horizontal="right" vertical="center"/>
    </xf>
    <xf numFmtId="3" fontId="62" fillId="0" borderId="62" xfId="0" applyNumberFormat="1" applyFont="1" applyFill="1" applyBorder="1" applyAlignment="1">
      <alignment horizontal="right" vertical="center"/>
    </xf>
    <xf numFmtId="181" fontId="62" fillId="0" borderId="63" xfId="78" applyNumberFormat="1" applyFont="1" applyFill="1" applyBorder="1" applyAlignment="1">
      <alignment horizontal="right" vertical="center"/>
    </xf>
    <xf numFmtId="0" fontId="60" fillId="0" borderId="100" xfId="0" applyFont="1" applyFill="1" applyBorder="1" applyAlignment="1" quotePrefix="1">
      <alignment vertical="center" shrinkToFit="1"/>
    </xf>
    <xf numFmtId="0" fontId="60" fillId="0" borderId="63" xfId="0" applyFont="1" applyFill="1" applyBorder="1" applyAlignment="1">
      <alignment vertical="center"/>
    </xf>
    <xf numFmtId="3" fontId="60" fillId="0" borderId="37" xfId="0" applyNumberFormat="1" applyFont="1" applyFill="1" applyBorder="1" applyAlignment="1">
      <alignment vertical="center"/>
    </xf>
    <xf numFmtId="3" fontId="60" fillId="0" borderId="65" xfId="0" applyNumberFormat="1" applyFont="1" applyFill="1" applyBorder="1" applyAlignment="1">
      <alignment vertical="center"/>
    </xf>
    <xf numFmtId="3" fontId="60" fillId="0" borderId="67" xfId="0" applyNumberFormat="1" applyFont="1" applyFill="1" applyBorder="1" applyAlignment="1">
      <alignment horizontal="right" vertical="center"/>
    </xf>
    <xf numFmtId="3" fontId="60" fillId="0" borderId="62" xfId="0" applyNumberFormat="1" applyFont="1" applyFill="1" applyBorder="1" applyAlignment="1">
      <alignment horizontal="right" vertical="center"/>
    </xf>
    <xf numFmtId="0" fontId="60" fillId="0" borderId="60" xfId="0" applyFont="1" applyFill="1" applyBorder="1" applyAlignment="1">
      <alignment vertical="center" shrinkToFit="1"/>
    </xf>
    <xf numFmtId="0" fontId="60" fillId="0" borderId="106" xfId="0" applyFont="1" applyFill="1" applyBorder="1" applyAlignment="1">
      <alignment vertical="center" wrapText="1"/>
    </xf>
    <xf numFmtId="3" fontId="60" fillId="0" borderId="56" xfId="0" applyNumberFormat="1" applyFont="1" applyFill="1" applyBorder="1" applyAlignment="1">
      <alignment vertical="center"/>
    </xf>
    <xf numFmtId="3" fontId="60" fillId="0" borderId="61" xfId="0" applyNumberFormat="1" applyFont="1" applyFill="1" applyBorder="1" applyAlignment="1">
      <alignment vertical="center"/>
    </xf>
    <xf numFmtId="0" fontId="62" fillId="0" borderId="35" xfId="0" applyFont="1" applyFill="1" applyBorder="1" applyAlignment="1" quotePrefix="1">
      <alignment vertical="center" shrinkToFit="1"/>
    </xf>
    <xf numFmtId="0" fontId="62" fillId="0" borderId="35" xfId="0" applyFont="1" applyFill="1" applyBorder="1" applyAlignment="1">
      <alignment vertical="center" wrapText="1"/>
    </xf>
    <xf numFmtId="3" fontId="62" fillId="0" borderId="34" xfId="0" applyNumberFormat="1" applyFont="1" applyFill="1" applyBorder="1" applyAlignment="1">
      <alignment vertical="center"/>
    </xf>
    <xf numFmtId="3" fontId="62" fillId="0" borderId="64" xfId="0" applyNumberFormat="1" applyFont="1" applyFill="1" applyBorder="1" applyAlignment="1">
      <alignment vertical="center"/>
    </xf>
    <xf numFmtId="3" fontId="62" fillId="0" borderId="58" xfId="0" applyNumberFormat="1" applyFont="1" applyFill="1" applyBorder="1" applyAlignment="1">
      <alignment vertical="center"/>
    </xf>
    <xf numFmtId="3" fontId="62" fillId="0" borderId="31" xfId="0" applyNumberFormat="1" applyFont="1" applyFill="1" applyBorder="1" applyAlignment="1">
      <alignment vertical="center"/>
    </xf>
    <xf numFmtId="181" fontId="62" fillId="0" borderId="35" xfId="78" applyNumberFormat="1" applyFont="1" applyFill="1" applyBorder="1" applyAlignment="1">
      <alignment vertical="center"/>
    </xf>
    <xf numFmtId="3" fontId="60" fillId="0" borderId="35" xfId="0" applyNumberFormat="1" applyFont="1" applyFill="1" applyBorder="1" applyAlignment="1">
      <alignment vertical="center" wrapText="1"/>
    </xf>
    <xf numFmtId="0" fontId="62" fillId="0" borderId="96" xfId="0" applyFont="1" applyFill="1" applyBorder="1" applyAlignment="1">
      <alignment vertical="center" shrinkToFit="1"/>
    </xf>
    <xf numFmtId="49" fontId="62" fillId="0" borderId="63" xfId="0" applyNumberFormat="1" applyFont="1" applyFill="1" applyBorder="1" applyAlignment="1">
      <alignment horizontal="left" vertical="center" wrapText="1"/>
    </xf>
    <xf numFmtId="49" fontId="62" fillId="0" borderId="0" xfId="0" applyNumberFormat="1" applyFont="1" applyFill="1" applyBorder="1" applyAlignment="1">
      <alignment horizontal="left" vertical="center" wrapText="1"/>
    </xf>
    <xf numFmtId="0" fontId="62" fillId="0" borderId="40" xfId="0" applyFont="1" applyFill="1" applyBorder="1" applyAlignment="1">
      <alignment vertical="center" shrinkToFit="1"/>
    </xf>
    <xf numFmtId="3" fontId="62" fillId="0" borderId="51" xfId="0" applyNumberFormat="1" applyFont="1" applyFill="1" applyBorder="1" applyAlignment="1">
      <alignment vertical="center"/>
    </xf>
    <xf numFmtId="3" fontId="62" fillId="0" borderId="14" xfId="0" applyNumberFormat="1" applyFont="1" applyFill="1" applyBorder="1" applyAlignment="1">
      <alignment vertical="center"/>
    </xf>
    <xf numFmtId="3" fontId="62" fillId="0" borderId="40" xfId="0" applyNumberFormat="1" applyFont="1" applyFill="1" applyBorder="1" applyAlignment="1">
      <alignment vertical="center" wrapText="1"/>
    </xf>
    <xf numFmtId="3" fontId="62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 wrapText="1"/>
    </xf>
    <xf numFmtId="3" fontId="60" fillId="0" borderId="0" xfId="0" applyNumberFormat="1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181" fontId="60" fillId="0" borderId="0" xfId="78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 wrapText="1"/>
    </xf>
    <xf numFmtId="3" fontId="62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62" fillId="0" borderId="0" xfId="0" applyNumberFormat="1" applyFont="1" applyFill="1" applyAlignment="1">
      <alignment vertical="center" wrapText="1"/>
    </xf>
    <xf numFmtId="3" fontId="60" fillId="0" borderId="0" xfId="0" applyNumberFormat="1" applyFont="1" applyFill="1" applyAlignment="1">
      <alignment vertical="center" wrapText="1"/>
    </xf>
    <xf numFmtId="3" fontId="62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left" vertical="center" wrapText="1"/>
    </xf>
    <xf numFmtId="181" fontId="62" fillId="0" borderId="0" xfId="78" applyNumberFormat="1" applyFont="1" applyFill="1" applyAlignment="1">
      <alignment horizontal="center" vertical="center" wrapText="1"/>
    </xf>
    <xf numFmtId="181" fontId="62" fillId="0" borderId="0" xfId="78" applyNumberFormat="1" applyFont="1" applyFill="1" applyAlignment="1">
      <alignment vertical="center"/>
    </xf>
    <xf numFmtId="0" fontId="62" fillId="0" borderId="0" xfId="0" applyFont="1" applyFill="1" applyAlignment="1">
      <alignment vertical="center" shrinkToFit="1"/>
    </xf>
    <xf numFmtId="181" fontId="60" fillId="0" borderId="0" xfId="78" applyNumberFormat="1" applyFont="1" applyFill="1" applyAlignment="1">
      <alignment vertical="center"/>
    </xf>
    <xf numFmtId="3" fontId="5" fillId="0" borderId="108" xfId="0" applyNumberFormat="1" applyFont="1" applyFill="1" applyBorder="1" applyAlignment="1">
      <alignment/>
    </xf>
    <xf numFmtId="3" fontId="3" fillId="0" borderId="109" xfId="0" applyNumberFormat="1" applyFont="1" applyFill="1" applyBorder="1" applyAlignment="1">
      <alignment horizontal="center"/>
    </xf>
    <xf numFmtId="3" fontId="3" fillId="0" borderId="110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5" fillId="0" borderId="111" xfId="0" applyNumberFormat="1" applyFont="1" applyFill="1" applyBorder="1" applyAlignment="1">
      <alignment/>
    </xf>
    <xf numFmtId="3" fontId="3" fillId="0" borderId="1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13" xfId="0" applyNumberFormat="1" applyFont="1" applyFill="1" applyBorder="1" applyAlignment="1">
      <alignment/>
    </xf>
    <xf numFmtId="3" fontId="3" fillId="0" borderId="114" xfId="0" applyNumberFormat="1" applyFont="1" applyFill="1" applyBorder="1" applyAlignment="1">
      <alignment horizontal="centerContinuous"/>
    </xf>
    <xf numFmtId="3" fontId="3" fillId="0" borderId="115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6" xfId="0" applyNumberFormat="1" applyFont="1" applyFill="1" applyBorder="1" applyAlignment="1">
      <alignment/>
    </xf>
    <xf numFmtId="3" fontId="3" fillId="0" borderId="117" xfId="0" applyNumberFormat="1" applyFont="1" applyFill="1" applyBorder="1" applyAlignment="1">
      <alignment horizontal="center"/>
    </xf>
    <xf numFmtId="3" fontId="0" fillId="0" borderId="118" xfId="0" applyNumberFormat="1" applyFont="1" applyFill="1" applyBorder="1" applyAlignment="1">
      <alignment/>
    </xf>
    <xf numFmtId="3" fontId="0" fillId="0" borderId="119" xfId="0" applyNumberFormat="1" applyFont="1" applyFill="1" applyBorder="1" applyAlignment="1">
      <alignment horizontal="centerContinuous"/>
    </xf>
    <xf numFmtId="3" fontId="0" fillId="0" borderId="120" xfId="0" applyNumberFormat="1" applyFont="1" applyFill="1" applyBorder="1" applyAlignment="1">
      <alignment horizontal="centerContinuous"/>
    </xf>
    <xf numFmtId="3" fontId="3" fillId="0" borderId="119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0" fillId="0" borderId="120" xfId="0" applyNumberFormat="1" applyFont="1" applyFill="1" applyBorder="1" applyAlignment="1">
      <alignment/>
    </xf>
    <xf numFmtId="3" fontId="3" fillId="0" borderId="121" xfId="0" applyNumberFormat="1" applyFont="1" applyFill="1" applyBorder="1" applyAlignment="1">
      <alignment horizontal="center"/>
    </xf>
    <xf numFmtId="3" fontId="3" fillId="0" borderId="122" xfId="0" applyNumberFormat="1" applyFont="1" applyFill="1" applyBorder="1" applyAlignment="1">
      <alignment/>
    </xf>
    <xf numFmtId="3" fontId="3" fillId="0" borderId="109" xfId="0" applyNumberFormat="1" applyFont="1" applyFill="1" applyBorder="1" applyAlignment="1">
      <alignment/>
    </xf>
    <xf numFmtId="4" fontId="3" fillId="0" borderId="123" xfId="0" applyNumberFormat="1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124" xfId="0" applyNumberFormat="1" applyFont="1" applyFill="1" applyBorder="1" applyAlignment="1">
      <alignment/>
    </xf>
    <xf numFmtId="3" fontId="3" fillId="0" borderId="125" xfId="0" applyNumberFormat="1" applyFont="1" applyFill="1" applyBorder="1" applyAlignment="1">
      <alignment/>
    </xf>
    <xf numFmtId="4" fontId="3" fillId="0" borderId="126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/>
    </xf>
    <xf numFmtId="3" fontId="0" fillId="0" borderId="128" xfId="0" applyNumberFormat="1" applyFont="1" applyFill="1" applyBorder="1" applyAlignment="1" quotePrefix="1">
      <alignment/>
    </xf>
    <xf numFmtId="4" fontId="0" fillId="0" borderId="129" xfId="0" applyNumberFormat="1" applyFont="1" applyFill="1" applyBorder="1" applyAlignment="1" quotePrefix="1">
      <alignment/>
    </xf>
    <xf numFmtId="3" fontId="0" fillId="0" borderId="130" xfId="0" applyNumberFormat="1" applyFont="1" applyFill="1" applyBorder="1" applyAlignment="1">
      <alignment/>
    </xf>
    <xf numFmtId="3" fontId="0" fillId="0" borderId="131" xfId="0" applyNumberFormat="1" applyFont="1" applyFill="1" applyBorder="1" applyAlignment="1">
      <alignment/>
    </xf>
    <xf numFmtId="3" fontId="0" fillId="0" borderId="132" xfId="0" applyNumberFormat="1" applyFont="1" applyFill="1" applyBorder="1" applyAlignment="1">
      <alignment/>
    </xf>
    <xf numFmtId="3" fontId="0" fillId="0" borderId="128" xfId="0" applyNumberFormat="1" applyFon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3" fontId="7" fillId="0" borderId="127" xfId="0" applyNumberFormat="1" applyFont="1" applyFill="1" applyBorder="1" applyAlignment="1">
      <alignment/>
    </xf>
    <xf numFmtId="3" fontId="7" fillId="0" borderId="128" xfId="0" applyNumberFormat="1" applyFont="1" applyFill="1" applyBorder="1" applyAlignment="1" quotePrefix="1">
      <alignment/>
    </xf>
    <xf numFmtId="4" fontId="7" fillId="0" borderId="129" xfId="0" applyNumberFormat="1" applyFont="1" applyFill="1" applyBorder="1" applyAlignment="1" quotePrefix="1">
      <alignment/>
    </xf>
    <xf numFmtId="3" fontId="3" fillId="0" borderId="132" xfId="0" applyNumberFormat="1" applyFont="1" applyFill="1" applyBorder="1" applyAlignment="1">
      <alignment/>
    </xf>
    <xf numFmtId="3" fontId="3" fillId="0" borderId="128" xfId="0" applyNumberFormat="1" applyFont="1" applyFill="1" applyBorder="1" applyAlignment="1">
      <alignment/>
    </xf>
    <xf numFmtId="3" fontId="0" fillId="0" borderId="132" xfId="0" applyNumberFormat="1" applyFont="1" applyFill="1" applyBorder="1" applyAlignment="1">
      <alignment/>
    </xf>
    <xf numFmtId="3" fontId="0" fillId="0" borderId="128" xfId="0" applyNumberFormat="1" applyFon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/>
    </xf>
    <xf numFmtId="3" fontId="3" fillId="0" borderId="127" xfId="0" applyNumberFormat="1" applyFont="1" applyFill="1" applyBorder="1" applyAlignment="1">
      <alignment/>
    </xf>
    <xf numFmtId="4" fontId="3" fillId="0" borderId="87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3" fillId="0" borderId="127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wrapText="1"/>
    </xf>
    <xf numFmtId="3" fontId="3" fillId="0" borderId="133" xfId="0" applyNumberFormat="1" applyFont="1" applyFill="1" applyBorder="1" applyAlignment="1">
      <alignment/>
    </xf>
    <xf numFmtId="3" fontId="3" fillId="0" borderId="134" xfId="0" applyNumberFormat="1" applyFont="1" applyFill="1" applyBorder="1" applyAlignment="1">
      <alignment/>
    </xf>
    <xf numFmtId="3" fontId="0" fillId="0" borderId="135" xfId="0" applyNumberFormat="1" applyFont="1" applyFill="1" applyBorder="1" applyAlignment="1">
      <alignment/>
    </xf>
    <xf numFmtId="3" fontId="0" fillId="0" borderId="136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/>
    </xf>
    <xf numFmtId="3" fontId="0" fillId="0" borderId="134" xfId="0" applyNumberFormat="1" applyFont="1" applyFill="1" applyBorder="1" applyAlignment="1">
      <alignment/>
    </xf>
    <xf numFmtId="4" fontId="0" fillId="0" borderId="88" xfId="0" applyNumberFormat="1" applyFont="1" applyFill="1" applyBorder="1" applyAlignment="1">
      <alignment/>
    </xf>
    <xf numFmtId="3" fontId="5" fillId="0" borderId="138" xfId="0" applyNumberFormat="1" applyFont="1" applyFill="1" applyBorder="1" applyAlignment="1">
      <alignment/>
    </xf>
    <xf numFmtId="3" fontId="3" fillId="0" borderId="139" xfId="0" applyNumberFormat="1" applyFont="1" applyFill="1" applyBorder="1" applyAlignment="1">
      <alignment/>
    </xf>
    <xf numFmtId="4" fontId="3" fillId="0" borderId="140" xfId="0" applyNumberFormat="1" applyFont="1" applyFill="1" applyBorder="1" applyAlignment="1">
      <alignment/>
    </xf>
    <xf numFmtId="3" fontId="0" fillId="0" borderId="141" xfId="0" applyNumberFormat="1" applyFont="1" applyFill="1" applyBorder="1" applyAlignment="1">
      <alignment/>
    </xf>
    <xf numFmtId="3" fontId="0" fillId="0" borderId="142" xfId="0" applyNumberFormat="1" applyFont="1" applyFill="1" applyBorder="1" applyAlignment="1">
      <alignment/>
    </xf>
    <xf numFmtId="3" fontId="5" fillId="0" borderId="143" xfId="0" applyNumberFormat="1" applyFont="1" applyFill="1" applyBorder="1" applyAlignment="1">
      <alignment/>
    </xf>
    <xf numFmtId="4" fontId="3" fillId="0" borderId="14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108" xfId="0" applyNumberFormat="1" applyFont="1" applyFill="1" applyBorder="1" applyAlignment="1">
      <alignment/>
    </xf>
    <xf numFmtId="3" fontId="0" fillId="0" borderId="145" xfId="0" applyNumberFormat="1" applyFont="1" applyFill="1" applyBorder="1" applyAlignment="1">
      <alignment horizontal="center"/>
    </xf>
    <xf numFmtId="3" fontId="0" fillId="0" borderId="11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0" fillId="0" borderId="114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>
      <alignment horizontal="center"/>
    </xf>
    <xf numFmtId="3" fontId="0" fillId="0" borderId="146" xfId="0" applyNumberFormat="1" applyFont="1" applyFill="1" applyBorder="1" applyAlignment="1">
      <alignment horizontal="center"/>
    </xf>
    <xf numFmtId="3" fontId="0" fillId="0" borderId="147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>
      <alignment horizontal="centerContinuous"/>
    </xf>
    <xf numFmtId="3" fontId="0" fillId="0" borderId="121" xfId="0" applyNumberFormat="1" applyFont="1" applyFill="1" applyBorder="1" applyAlignment="1">
      <alignment horizontal="centerContinuous"/>
    </xf>
    <xf numFmtId="3" fontId="3" fillId="0" borderId="149" xfId="0" applyNumberFormat="1" applyFont="1" applyFill="1" applyBorder="1" applyAlignment="1">
      <alignment/>
    </xf>
    <xf numFmtId="3" fontId="0" fillId="0" borderId="121" xfId="0" applyNumberFormat="1" applyFont="1" applyFill="1" applyBorder="1" applyAlignment="1">
      <alignment horizontal="center"/>
    </xf>
    <xf numFmtId="3" fontId="3" fillId="0" borderId="127" xfId="0" applyNumberFormat="1" applyFont="1" applyFill="1" applyBorder="1" applyAlignment="1">
      <alignment wrapText="1"/>
    </xf>
    <xf numFmtId="3" fontId="3" fillId="0" borderId="150" xfId="0" applyNumberFormat="1" applyFont="1" applyFill="1" applyBorder="1" applyAlignment="1">
      <alignment/>
    </xf>
    <xf numFmtId="3" fontId="3" fillId="0" borderId="151" xfId="0" applyNumberFormat="1" applyFont="1" applyFill="1" applyBorder="1" applyAlignment="1">
      <alignment/>
    </xf>
    <xf numFmtId="3" fontId="3" fillId="0" borderId="152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right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/>
    </xf>
    <xf numFmtId="3" fontId="88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3" fontId="83" fillId="0" borderId="10" xfId="0" applyNumberFormat="1" applyFont="1" applyBorder="1" applyAlignment="1">
      <alignment/>
    </xf>
    <xf numFmtId="0" fontId="20" fillId="0" borderId="0" xfId="70" applyFont="1" applyFill="1" applyProtection="1">
      <alignment/>
      <protection/>
    </xf>
    <xf numFmtId="166" fontId="65" fillId="0" borderId="153" xfId="70" applyNumberFormat="1" applyFont="1" applyFill="1" applyBorder="1" applyAlignment="1" applyProtection="1">
      <alignment vertical="center"/>
      <protection/>
    </xf>
    <xf numFmtId="0" fontId="66" fillId="0" borderId="153" xfId="0" applyFont="1" applyFill="1" applyBorder="1" applyAlignment="1" applyProtection="1">
      <alignment horizontal="right" vertical="center"/>
      <protection/>
    </xf>
    <xf numFmtId="49" fontId="20" fillId="0" borderId="0" xfId="70" applyNumberFormat="1" applyFont="1" applyFill="1" applyProtection="1">
      <alignment/>
      <protection/>
    </xf>
    <xf numFmtId="0" fontId="14" fillId="0" borderId="42" xfId="70" applyFont="1" applyFill="1" applyBorder="1" applyAlignment="1" applyProtection="1">
      <alignment horizontal="center" vertical="center" wrapText="1"/>
      <protection/>
    </xf>
    <xf numFmtId="0" fontId="14" fillId="0" borderId="33" xfId="70" applyFont="1" applyFill="1" applyBorder="1" applyAlignment="1" applyProtection="1">
      <alignment horizontal="center" vertical="center" wrapText="1"/>
      <protection/>
    </xf>
    <xf numFmtId="0" fontId="16" fillId="0" borderId="16" xfId="70" applyFont="1" applyFill="1" applyBorder="1" applyAlignment="1" applyProtection="1">
      <alignment horizontal="center" vertical="center" wrapText="1"/>
      <protection/>
    </xf>
    <xf numFmtId="0" fontId="16" fillId="0" borderId="14" xfId="70" applyFont="1" applyFill="1" applyBorder="1" applyAlignment="1" applyProtection="1">
      <alignment horizontal="center" vertical="center" wrapText="1"/>
      <protection/>
    </xf>
    <xf numFmtId="0" fontId="16" fillId="0" borderId="24" xfId="70" applyFont="1" applyFill="1" applyBorder="1" applyAlignment="1" applyProtection="1">
      <alignment horizontal="center" vertical="center" wrapText="1"/>
      <protection/>
    </xf>
    <xf numFmtId="49" fontId="15" fillId="0" borderId="0" xfId="70" applyNumberFormat="1" applyFont="1" applyFill="1" applyProtection="1">
      <alignment/>
      <protection/>
    </xf>
    <xf numFmtId="0" fontId="15" fillId="0" borderId="0" xfId="70" applyFont="1" applyFill="1" applyProtection="1">
      <alignment/>
      <protection/>
    </xf>
    <xf numFmtId="0" fontId="16" fillId="0" borderId="16" xfId="70" applyFont="1" applyFill="1" applyBorder="1" applyAlignment="1" applyProtection="1">
      <alignment horizontal="left" vertical="center" wrapText="1" indent="1"/>
      <protection/>
    </xf>
    <xf numFmtId="0" fontId="16" fillId="0" borderId="14" xfId="70" applyFont="1" applyFill="1" applyBorder="1" applyAlignment="1" applyProtection="1">
      <alignment horizontal="left" vertical="center" wrapText="1" indent="1"/>
      <protection/>
    </xf>
    <xf numFmtId="166" fontId="16" fillId="0" borderId="14" xfId="70" applyNumberFormat="1" applyFont="1" applyFill="1" applyBorder="1" applyAlignment="1" applyProtection="1">
      <alignment horizontal="right" vertical="center" wrapText="1" indent="1"/>
      <protection/>
    </xf>
    <xf numFmtId="49" fontId="47" fillId="0" borderId="0" xfId="70" applyNumberFormat="1" applyFont="1" applyFill="1" applyProtection="1">
      <alignment/>
      <protection/>
    </xf>
    <xf numFmtId="0" fontId="47" fillId="0" borderId="0" xfId="70" applyFont="1" applyFill="1" applyProtection="1">
      <alignment/>
      <protection/>
    </xf>
    <xf numFmtId="49" fontId="15" fillId="0" borderId="43" xfId="70" applyNumberFormat="1" applyFont="1" applyFill="1" applyBorder="1" applyAlignment="1" applyProtection="1">
      <alignment horizontal="left" vertical="center" wrapText="1" indent="1"/>
      <protection/>
    </xf>
    <xf numFmtId="166" fontId="15" fillId="0" borderId="22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2" xfId="7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6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26" borderId="10" xfId="70" applyNumberFormat="1" applyFont="1" applyFill="1" applyBorder="1" applyAlignment="1" applyProtection="1">
      <alignment horizontal="right" vertical="center" wrapText="1" indent="1"/>
      <protection/>
    </xf>
    <xf numFmtId="49" fontId="15" fillId="0" borderId="13" xfId="70" applyNumberFormat="1" applyFont="1" applyFill="1" applyBorder="1" applyAlignment="1" applyProtection="1">
      <alignment horizontal="left" vertical="center" wrapText="1" indent="1"/>
      <protection/>
    </xf>
    <xf numFmtId="166" fontId="15" fillId="26" borderId="42" xfId="7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2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70" applyNumberFormat="1" applyFont="1" applyFill="1" applyBorder="1" applyAlignment="1" applyProtection="1">
      <alignment horizontal="right" vertical="center" wrapText="1" inden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43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166" fontId="16" fillId="0" borderId="14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0" applyFont="1" applyBorder="1" applyAlignment="1" applyProtection="1">
      <alignment vertical="center" wrapText="1"/>
      <protection/>
    </xf>
    <xf numFmtId="0" fontId="16" fillId="0" borderId="55" xfId="0" applyFont="1" applyBorder="1" applyAlignment="1" applyProtection="1">
      <alignment vertical="center" wrapText="1"/>
      <protection/>
    </xf>
    <xf numFmtId="0" fontId="16" fillId="0" borderId="54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6" fontId="14" fillId="0" borderId="0" xfId="70" applyNumberFormat="1" applyFont="1" applyFill="1" applyBorder="1" applyAlignment="1" applyProtection="1">
      <alignment horizontal="right" vertical="center" wrapText="1" indent="1"/>
      <protection/>
    </xf>
    <xf numFmtId="166" fontId="65" fillId="0" borderId="153" xfId="70" applyNumberFormat="1" applyFont="1" applyFill="1" applyBorder="1" applyAlignment="1" applyProtection="1">
      <alignment/>
      <protection/>
    </xf>
    <xf numFmtId="0" fontId="66" fillId="0" borderId="153" xfId="0" applyFont="1" applyFill="1" applyBorder="1" applyAlignment="1" applyProtection="1">
      <alignment horizontal="right"/>
      <protection/>
    </xf>
    <xf numFmtId="49" fontId="20" fillId="0" borderId="0" xfId="70" applyNumberFormat="1" applyFont="1" applyFill="1" applyAlignment="1" applyProtection="1">
      <alignment/>
      <protection/>
    </xf>
    <xf numFmtId="0" fontId="20" fillId="0" borderId="0" xfId="70" applyFont="1" applyFill="1" applyAlignment="1" applyProtection="1">
      <alignment/>
      <protection/>
    </xf>
    <xf numFmtId="0" fontId="16" fillId="0" borderId="47" xfId="70" applyFont="1" applyFill="1" applyBorder="1" applyAlignment="1" applyProtection="1">
      <alignment horizontal="left" vertical="center" wrapText="1" indent="1"/>
      <protection/>
    </xf>
    <xf numFmtId="0" fontId="16" fillId="0" borderId="48" xfId="70" applyFont="1" applyFill="1" applyBorder="1" applyAlignment="1" applyProtection="1">
      <alignment vertical="center" wrapText="1"/>
      <protection/>
    </xf>
    <xf numFmtId="49" fontId="15" fillId="0" borderId="34" xfId="70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70" applyFont="1" applyFill="1" applyBorder="1" applyAlignment="1" applyProtection="1">
      <alignment horizontal="left" vertical="center" wrapText="1" indent="1"/>
      <protection/>
    </xf>
    <xf numFmtId="0" fontId="15" fillId="0" borderId="10" xfId="70" applyFont="1" applyFill="1" applyBorder="1" applyAlignment="1" applyProtection="1">
      <alignment horizontal="left" vertical="center" wrapText="1" indent="1"/>
      <protection/>
    </xf>
    <xf numFmtId="0" fontId="15" fillId="0" borderId="46" xfId="70" applyFont="1" applyFill="1" applyBorder="1" applyAlignment="1" applyProtection="1">
      <alignment horizontal="left" vertical="center" wrapText="1" indent="1"/>
      <protection/>
    </xf>
    <xf numFmtId="0" fontId="15" fillId="0" borderId="0" xfId="70" applyFont="1" applyFill="1" applyBorder="1" applyAlignment="1" applyProtection="1">
      <alignment horizontal="left" vertical="center" wrapText="1" indent="1"/>
      <protection/>
    </xf>
    <xf numFmtId="0" fontId="15" fillId="0" borderId="10" xfId="70" applyFont="1" applyFill="1" applyBorder="1" applyAlignment="1" applyProtection="1">
      <alignment horizontal="left" indent="6"/>
      <protection/>
    </xf>
    <xf numFmtId="0" fontId="15" fillId="0" borderId="10" xfId="70" applyFont="1" applyFill="1" applyBorder="1" applyAlignment="1" applyProtection="1">
      <alignment horizontal="left" vertical="center" wrapText="1" indent="6"/>
      <protection/>
    </xf>
    <xf numFmtId="49" fontId="15" fillId="0" borderId="37" xfId="70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70" applyFont="1" applyFill="1" applyBorder="1" applyAlignment="1" applyProtection="1">
      <alignment horizontal="left" vertical="center" wrapText="1" indent="6"/>
      <protection/>
    </xf>
    <xf numFmtId="49" fontId="15" fillId="0" borderId="41" xfId="70" applyNumberFormat="1" applyFont="1" applyFill="1" applyBorder="1" applyAlignment="1" applyProtection="1">
      <alignment horizontal="left" vertical="center" wrapText="1" indent="1"/>
      <protection/>
    </xf>
    <xf numFmtId="0" fontId="15" fillId="0" borderId="42" xfId="70" applyFont="1" applyFill="1" applyBorder="1" applyAlignment="1" applyProtection="1">
      <alignment horizontal="left" vertical="center" wrapText="1" indent="6"/>
      <protection/>
    </xf>
    <xf numFmtId="0" fontId="16" fillId="0" borderId="14" xfId="70" applyFont="1" applyFill="1" applyBorder="1" applyAlignment="1" applyProtection="1">
      <alignment vertical="center" wrapText="1"/>
      <protection/>
    </xf>
    <xf numFmtId="0" fontId="15" fillId="0" borderId="11" xfId="70" applyFont="1" applyFill="1" applyBorder="1" applyAlignment="1" applyProtection="1">
      <alignment horizontal="left" vertical="center" wrapText="1" indent="1"/>
      <protection/>
    </xf>
    <xf numFmtId="0" fontId="15" fillId="0" borderId="23" xfId="70" applyFont="1" applyFill="1" applyBorder="1" applyAlignment="1" applyProtection="1">
      <alignment horizontal="left" vertical="center" wrapText="1" indent="6"/>
      <protection/>
    </xf>
    <xf numFmtId="0" fontId="20" fillId="0" borderId="0" xfId="70" applyFont="1" applyFill="1" applyAlignment="1" applyProtection="1">
      <alignment horizontal="left" vertical="center" indent="1"/>
      <protection/>
    </xf>
    <xf numFmtId="0" fontId="15" fillId="0" borderId="23" xfId="70" applyFont="1" applyFill="1" applyBorder="1" applyAlignment="1" applyProtection="1">
      <alignment horizontal="left" vertical="center" wrapText="1" indent="1"/>
      <protection/>
    </xf>
    <xf numFmtId="0" fontId="15" fillId="0" borderId="25" xfId="70" applyFont="1" applyFill="1" applyBorder="1" applyAlignment="1" applyProtection="1">
      <alignment horizontal="left" vertical="center" wrapText="1" indent="1"/>
      <protection/>
    </xf>
    <xf numFmtId="166" fontId="16" fillId="0" borderId="14" xfId="0" applyNumberFormat="1" applyFont="1" applyBorder="1" applyAlignment="1" applyProtection="1">
      <alignment horizontal="right" vertical="center" wrapText="1" indent="1"/>
      <protection/>
    </xf>
    <xf numFmtId="0" fontId="22" fillId="0" borderId="0" xfId="70" applyFont="1" applyFill="1" applyProtection="1">
      <alignment/>
      <protection/>
    </xf>
    <xf numFmtId="166" fontId="14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55" xfId="0" applyFont="1" applyBorder="1" applyAlignment="1" applyProtection="1">
      <alignment horizontal="left" vertical="center" wrapText="1" indent="1"/>
      <protection/>
    </xf>
    <xf numFmtId="166" fontId="65" fillId="0" borderId="153" xfId="70" applyNumberFormat="1" applyFont="1" applyFill="1" applyBorder="1" applyAlignment="1" applyProtection="1">
      <alignment horizontal="left" vertical="center"/>
      <protection/>
    </xf>
    <xf numFmtId="0" fontId="20" fillId="0" borderId="0" xfId="70" applyFont="1" applyFill="1" applyAlignment="1" applyProtection="1">
      <alignment horizontal="right" vertical="center" indent="1"/>
      <protection/>
    </xf>
    <xf numFmtId="166" fontId="16" fillId="0" borderId="15" xfId="70" applyNumberFormat="1" applyFont="1" applyFill="1" applyBorder="1" applyAlignment="1" applyProtection="1">
      <alignment horizontal="right" vertical="center" wrapText="1" indent="1"/>
      <protection/>
    </xf>
    <xf numFmtId="166" fontId="47" fillId="0" borderId="0" xfId="0" applyNumberFormat="1" applyFont="1" applyFill="1" applyAlignment="1" applyProtection="1">
      <alignment vertical="center" wrapText="1"/>
      <protection/>
    </xf>
    <xf numFmtId="166" fontId="22" fillId="0" borderId="0" xfId="0" applyNumberFormat="1" applyFont="1" applyFill="1" applyAlignment="1" applyProtection="1">
      <alignment horizontal="centerContinuous" vertical="center" wrapText="1"/>
      <protection/>
    </xf>
    <xf numFmtId="166" fontId="47" fillId="0" borderId="0" xfId="0" applyNumberFormat="1" applyFont="1" applyFill="1" applyAlignment="1" applyProtection="1">
      <alignment horizontal="centerContinuous" vertical="center"/>
      <protection/>
    </xf>
    <xf numFmtId="49" fontId="47" fillId="0" borderId="0" xfId="0" applyNumberFormat="1" applyFont="1" applyFill="1" applyAlignment="1" applyProtection="1">
      <alignment vertical="center" wrapText="1"/>
      <protection/>
    </xf>
    <xf numFmtId="166" fontId="47" fillId="0" borderId="0" xfId="0" applyNumberFormat="1" applyFont="1" applyFill="1" applyAlignment="1" applyProtection="1">
      <alignment horizontal="center" vertical="center" wrapText="1"/>
      <protection/>
    </xf>
    <xf numFmtId="166" fontId="66" fillId="0" borderId="0" xfId="0" applyNumberFormat="1" applyFont="1" applyFill="1" applyAlignment="1" applyProtection="1">
      <alignment horizontal="right" vertical="center"/>
      <protection/>
    </xf>
    <xf numFmtId="166" fontId="14" fillId="0" borderId="16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14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15" xfId="0" applyNumberFormat="1" applyFont="1" applyFill="1" applyBorder="1" applyAlignment="1" applyProtection="1">
      <alignment horizontal="centerContinuous" vertical="center" wrapText="1"/>
      <protection/>
    </xf>
    <xf numFmtId="166" fontId="14" fillId="0" borderId="16" xfId="0" applyNumberFormat="1" applyFont="1" applyFill="1" applyBorder="1" applyAlignment="1" applyProtection="1">
      <alignment horizontal="center" vertical="center" wrapText="1"/>
      <protection/>
    </xf>
    <xf numFmtId="166" fontId="14" fillId="0" borderId="14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Alignment="1" applyProtection="1">
      <alignment horizontal="center" vertical="center" wrapText="1"/>
      <protection/>
    </xf>
    <xf numFmtId="166" fontId="24" fillId="0" borderId="0" xfId="0" applyNumberFormat="1" applyFont="1" applyFill="1" applyAlignment="1" applyProtection="1">
      <alignment horizontal="center" vertical="center" wrapText="1"/>
      <protection/>
    </xf>
    <xf numFmtId="166" fontId="16" fillId="0" borderId="40" xfId="0" applyNumberFormat="1" applyFont="1" applyFill="1" applyBorder="1" applyAlignment="1" applyProtection="1">
      <alignment horizontal="center" vertical="center" wrapText="1"/>
      <protection/>
    </xf>
    <xf numFmtId="166" fontId="16" fillId="0" borderId="16" xfId="0" applyNumberFormat="1" applyFont="1" applyFill="1" applyBorder="1" applyAlignment="1" applyProtection="1">
      <alignment horizontal="center" vertical="center" wrapText="1"/>
      <protection/>
    </xf>
    <xf numFmtId="166" fontId="16" fillId="0" borderId="14" xfId="0" applyNumberFormat="1" applyFont="1" applyFill="1" applyBorder="1" applyAlignment="1" applyProtection="1">
      <alignment horizontal="center" vertical="center" wrapText="1"/>
      <protection/>
    </xf>
    <xf numFmtId="166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  <xf numFmtId="166" fontId="16" fillId="0" borderId="0" xfId="0" applyNumberFormat="1" applyFont="1" applyFill="1" applyAlignment="1" applyProtection="1">
      <alignment horizontal="center" vertical="center" wrapText="1"/>
      <protection/>
    </xf>
    <xf numFmtId="166" fontId="47" fillId="0" borderId="9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47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00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47" fillId="0" borderId="63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67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67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6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24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24" fillId="0" borderId="24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5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67" fillId="0" borderId="37" xfId="0" applyNumberFormat="1" applyFont="1" applyFill="1" applyBorder="1" applyAlignment="1" applyProtection="1">
      <alignment horizontal="left" vertical="center" wrapText="1" indent="1"/>
      <protection/>
    </xf>
    <xf numFmtId="166" fontId="67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12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0" xfId="0" applyNumberFormat="1" applyFont="1" applyFill="1" applyBorder="1" applyAlignment="1" applyProtection="1">
      <alignment horizontal="left" vertical="center" wrapText="1" indent="2"/>
      <protection/>
    </xf>
    <xf numFmtId="166" fontId="67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43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13" xfId="0" applyNumberFormat="1" applyFont="1" applyFill="1" applyBorder="1" applyAlignment="1" applyProtection="1">
      <alignment horizontal="left" vertical="center" wrapText="1" indent="2"/>
      <protection/>
    </xf>
    <xf numFmtId="166" fontId="24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47" fillId="0" borderId="0" xfId="0" applyNumberFormat="1" applyFont="1" applyAlignment="1">
      <alignment vertical="top"/>
    </xf>
    <xf numFmtId="3" fontId="66" fillId="0" borderId="0" xfId="0" applyNumberFormat="1" applyFont="1" applyAlignment="1">
      <alignment vertical="top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9" xfId="0" applyNumberFormat="1" applyFont="1" applyBorder="1" applyAlignment="1">
      <alignment horizontal="center" vertical="center" wrapText="1"/>
    </xf>
    <xf numFmtId="3" fontId="47" fillId="0" borderId="46" xfId="0" applyNumberFormat="1" applyFont="1" applyBorder="1" applyAlignment="1">
      <alignment horizontal="center" vertical="center" wrapText="1"/>
    </xf>
    <xf numFmtId="3" fontId="47" fillId="27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/>
    </xf>
    <xf numFmtId="3" fontId="47" fillId="0" borderId="11" xfId="0" applyNumberFormat="1" applyFont="1" applyBorder="1" applyAlignment="1">
      <alignment vertical="top"/>
    </xf>
    <xf numFmtId="3" fontId="47" fillId="0" borderId="0" xfId="0" applyNumberFormat="1" applyFont="1" applyBorder="1" applyAlignment="1">
      <alignment vertical="top" wrapText="1"/>
    </xf>
    <xf numFmtId="173" fontId="47" fillId="0" borderId="11" xfId="0" applyNumberFormat="1" applyFont="1" applyBorder="1" applyAlignment="1">
      <alignment vertical="top"/>
    </xf>
    <xf numFmtId="3" fontId="47" fillId="0" borderId="0" xfId="0" applyNumberFormat="1" applyFont="1" applyBorder="1" applyAlignment="1">
      <alignment vertical="top"/>
    </xf>
    <xf numFmtId="173" fontId="47" fillId="0" borderId="25" xfId="0" applyNumberFormat="1" applyFont="1" applyBorder="1" applyAlignment="1">
      <alignment vertical="top"/>
    </xf>
    <xf numFmtId="3" fontId="80" fillId="0" borderId="25" xfId="0" applyNumberFormat="1" applyFont="1" applyBorder="1" applyAlignment="1">
      <alignment vertical="top"/>
    </xf>
    <xf numFmtId="3" fontId="24" fillId="0" borderId="25" xfId="0" applyNumberFormat="1" applyFont="1" applyBorder="1" applyAlignment="1">
      <alignment vertical="top"/>
    </xf>
    <xf numFmtId="173" fontId="24" fillId="0" borderId="25" xfId="0" applyNumberFormat="1" applyFont="1" applyBorder="1" applyAlignment="1">
      <alignment vertical="top"/>
    </xf>
    <xf numFmtId="3" fontId="24" fillId="0" borderId="0" xfId="0" applyNumberFormat="1" applyFont="1" applyAlignment="1">
      <alignment vertical="top"/>
    </xf>
    <xf numFmtId="3" fontId="24" fillId="0" borderId="10" xfId="0" applyNumberFormat="1" applyFont="1" applyBorder="1" applyAlignment="1">
      <alignment vertical="top"/>
    </xf>
    <xf numFmtId="3" fontId="24" fillId="0" borderId="68" xfId="0" applyNumberFormat="1" applyFont="1" applyBorder="1" applyAlignment="1">
      <alignment vertical="top"/>
    </xf>
    <xf numFmtId="3" fontId="24" fillId="0" borderId="68" xfId="0" applyNumberFormat="1" applyFont="1" applyBorder="1" applyAlignment="1">
      <alignment horizontal="center" vertical="top" wrapText="1"/>
    </xf>
    <xf numFmtId="173" fontId="24" fillId="0" borderId="10" xfId="0" applyNumberFormat="1" applyFont="1" applyBorder="1" applyAlignment="1">
      <alignment vertical="top"/>
    </xf>
    <xf numFmtId="49" fontId="48" fillId="0" borderId="19" xfId="0" applyNumberFormat="1" applyFont="1" applyBorder="1" applyAlignment="1">
      <alignment horizontal="right" vertical="top"/>
    </xf>
    <xf numFmtId="3" fontId="48" fillId="0" borderId="46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vertical="top"/>
    </xf>
    <xf numFmtId="49" fontId="48" fillId="0" borderId="10" xfId="0" applyNumberFormat="1" applyFont="1" applyBorder="1" applyAlignment="1">
      <alignment horizontal="right" vertical="top"/>
    </xf>
    <xf numFmtId="173" fontId="22" fillId="0" borderId="11" xfId="0" applyNumberFormat="1" applyFont="1" applyFill="1" applyBorder="1" applyAlignment="1">
      <alignment/>
    </xf>
    <xf numFmtId="173" fontId="22" fillId="0" borderId="25" xfId="0" applyNumberFormat="1" applyFont="1" applyFill="1" applyBorder="1" applyAlignment="1">
      <alignment/>
    </xf>
    <xf numFmtId="173" fontId="22" fillId="0" borderId="23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13" fillId="0" borderId="22" xfId="0" applyFont="1" applyBorder="1" applyAlignment="1" applyProtection="1">
      <alignment horizontal="left" vertical="center" wrapText="1" indent="1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0" fillId="0" borderId="83" xfId="0" applyNumberFormat="1" applyFont="1" applyFill="1" applyBorder="1" applyAlignment="1">
      <alignment/>
    </xf>
    <xf numFmtId="3" fontId="0" fillId="0" borderId="87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 vertical="top"/>
    </xf>
    <xf numFmtId="3" fontId="80" fillId="0" borderId="11" xfId="0" applyNumberFormat="1" applyFont="1" applyFill="1" applyBorder="1" applyAlignment="1">
      <alignment vertical="top"/>
    </xf>
    <xf numFmtId="3" fontId="47" fillId="0" borderId="25" xfId="0" applyNumberFormat="1" applyFont="1" applyFill="1" applyBorder="1" applyAlignment="1">
      <alignment vertical="top"/>
    </xf>
    <xf numFmtId="3" fontId="47" fillId="0" borderId="25" xfId="0" applyNumberFormat="1" applyFont="1" applyFill="1" applyBorder="1" applyAlignment="1">
      <alignment horizontal="right" vertical="top"/>
    </xf>
    <xf numFmtId="3" fontId="80" fillId="0" borderId="25" xfId="0" applyNumberFormat="1" applyFont="1" applyFill="1" applyBorder="1" applyAlignment="1">
      <alignment vertical="top"/>
    </xf>
    <xf numFmtId="3" fontId="24" fillId="0" borderId="25" xfId="0" applyNumberFormat="1" applyFont="1" applyFill="1" applyBorder="1" applyAlignment="1">
      <alignment vertical="top"/>
    </xf>
    <xf numFmtId="3" fontId="47" fillId="0" borderId="38" xfId="0" applyNumberFormat="1" applyFont="1" applyFill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0" borderId="19" xfId="0" applyFont="1" applyFill="1" applyBorder="1" applyAlignment="1">
      <alignment vertical="top"/>
    </xf>
    <xf numFmtId="3" fontId="48" fillId="0" borderId="65" xfId="0" applyNumberFormat="1" applyFont="1" applyFill="1" applyBorder="1" applyAlignment="1">
      <alignment vertical="top"/>
    </xf>
    <xf numFmtId="3" fontId="48" fillId="0" borderId="25" xfId="0" applyNumberFormat="1" applyFont="1" applyFill="1" applyBorder="1" applyAlignment="1">
      <alignment vertical="top"/>
    </xf>
    <xf numFmtId="3" fontId="24" fillId="0" borderId="46" xfId="0" applyNumberFormat="1" applyFont="1" applyFill="1" applyBorder="1" applyAlignment="1">
      <alignment horizontal="right" vertical="top"/>
    </xf>
    <xf numFmtId="0" fontId="68" fillId="0" borderId="0" xfId="0" applyFont="1" applyAlignment="1">
      <alignment/>
    </xf>
    <xf numFmtId="0" fontId="90" fillId="0" borderId="0" xfId="0" applyFont="1" applyAlignment="1">
      <alignment horizontal="right" vertical="top"/>
    </xf>
    <xf numFmtId="4" fontId="3" fillId="0" borderId="129" xfId="0" applyNumberFormat="1" applyFont="1" applyFill="1" applyBorder="1" applyAlignment="1" quotePrefix="1">
      <alignment/>
    </xf>
    <xf numFmtId="4" fontId="3" fillId="0" borderId="87" xfId="0" applyNumberFormat="1" applyFont="1" applyFill="1" applyBorder="1" applyAlignment="1">
      <alignment/>
    </xf>
    <xf numFmtId="3" fontId="3" fillId="0" borderId="146" xfId="0" applyNumberFormat="1" applyFont="1" applyFill="1" applyBorder="1" applyAlignment="1">
      <alignment/>
    </xf>
    <xf numFmtId="3" fontId="3" fillId="0" borderId="147" xfId="0" applyNumberFormat="1" applyFont="1" applyFill="1" applyBorder="1" applyAlignment="1">
      <alignment/>
    </xf>
    <xf numFmtId="3" fontId="0" fillId="0" borderId="147" xfId="0" applyNumberFormat="1" applyFont="1" applyFill="1" applyBorder="1" applyAlignment="1">
      <alignment/>
    </xf>
    <xf numFmtId="3" fontId="0" fillId="0" borderId="149" xfId="0" applyNumberFormat="1" applyFont="1" applyFill="1" applyBorder="1" applyAlignment="1">
      <alignment/>
    </xf>
    <xf numFmtId="3" fontId="0" fillId="0" borderId="147" xfId="0" applyNumberFormat="1" applyFont="1" applyFill="1" applyBorder="1" applyAlignment="1">
      <alignment/>
    </xf>
    <xf numFmtId="3" fontId="0" fillId="0" borderId="133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3" fillId="0" borderId="128" xfId="0" applyNumberFormat="1" applyFont="1" applyFill="1" applyBorder="1" applyAlignment="1">
      <alignment/>
    </xf>
    <xf numFmtId="3" fontId="3" fillId="0" borderId="138" xfId="0" applyNumberFormat="1" applyFont="1" applyFill="1" applyBorder="1" applyAlignment="1">
      <alignment/>
    </xf>
    <xf numFmtId="3" fontId="3" fillId="0" borderId="144" xfId="0" applyNumberFormat="1" applyFont="1" applyFill="1" applyBorder="1" applyAlignment="1">
      <alignment/>
    </xf>
    <xf numFmtId="0" fontId="47" fillId="0" borderId="0" xfId="0" applyFont="1" applyAlignment="1" applyProtection="1">
      <alignment horizontal="right" vertical="top"/>
      <protection/>
    </xf>
    <xf numFmtId="0" fontId="71" fillId="0" borderId="0" xfId="0" applyFont="1" applyAlignment="1" applyProtection="1">
      <alignment horizontal="right" vertical="top"/>
      <protection/>
    </xf>
    <xf numFmtId="166" fontId="15" fillId="0" borderId="70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9" xfId="7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9" xfId="70" applyNumberFormat="1" applyFont="1" applyFill="1" applyBorder="1" applyAlignment="1" applyProtection="1">
      <alignment horizontal="right" vertical="center" wrapText="1" indent="1"/>
      <protection/>
    </xf>
    <xf numFmtId="166" fontId="15" fillId="0" borderId="70" xfId="70" applyNumberFormat="1" applyFont="1" applyFill="1" applyBorder="1" applyAlignment="1" applyProtection="1">
      <alignment horizontal="right" vertical="center" wrapText="1" indent="1"/>
      <protection/>
    </xf>
    <xf numFmtId="0" fontId="16" fillId="0" borderId="39" xfId="70" applyFont="1" applyFill="1" applyBorder="1" applyAlignment="1" applyProtection="1">
      <alignment horizontal="center" vertical="center" wrapText="1"/>
      <protection/>
    </xf>
    <xf numFmtId="166" fontId="12" fillId="0" borderId="21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9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9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7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8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9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54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31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1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4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26" xfId="70" applyNumberFormat="1" applyFont="1" applyFill="1" applyBorder="1" applyAlignment="1" applyProtection="1">
      <alignment horizontal="right" vertical="center" wrapText="1" indent="1"/>
      <protection/>
    </xf>
    <xf numFmtId="166" fontId="12" fillId="0" borderId="48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7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9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70" xfId="70" applyNumberFormat="1" applyFont="1" applyFill="1" applyBorder="1" applyAlignment="1" applyProtection="1">
      <alignment horizontal="right" vertical="center" wrapText="1" indent="1"/>
      <protection/>
    </xf>
    <xf numFmtId="166" fontId="13" fillId="0" borderId="19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7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0" xfId="7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9" xfId="0" applyNumberFormat="1" applyFont="1" applyBorder="1" applyAlignment="1" applyProtection="1">
      <alignment horizontal="right" vertical="center" wrapText="1" indent="1"/>
      <protection/>
    </xf>
    <xf numFmtId="166" fontId="14" fillId="0" borderId="39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24" xfId="70" applyNumberFormat="1" applyFont="1" applyFill="1" applyBorder="1" applyAlignment="1" applyProtection="1">
      <alignment horizontal="right" vertical="center" wrapText="1" indent="1"/>
      <protection/>
    </xf>
    <xf numFmtId="166" fontId="16" fillId="0" borderId="24" xfId="0" applyNumberFormat="1" applyFont="1" applyBorder="1" applyAlignment="1" applyProtection="1">
      <alignment horizontal="right" vertical="center" wrapText="1" indent="1"/>
      <protection/>
    </xf>
    <xf numFmtId="166" fontId="14" fillId="0" borderId="24" xfId="0" applyNumberFormat="1" applyFont="1" applyBorder="1" applyAlignment="1" applyProtection="1" quotePrefix="1">
      <alignment horizontal="right" vertical="center" wrapText="1" indent="1"/>
      <protection/>
    </xf>
    <xf numFmtId="49" fontId="82" fillId="27" borderId="72" xfId="66" applyNumberFormat="1" applyFont="1" applyFill="1" applyBorder="1" applyAlignment="1">
      <alignment horizontal="center" vertical="top"/>
      <protection/>
    </xf>
    <xf numFmtId="0" fontId="47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3" fontId="3" fillId="0" borderId="124" xfId="0" applyNumberFormat="1" applyFont="1" applyFill="1" applyBorder="1" applyAlignment="1">
      <alignment horizontal="centerContinuous"/>
    </xf>
    <xf numFmtId="3" fontId="3" fillId="0" borderId="155" xfId="0" applyNumberFormat="1" applyFont="1" applyFill="1" applyBorder="1" applyAlignment="1">
      <alignment horizontal="centerContinuous"/>
    </xf>
    <xf numFmtId="3" fontId="0" fillId="0" borderId="86" xfId="0" applyNumberFormat="1" applyFont="1" applyFill="1" applyBorder="1" applyAlignment="1">
      <alignment horizontal="centerContinuous"/>
    </xf>
    <xf numFmtId="3" fontId="3" fillId="0" borderId="11" xfId="0" applyNumberFormat="1" applyFont="1" applyFill="1" applyBorder="1" applyAlignment="1">
      <alignment horizontal="center"/>
    </xf>
    <xf numFmtId="3" fontId="3" fillId="0" borderId="65" xfId="0" applyNumberFormat="1" applyFont="1" applyFill="1" applyBorder="1" applyAlignment="1">
      <alignment horizontal="center"/>
    </xf>
    <xf numFmtId="3" fontId="0" fillId="0" borderId="113" xfId="0" applyNumberFormat="1" applyFont="1" applyFill="1" applyBorder="1" applyAlignment="1">
      <alignment horizontal="center"/>
    </xf>
    <xf numFmtId="3" fontId="0" fillId="0" borderId="11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0" fillId="0" borderId="118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>
      <alignment horizontal="center"/>
    </xf>
    <xf numFmtId="3" fontId="0" fillId="0" borderId="71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26" xfId="0" applyNumberFormat="1" applyFont="1" applyFill="1" applyBorder="1" applyAlignment="1">
      <alignment/>
    </xf>
    <xf numFmtId="3" fontId="0" fillId="0" borderId="156" xfId="0" applyNumberFormat="1" applyFont="1" applyFill="1" applyBorder="1" applyAlignment="1">
      <alignment/>
    </xf>
    <xf numFmtId="3" fontId="0" fillId="0" borderId="156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82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/>
    </xf>
    <xf numFmtId="3" fontId="0" fillId="0" borderId="128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28" xfId="0" applyNumberFormat="1" applyFont="1" applyFill="1" applyBorder="1" applyAlignment="1">
      <alignment/>
    </xf>
    <xf numFmtId="3" fontId="7" fillId="0" borderId="87" xfId="0" applyNumberFormat="1" applyFont="1" applyFill="1" applyBorder="1" applyAlignment="1">
      <alignment/>
    </xf>
    <xf numFmtId="3" fontId="7" fillId="0" borderId="8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133" xfId="0" applyNumberFormat="1" applyFont="1" applyFill="1" applyBorder="1" applyAlignment="1">
      <alignment/>
    </xf>
    <xf numFmtId="3" fontId="0" fillId="0" borderId="134" xfId="0" applyNumberFormat="1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0" fillId="0" borderId="157" xfId="0" applyNumberFormat="1" applyFont="1" applyFill="1" applyBorder="1" applyAlignment="1">
      <alignment/>
    </xf>
    <xf numFmtId="3" fontId="24" fillId="0" borderId="158" xfId="64" applyNumberFormat="1" applyFont="1" applyFill="1" applyBorder="1" applyAlignment="1">
      <alignment/>
      <protection/>
    </xf>
    <xf numFmtId="3" fontId="3" fillId="0" borderId="139" xfId="0" applyNumberFormat="1" applyFont="1" applyFill="1" applyBorder="1" applyAlignment="1">
      <alignment/>
    </xf>
    <xf numFmtId="3" fontId="3" fillId="0" borderId="158" xfId="0" applyNumberFormat="1" applyFont="1" applyFill="1" applyBorder="1" applyAlignment="1">
      <alignment/>
    </xf>
    <xf numFmtId="3" fontId="3" fillId="0" borderId="14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19" fillId="0" borderId="0" xfId="0" applyFont="1" applyFill="1" applyAlignment="1" applyProtection="1">
      <alignment horizontal="right" vertical="top"/>
      <protection/>
    </xf>
    <xf numFmtId="3" fontId="3" fillId="0" borderId="20" xfId="0" applyNumberFormat="1" applyFont="1" applyFill="1" applyBorder="1" applyAlignment="1">
      <alignment horizontal="centerContinuous"/>
    </xf>
    <xf numFmtId="3" fontId="0" fillId="0" borderId="28" xfId="0" applyNumberFormat="1" applyFont="1" applyFill="1" applyBorder="1" applyAlignment="1">
      <alignment horizontal="centerContinuous"/>
    </xf>
    <xf numFmtId="3" fontId="0" fillId="0" borderId="155" xfId="0" applyNumberFormat="1" applyFont="1" applyFill="1" applyBorder="1" applyAlignment="1">
      <alignment horizontal="centerContinuous"/>
    </xf>
    <xf numFmtId="3" fontId="3" fillId="0" borderId="11" xfId="0" applyNumberFormat="1" applyFont="1" applyFill="1" applyBorder="1" applyAlignment="1">
      <alignment horizontal="center"/>
    </xf>
    <xf numFmtId="3" fontId="3" fillId="0" borderId="109" xfId="0" applyNumberFormat="1" applyFont="1" applyFill="1" applyBorder="1" applyAlignment="1">
      <alignment horizontal="centerContinuous"/>
    </xf>
    <xf numFmtId="3" fontId="3" fillId="0" borderId="112" xfId="0" applyNumberFormat="1" applyFont="1" applyFill="1" applyBorder="1" applyAlignment="1">
      <alignment horizontal="center"/>
    </xf>
    <xf numFmtId="3" fontId="3" fillId="0" borderId="108" xfId="0" applyNumberFormat="1" applyFont="1" applyFill="1" applyBorder="1" applyAlignment="1">
      <alignment horizontal="center"/>
    </xf>
    <xf numFmtId="3" fontId="3" fillId="0" borderId="145" xfId="0" applyNumberFormat="1" applyFont="1" applyFill="1" applyBorder="1" applyAlignment="1">
      <alignment horizontal="center"/>
    </xf>
    <xf numFmtId="3" fontId="3" fillId="0" borderId="112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/>
    </xf>
    <xf numFmtId="3" fontId="3" fillId="0" borderId="113" xfId="0" applyNumberFormat="1" applyFont="1" applyFill="1" applyBorder="1" applyAlignment="1">
      <alignment horizontal="center"/>
    </xf>
    <xf numFmtId="3" fontId="3" fillId="0" borderId="129" xfId="0" applyNumberFormat="1" applyFont="1" applyFill="1" applyBorder="1" applyAlignment="1">
      <alignment horizontal="centerContinuous"/>
    </xf>
    <xf numFmtId="3" fontId="0" fillId="0" borderId="83" xfId="0" applyNumberFormat="1" applyFont="1" applyFill="1" applyBorder="1" applyAlignment="1">
      <alignment horizontal="centerContinuous"/>
    </xf>
    <xf numFmtId="3" fontId="0" fillId="0" borderId="130" xfId="0" applyNumberFormat="1" applyFont="1" applyFill="1" applyBorder="1" applyAlignment="1">
      <alignment horizontal="centerContinuous"/>
    </xf>
    <xf numFmtId="3" fontId="0" fillId="0" borderId="38" xfId="0" applyNumberFormat="1" applyFont="1" applyFill="1" applyBorder="1" applyAlignment="1">
      <alignment horizontal="center"/>
    </xf>
    <xf numFmtId="3" fontId="3" fillId="0" borderId="117" xfId="0" applyNumberFormat="1" applyFont="1" applyFill="1" applyBorder="1" applyAlignment="1">
      <alignment horizontal="center"/>
    </xf>
    <xf numFmtId="3" fontId="3" fillId="0" borderId="11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 horizontal="center"/>
    </xf>
    <xf numFmtId="3" fontId="0" fillId="0" borderId="11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3" fillId="0" borderId="121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3" fontId="0" fillId="0" borderId="10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45" xfId="0" applyNumberFormat="1" applyFont="1" applyFill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0" xfId="0" applyNumberFormat="1" applyFont="1" applyFill="1" applyBorder="1" applyAlignment="1">
      <alignment/>
    </xf>
    <xf numFmtId="3" fontId="0" fillId="0" borderId="132" xfId="0" applyNumberFormat="1" applyFont="1" applyFill="1" applyBorder="1" applyAlignment="1">
      <alignment/>
    </xf>
    <xf numFmtId="3" fontId="7" fillId="0" borderId="130" xfId="0" applyNumberFormat="1" applyFont="1" applyFill="1" applyBorder="1" applyAlignment="1">
      <alignment/>
    </xf>
    <xf numFmtId="3" fontId="7" fillId="0" borderId="132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/>
    </xf>
    <xf numFmtId="3" fontId="0" fillId="0" borderId="159" xfId="0" applyNumberFormat="1" applyFont="1" applyFill="1" applyBorder="1" applyAlignment="1">
      <alignment/>
    </xf>
    <xf numFmtId="3" fontId="0" fillId="0" borderId="157" xfId="0" applyNumberFormat="1" applyFont="1" applyFill="1" applyBorder="1" applyAlignment="1">
      <alignment/>
    </xf>
    <xf numFmtId="3" fontId="3" fillId="0" borderId="138" xfId="0" applyNumberFormat="1" applyFont="1" applyFill="1" applyBorder="1" applyAlignment="1">
      <alignment/>
    </xf>
    <xf numFmtId="3" fontId="3" fillId="0" borderId="143" xfId="0" applyNumberFormat="1" applyFont="1" applyFill="1" applyBorder="1" applyAlignment="1">
      <alignment/>
    </xf>
    <xf numFmtId="3" fontId="3" fillId="0" borderId="144" xfId="0" applyNumberFormat="1" applyFont="1" applyFill="1" applyBorder="1" applyAlignment="1">
      <alignment/>
    </xf>
    <xf numFmtId="3" fontId="3" fillId="0" borderId="158" xfId="0" applyNumberFormat="1" applyFont="1" applyFill="1" applyBorder="1" applyAlignment="1">
      <alignment/>
    </xf>
    <xf numFmtId="3" fontId="3" fillId="0" borderId="143" xfId="0" applyNumberFormat="1" applyFont="1" applyFill="1" applyBorder="1" applyAlignment="1">
      <alignment/>
    </xf>
    <xf numFmtId="3" fontId="3" fillId="0" borderId="160" xfId="0" applyNumberFormat="1" applyFont="1" applyFill="1" applyBorder="1" applyAlignment="1">
      <alignment/>
    </xf>
    <xf numFmtId="166" fontId="22" fillId="0" borderId="0" xfId="70" applyNumberFormat="1" applyFont="1" applyFill="1" applyBorder="1" applyAlignment="1" applyProtection="1">
      <alignment horizontal="center" vertical="center"/>
      <protection/>
    </xf>
    <xf numFmtId="166" fontId="14" fillId="0" borderId="29" xfId="70" applyNumberFormat="1" applyFont="1" applyFill="1" applyBorder="1" applyAlignment="1" applyProtection="1">
      <alignment horizontal="center" vertical="center"/>
      <protection/>
    </xf>
    <xf numFmtId="166" fontId="14" fillId="0" borderId="30" xfId="70" applyNumberFormat="1" applyFont="1" applyFill="1" applyBorder="1" applyAlignment="1" applyProtection="1">
      <alignment horizontal="center" vertical="center"/>
      <protection/>
    </xf>
    <xf numFmtId="166" fontId="14" fillId="0" borderId="31" xfId="70" applyNumberFormat="1" applyFont="1" applyFill="1" applyBorder="1" applyAlignment="1" applyProtection="1">
      <alignment horizontal="center" vertical="center"/>
      <protection/>
    </xf>
    <xf numFmtId="0" fontId="14" fillId="0" borderId="22" xfId="70" applyFont="1" applyFill="1" applyBorder="1" applyAlignment="1" applyProtection="1">
      <alignment horizontal="center" vertical="center" wrapText="1"/>
      <protection/>
    </xf>
    <xf numFmtId="0" fontId="14" fillId="0" borderId="42" xfId="70" applyFont="1" applyFill="1" applyBorder="1" applyAlignment="1" applyProtection="1">
      <alignment horizontal="center" vertical="center" wrapText="1"/>
      <protection/>
    </xf>
    <xf numFmtId="0" fontId="22" fillId="0" borderId="0" xfId="70" applyFont="1" applyFill="1" applyAlignment="1" applyProtection="1">
      <alignment horizontal="center"/>
      <protection/>
    </xf>
    <xf numFmtId="0" fontId="14" fillId="0" borderId="34" xfId="70" applyFont="1" applyFill="1" applyBorder="1" applyAlignment="1" applyProtection="1">
      <alignment horizontal="center" vertical="center" wrapText="1"/>
      <protection/>
    </xf>
    <xf numFmtId="0" fontId="14" fillId="0" borderId="41" xfId="70" applyFont="1" applyFill="1" applyBorder="1" applyAlignment="1" applyProtection="1">
      <alignment horizontal="center" vertical="center" wrapText="1"/>
      <protection/>
    </xf>
    <xf numFmtId="166" fontId="59" fillId="0" borderId="0" xfId="0" applyNumberFormat="1" applyFont="1" applyFill="1" applyAlignment="1" applyProtection="1">
      <alignment horizontal="center" textRotation="180" wrapText="1"/>
      <protection/>
    </xf>
    <xf numFmtId="166" fontId="14" fillId="0" borderId="103" xfId="0" applyNumberFormat="1" applyFont="1" applyFill="1" applyBorder="1" applyAlignment="1" applyProtection="1">
      <alignment horizontal="center" vertical="center" wrapText="1"/>
      <protection/>
    </xf>
    <xf numFmtId="166" fontId="14" fillId="0" borderId="107" xfId="0" applyNumberFormat="1" applyFont="1" applyFill="1" applyBorder="1" applyAlignment="1" applyProtection="1">
      <alignment horizontal="center" vertical="center" wrapText="1"/>
      <protection/>
    </xf>
    <xf numFmtId="166" fontId="59" fillId="0" borderId="0" xfId="0" applyNumberFormat="1" applyFont="1" applyFill="1" applyAlignment="1" applyProtection="1">
      <alignment horizontal="center" textRotation="180" wrapText="1"/>
      <protection locked="0"/>
    </xf>
    <xf numFmtId="166" fontId="14" fillId="0" borderId="35" xfId="0" applyNumberFormat="1" applyFont="1" applyFill="1" applyBorder="1" applyAlignment="1" applyProtection="1">
      <alignment horizontal="center" vertical="center" wrapText="1"/>
      <protection/>
    </xf>
    <xf numFmtId="166" fontId="14" fillId="0" borderId="106" xfId="0" applyNumberFormat="1" applyFont="1" applyFill="1" applyBorder="1" applyAlignment="1" applyProtection="1">
      <alignment horizontal="center" vertical="center" wrapText="1"/>
      <protection/>
    </xf>
    <xf numFmtId="3" fontId="2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47" fillId="0" borderId="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/>
    </xf>
    <xf numFmtId="0" fontId="27" fillId="0" borderId="68" xfId="0" applyFont="1" applyBorder="1" applyAlignment="1">
      <alignment horizontal="left" vertical="top"/>
    </xf>
    <xf numFmtId="0" fontId="27" fillId="0" borderId="46" xfId="0" applyFont="1" applyBorder="1" applyAlignment="1">
      <alignment horizontal="left" vertical="top"/>
    </xf>
    <xf numFmtId="49" fontId="48" fillId="0" borderId="19" xfId="0" applyNumberFormat="1" applyFont="1" applyBorder="1" applyAlignment="1">
      <alignment horizontal="left" vertical="top" wrapText="1"/>
    </xf>
    <xf numFmtId="49" fontId="48" fillId="0" borderId="46" xfId="0" applyNumberFormat="1" applyFont="1" applyBorder="1" applyAlignment="1">
      <alignment horizontal="left" vertical="top" wrapText="1"/>
    </xf>
    <xf numFmtId="49" fontId="48" fillId="0" borderId="38" xfId="0" applyNumberFormat="1" applyFont="1" applyBorder="1" applyAlignment="1">
      <alignment horizontal="left" wrapText="1"/>
    </xf>
    <xf numFmtId="49" fontId="48" fillId="0" borderId="65" xfId="0" applyNumberFormat="1" applyFont="1" applyBorder="1" applyAlignment="1">
      <alignment horizontal="left" wrapText="1"/>
    </xf>
    <xf numFmtId="49" fontId="83" fillId="0" borderId="0" xfId="0" applyNumberFormat="1" applyFont="1" applyAlignment="1">
      <alignment horizontal="center" vertical="top" wrapText="1"/>
    </xf>
    <xf numFmtId="49" fontId="48" fillId="0" borderId="0" xfId="0" applyNumberFormat="1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24" fillId="0" borderId="68" xfId="0" applyFont="1" applyBorder="1" applyAlignment="1">
      <alignment horizontal="left" vertical="top"/>
    </xf>
    <xf numFmtId="0" fontId="24" fillId="0" borderId="46" xfId="0" applyFont="1" applyBorder="1" applyAlignment="1">
      <alignment horizontal="left" vertical="top"/>
    </xf>
    <xf numFmtId="0" fontId="24" fillId="0" borderId="20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48" fillId="0" borderId="20" xfId="0" applyFont="1" applyBorder="1" applyAlignment="1">
      <alignment horizontal="left" vertical="top"/>
    </xf>
    <xf numFmtId="0" fontId="48" fillId="0" borderId="28" xfId="0" applyFont="1" applyBorder="1" applyAlignment="1">
      <alignment horizontal="left" vertical="top"/>
    </xf>
    <xf numFmtId="0" fontId="48" fillId="0" borderId="38" xfId="0" applyFont="1" applyBorder="1" applyAlignment="1">
      <alignment horizontal="left" vertical="top" wrapText="1"/>
    </xf>
    <xf numFmtId="0" fontId="48" fillId="0" borderId="65" xfId="0" applyFont="1" applyBorder="1" applyAlignment="1">
      <alignment horizontal="left" vertical="top" wrapText="1"/>
    </xf>
    <xf numFmtId="0" fontId="47" fillId="0" borderId="38" xfId="0" applyFont="1" applyBorder="1" applyAlignment="1">
      <alignment horizontal="left" vertical="top" wrapText="1"/>
    </xf>
    <xf numFmtId="0" fontId="47" fillId="0" borderId="65" xfId="0" applyFont="1" applyBorder="1" applyAlignment="1">
      <alignment horizontal="left" vertical="top" wrapText="1"/>
    </xf>
    <xf numFmtId="0" fontId="80" fillId="0" borderId="38" xfId="0" applyFont="1" applyBorder="1" applyAlignment="1">
      <alignment horizontal="left" vertical="top" wrapText="1"/>
    </xf>
    <xf numFmtId="0" fontId="80" fillId="0" borderId="65" xfId="0" applyFont="1" applyBorder="1" applyAlignment="1">
      <alignment horizontal="left" vertical="top" wrapText="1"/>
    </xf>
    <xf numFmtId="181" fontId="47" fillId="0" borderId="38" xfId="78" applyNumberFormat="1" applyFont="1" applyBorder="1" applyAlignment="1">
      <alignment horizontal="left" vertical="top" wrapText="1"/>
    </xf>
    <xf numFmtId="181" fontId="47" fillId="0" borderId="65" xfId="78" applyNumberFormat="1" applyFont="1" applyBorder="1" applyAlignment="1">
      <alignment horizontal="left" vertical="top" wrapText="1"/>
    </xf>
    <xf numFmtId="0" fontId="47" fillId="0" borderId="38" xfId="0" applyFont="1" applyBorder="1" applyAlignment="1">
      <alignment horizontal="left" vertical="top"/>
    </xf>
    <xf numFmtId="0" fontId="47" fillId="0" borderId="65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0" fontId="48" fillId="0" borderId="38" xfId="0" applyFont="1" applyBorder="1" applyAlignment="1">
      <alignment horizontal="left"/>
    </xf>
    <xf numFmtId="0" fontId="48" fillId="0" borderId="65" xfId="0" applyFont="1" applyBorder="1" applyAlignment="1">
      <alignment horizontal="left"/>
    </xf>
    <xf numFmtId="0" fontId="48" fillId="0" borderId="70" xfId="0" applyFont="1" applyBorder="1" applyAlignment="1">
      <alignment horizontal="left" vertical="top" wrapText="1"/>
    </xf>
    <xf numFmtId="0" fontId="48" fillId="0" borderId="44" xfId="0" applyFont="1" applyBorder="1" applyAlignment="1">
      <alignment horizontal="left" vertical="top" wrapText="1"/>
    </xf>
    <xf numFmtId="0" fontId="24" fillId="0" borderId="70" xfId="0" applyFont="1" applyBorder="1" applyAlignment="1">
      <alignment horizontal="left" vertical="top" wrapText="1"/>
    </xf>
    <xf numFmtId="0" fontId="24" fillId="0" borderId="44" xfId="0" applyFont="1" applyBorder="1" applyAlignment="1">
      <alignment horizontal="left" vertical="top" wrapText="1"/>
    </xf>
    <xf numFmtId="0" fontId="80" fillId="0" borderId="38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/>
    </xf>
    <xf numFmtId="0" fontId="47" fillId="0" borderId="28" xfId="0" applyFont="1" applyBorder="1" applyAlignment="1">
      <alignment horizontal="left" vertical="top"/>
    </xf>
    <xf numFmtId="49" fontId="47" fillId="0" borderId="38" xfId="0" applyNumberFormat="1" applyFont="1" applyBorder="1" applyAlignment="1">
      <alignment horizontal="left" vertical="top" wrapText="1"/>
    </xf>
    <xf numFmtId="49" fontId="47" fillId="0" borderId="65" xfId="0" applyNumberFormat="1" applyFont="1" applyBorder="1" applyAlignment="1">
      <alignment horizontal="left" vertical="top" wrapText="1"/>
    </xf>
    <xf numFmtId="0" fontId="47" fillId="0" borderId="0" xfId="0" applyFont="1" applyAlignment="1">
      <alignment horizontal="left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4" fillId="0" borderId="19" xfId="0" applyFont="1" applyBorder="1" applyAlignment="1">
      <alignment horizontal="left" wrapText="1"/>
    </xf>
    <xf numFmtId="0" fontId="24" fillId="0" borderId="68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28" xfId="0" applyFont="1" applyBorder="1" applyAlignment="1">
      <alignment horizontal="left" wrapText="1"/>
    </xf>
    <xf numFmtId="0" fontId="47" fillId="0" borderId="20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70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24" fillId="0" borderId="46" xfId="0" applyFont="1" applyBorder="1" applyAlignment="1">
      <alignment horizontal="left" wrapText="1"/>
    </xf>
    <xf numFmtId="181" fontId="47" fillId="0" borderId="70" xfId="78" applyNumberFormat="1" applyFont="1" applyBorder="1" applyAlignment="1">
      <alignment horizontal="left" vertical="top" wrapText="1"/>
    </xf>
    <xf numFmtId="181" fontId="47" fillId="0" borderId="71" xfId="78" applyNumberFormat="1" applyFont="1" applyBorder="1" applyAlignment="1">
      <alignment horizontal="left" vertical="top" wrapText="1"/>
    </xf>
    <xf numFmtId="0" fontId="24" fillId="0" borderId="19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161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16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161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51" xfId="0" applyFont="1" applyFill="1" applyBorder="1" applyAlignment="1">
      <alignment horizontal="left" vertical="center" indent="2"/>
    </xf>
    <xf numFmtId="0" fontId="6" fillId="0" borderId="26" xfId="0" applyFont="1" applyFill="1" applyBorder="1" applyAlignment="1">
      <alignment horizontal="left" vertical="center" indent="2"/>
    </xf>
    <xf numFmtId="49" fontId="81" fillId="30" borderId="163" xfId="66" applyNumberFormat="1" applyFont="1" applyFill="1" applyBorder="1" applyAlignment="1">
      <alignment horizontal="center" vertical="top"/>
      <protection/>
    </xf>
    <xf numFmtId="49" fontId="81" fillId="27" borderId="79" xfId="0" applyNumberFormat="1" applyFont="1" applyFill="1" applyBorder="1" applyAlignment="1">
      <alignment horizontal="center" vertical="top"/>
    </xf>
    <xf numFmtId="3" fontId="81" fillId="28" borderId="79" xfId="0" applyNumberFormat="1" applyFont="1" applyFill="1" applyBorder="1" applyAlignment="1">
      <alignment horizontal="center"/>
    </xf>
    <xf numFmtId="0" fontId="82" fillId="31" borderId="72" xfId="0" applyFont="1" applyFill="1" applyBorder="1" applyAlignment="1">
      <alignment horizontal="center"/>
    </xf>
    <xf numFmtId="3" fontId="81" fillId="28" borderId="76" xfId="0" applyNumberFormat="1" applyFont="1" applyFill="1" applyBorder="1" applyAlignment="1">
      <alignment horizontal="center"/>
    </xf>
    <xf numFmtId="0" fontId="82" fillId="31" borderId="79" xfId="0" applyFont="1" applyFill="1" applyBorder="1" applyAlignment="1">
      <alignment horizontal="center"/>
    </xf>
    <xf numFmtId="49" fontId="81" fillId="30" borderId="164" xfId="66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>
      <alignment horizontal="center" vertical="center" wrapText="1"/>
    </xf>
    <xf numFmtId="166" fontId="4" fillId="0" borderId="153" xfId="0" applyNumberFormat="1" applyFont="1" applyFill="1" applyBorder="1" applyAlignment="1" applyProtection="1">
      <alignment horizontal="right" wrapText="1"/>
      <protection/>
    </xf>
    <xf numFmtId="166" fontId="7" fillId="0" borderId="0" xfId="0" applyNumberFormat="1" applyFont="1" applyFill="1" applyAlignment="1">
      <alignment horizontal="center" textRotation="180" wrapText="1"/>
    </xf>
    <xf numFmtId="0" fontId="20" fillId="0" borderId="0" xfId="0" applyFont="1" applyFill="1" applyBorder="1" applyAlignment="1">
      <alignment horizontal="center"/>
    </xf>
    <xf numFmtId="165" fontId="20" fillId="0" borderId="0" xfId="46" applyFont="1" applyFill="1" applyBorder="1" applyAlignment="1">
      <alignment horizontal="center"/>
    </xf>
    <xf numFmtId="0" fontId="69" fillId="0" borderId="0" xfId="0" applyFont="1" applyFill="1" applyAlignment="1">
      <alignment horizontal="center" wrapText="1"/>
    </xf>
    <xf numFmtId="0" fontId="69" fillId="0" borderId="0" xfId="0" applyFont="1" applyAlignment="1">
      <alignment horizontal="center" wrapText="1"/>
    </xf>
    <xf numFmtId="3" fontId="3" fillId="0" borderId="165" xfId="0" applyNumberFormat="1" applyFont="1" applyFill="1" applyBorder="1" applyAlignment="1">
      <alignment horizontal="center"/>
    </xf>
    <xf numFmtId="3" fontId="3" fillId="0" borderId="166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 wrapText="1"/>
    </xf>
    <xf numFmtId="3" fontId="69" fillId="0" borderId="0" xfId="69" applyNumberFormat="1" applyFont="1" applyFill="1" applyAlignment="1">
      <alignment horizontal="center" wrapText="1"/>
      <protection/>
    </xf>
    <xf numFmtId="3" fontId="81" fillId="27" borderId="79" xfId="69" applyNumberFormat="1" applyFont="1" applyFill="1" applyBorder="1" applyAlignment="1">
      <alignment horizontal="center" vertical="center"/>
      <protection/>
    </xf>
    <xf numFmtId="3" fontId="81" fillId="27" borderId="74" xfId="69" applyNumberFormat="1" applyFont="1" applyFill="1" applyBorder="1" applyAlignment="1">
      <alignment horizontal="center" vertical="center"/>
      <protection/>
    </xf>
    <xf numFmtId="3" fontId="81" fillId="27" borderId="76" xfId="69" applyNumberFormat="1" applyFont="1" applyFill="1" applyBorder="1" applyAlignment="1">
      <alignment horizontal="center" vertical="center"/>
      <protection/>
    </xf>
    <xf numFmtId="3" fontId="81" fillId="27" borderId="79" xfId="69" applyNumberFormat="1" applyFont="1" applyFill="1" applyBorder="1" applyAlignment="1">
      <alignment horizontal="center" vertical="top"/>
      <protection/>
    </xf>
    <xf numFmtId="3" fontId="83" fillId="27" borderId="72" xfId="69" applyNumberFormat="1" applyFont="1" applyFill="1" applyBorder="1" applyAlignment="1">
      <alignment horizontal="center" vertical="center" wrapText="1"/>
      <protection/>
    </xf>
    <xf numFmtId="0" fontId="91" fillId="27" borderId="73" xfId="0" applyFont="1" applyFill="1" applyBorder="1" applyAlignment="1">
      <alignment horizontal="center" vertical="center"/>
    </xf>
    <xf numFmtId="0" fontId="91" fillId="27" borderId="77" xfId="0" applyFont="1" applyFill="1" applyBorder="1" applyAlignment="1">
      <alignment horizontal="center" vertical="center"/>
    </xf>
    <xf numFmtId="3" fontId="81" fillId="27" borderId="167" xfId="69" applyNumberFormat="1" applyFont="1" applyFill="1" applyBorder="1" applyAlignment="1">
      <alignment horizontal="center"/>
      <protection/>
    </xf>
    <xf numFmtId="0" fontId="86" fillId="27" borderId="81" xfId="0" applyFont="1" applyFill="1" applyBorder="1" applyAlignment="1">
      <alignment horizontal="center"/>
    </xf>
    <xf numFmtId="0" fontId="86" fillId="27" borderId="168" xfId="0" applyFont="1" applyFill="1" applyBorder="1" applyAlignment="1">
      <alignment horizontal="center"/>
    </xf>
    <xf numFmtId="3" fontId="81" fillId="27" borderId="167" xfId="69" applyNumberFormat="1" applyFont="1" applyFill="1" applyBorder="1" applyAlignment="1">
      <alignment horizontal="center" vertical="center" wrapText="1"/>
      <protection/>
    </xf>
    <xf numFmtId="0" fontId="86" fillId="27" borderId="81" xfId="0" applyFont="1" applyFill="1" applyBorder="1" applyAlignment="1">
      <alignment horizontal="center" wrapText="1"/>
    </xf>
    <xf numFmtId="0" fontId="86" fillId="27" borderId="168" xfId="0" applyFont="1" applyFill="1" applyBorder="1" applyAlignment="1">
      <alignment horizontal="center" wrapText="1"/>
    </xf>
    <xf numFmtId="0" fontId="86" fillId="27" borderId="78" xfId="0" applyFont="1" applyFill="1" applyBorder="1" applyAlignment="1">
      <alignment horizontal="center" wrapText="1"/>
    </xf>
    <xf numFmtId="0" fontId="86" fillId="27" borderId="0" xfId="0" applyFont="1" applyFill="1" applyAlignment="1">
      <alignment horizontal="center" wrapText="1"/>
    </xf>
    <xf numFmtId="0" fontId="86" fillId="27" borderId="169" xfId="0" applyFont="1" applyFill="1" applyBorder="1" applyAlignment="1">
      <alignment horizontal="center" wrapText="1"/>
    </xf>
    <xf numFmtId="0" fontId="86" fillId="27" borderId="164" xfId="0" applyFont="1" applyFill="1" applyBorder="1" applyAlignment="1">
      <alignment horizontal="center" wrapText="1"/>
    </xf>
    <xf numFmtId="0" fontId="86" fillId="27" borderId="163" xfId="0" applyFont="1" applyFill="1" applyBorder="1" applyAlignment="1">
      <alignment horizontal="center" wrapText="1"/>
    </xf>
    <xf numFmtId="0" fontId="86" fillId="27" borderId="89" xfId="0" applyFont="1" applyFill="1" applyBorder="1" applyAlignment="1">
      <alignment horizontal="center" wrapText="1"/>
    </xf>
    <xf numFmtId="3" fontId="81" fillId="27" borderId="79" xfId="69" applyNumberFormat="1" applyFont="1" applyFill="1" applyBorder="1" applyAlignment="1">
      <alignment horizontal="center"/>
      <protection/>
    </xf>
    <xf numFmtId="0" fontId="86" fillId="27" borderId="75" xfId="0" applyFont="1" applyFill="1" applyBorder="1" applyAlignment="1">
      <alignment horizontal="center" vertical="center"/>
    </xf>
    <xf numFmtId="0" fontId="86" fillId="27" borderId="76" xfId="0" applyFont="1" applyFill="1" applyBorder="1" applyAlignment="1">
      <alignment horizontal="center" vertical="center"/>
    </xf>
    <xf numFmtId="3" fontId="81" fillId="27" borderId="167" xfId="69" applyNumberFormat="1" applyFont="1" applyFill="1" applyBorder="1" applyAlignment="1">
      <alignment horizontal="center" vertical="center"/>
      <protection/>
    </xf>
    <xf numFmtId="0" fontId="86" fillId="27" borderId="81" xfId="0" applyFont="1" applyFill="1" applyBorder="1" applyAlignment="1">
      <alignment horizontal="center" vertical="center"/>
    </xf>
    <xf numFmtId="0" fontId="86" fillId="27" borderId="168" xfId="0" applyFont="1" applyFill="1" applyBorder="1" applyAlignment="1">
      <alignment horizontal="center" vertical="center"/>
    </xf>
    <xf numFmtId="0" fontId="92" fillId="27" borderId="169" xfId="0" applyFont="1" applyFill="1" applyBorder="1" applyAlignment="1">
      <alignment horizontal="center" vertical="center" wrapText="1"/>
    </xf>
    <xf numFmtId="0" fontId="92" fillId="27" borderId="89" xfId="0" applyFont="1" applyFill="1" applyBorder="1" applyAlignment="1">
      <alignment horizontal="center" vertical="center" wrapText="1"/>
    </xf>
    <xf numFmtId="3" fontId="81" fillId="27" borderId="164" xfId="69" applyNumberFormat="1" applyFont="1" applyFill="1" applyBorder="1" applyAlignment="1">
      <alignment horizontal="center" vertical="center" wrapText="1"/>
      <protection/>
    </xf>
    <xf numFmtId="3" fontId="81" fillId="27" borderId="163" xfId="69" applyNumberFormat="1" applyFont="1" applyFill="1" applyBorder="1" applyAlignment="1">
      <alignment horizontal="center" vertical="center" wrapText="1"/>
      <protection/>
    </xf>
    <xf numFmtId="3" fontId="81" fillId="27" borderId="89" xfId="6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66" fontId="6" fillId="0" borderId="103" xfId="0" applyNumberFormat="1" applyFont="1" applyFill="1" applyBorder="1" applyAlignment="1" applyProtection="1">
      <alignment horizontal="center" vertical="center" wrapText="1"/>
      <protection/>
    </xf>
    <xf numFmtId="166" fontId="6" fillId="0" borderId="107" xfId="0" applyNumberFormat="1" applyFont="1" applyFill="1" applyBorder="1" applyAlignment="1" applyProtection="1">
      <alignment horizontal="center" vertical="center" wrapText="1"/>
      <protection/>
    </xf>
    <xf numFmtId="166" fontId="6" fillId="0" borderId="47" xfId="0" applyNumberFormat="1" applyFont="1" applyFill="1" applyBorder="1" applyAlignment="1" applyProtection="1">
      <alignment horizontal="center" vertical="center" wrapText="1"/>
      <protection/>
    </xf>
    <xf numFmtId="166" fontId="6" fillId="0" borderId="55" xfId="0" applyNumberFormat="1" applyFont="1" applyFill="1" applyBorder="1" applyAlignment="1" applyProtection="1">
      <alignment horizontal="center" vertical="center" wrapText="1"/>
      <protection/>
    </xf>
    <xf numFmtId="166" fontId="6" fillId="0" borderId="48" xfId="0" applyNumberFormat="1" applyFont="1" applyFill="1" applyBorder="1" applyAlignment="1" applyProtection="1">
      <alignment horizontal="center" vertical="center" wrapText="1"/>
      <protection/>
    </xf>
    <xf numFmtId="166" fontId="6" fillId="0" borderId="54" xfId="0" applyNumberFormat="1" applyFont="1" applyFill="1" applyBorder="1" applyAlignment="1" applyProtection="1">
      <alignment horizontal="center" vertical="center"/>
      <protection/>
    </xf>
    <xf numFmtId="166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51" xfId="0" applyFont="1" applyFill="1" applyBorder="1" applyAlignment="1" applyProtection="1">
      <alignment horizontal="left" vertical="center"/>
      <protection/>
    </xf>
    <xf numFmtId="0" fontId="12" fillId="0" borderId="26" xfId="0" applyFont="1" applyFill="1" applyBorder="1" applyAlignment="1" applyProtection="1">
      <alignment horizontal="left" vertical="center"/>
      <protection/>
    </xf>
    <xf numFmtId="0" fontId="6" fillId="0" borderId="104" xfId="0" applyFont="1" applyFill="1" applyBorder="1" applyAlignment="1" applyProtection="1">
      <alignment horizontal="left" vertical="center" wrapText="1"/>
      <protection/>
    </xf>
    <xf numFmtId="0" fontId="6" fillId="0" borderId="170" xfId="0" applyFont="1" applyFill="1" applyBorder="1" applyAlignment="1" applyProtection="1">
      <alignment horizontal="left" vertical="center" wrapText="1"/>
      <protection/>
    </xf>
    <xf numFmtId="0" fontId="6" fillId="0" borderId="15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textRotation="180" wrapText="1"/>
    </xf>
    <xf numFmtId="0" fontId="4" fillId="0" borderId="153" xfId="0" applyFont="1" applyFill="1" applyBorder="1" applyAlignment="1">
      <alignment horizontal="right"/>
    </xf>
    <xf numFmtId="0" fontId="6" fillId="0" borderId="104" xfId="0" applyFont="1" applyFill="1" applyBorder="1" applyAlignment="1">
      <alignment horizontal="center" vertical="center" wrapText="1"/>
    </xf>
    <xf numFmtId="0" fontId="6" fillId="0" borderId="17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170" xfId="0" applyFont="1" applyFill="1" applyBorder="1" applyAlignment="1">
      <alignment horizontal="center" vertical="center" wrapText="1"/>
    </xf>
    <xf numFmtId="0" fontId="6" fillId="0" borderId="1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>
      <alignment horizontal="center"/>
    </xf>
    <xf numFmtId="0" fontId="6" fillId="0" borderId="162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left" vertical="center" wrapText="1"/>
    </xf>
    <xf numFmtId="0" fontId="6" fillId="0" borderId="170" xfId="0" applyFont="1" applyFill="1" applyBorder="1" applyAlignment="1">
      <alignment horizontal="left" vertical="center" wrapText="1"/>
    </xf>
    <xf numFmtId="0" fontId="6" fillId="0" borderId="154" xfId="0" applyFont="1" applyFill="1" applyBorder="1" applyAlignment="1">
      <alignment horizontal="left" vertical="center" wrapText="1"/>
    </xf>
    <xf numFmtId="0" fontId="60" fillId="0" borderId="103" xfId="0" applyFont="1" applyFill="1" applyBorder="1" applyAlignment="1">
      <alignment horizontal="center" vertical="center" wrapText="1" shrinkToFit="1"/>
    </xf>
    <xf numFmtId="0" fontId="60" fillId="0" borderId="63" xfId="0" applyFont="1" applyFill="1" applyBorder="1" applyAlignment="1">
      <alignment horizontal="center" vertical="center" wrapText="1" shrinkToFit="1"/>
    </xf>
    <xf numFmtId="0" fontId="60" fillId="0" borderId="96" xfId="0" applyFont="1" applyFill="1" applyBorder="1" applyAlignment="1">
      <alignment horizontal="center" vertical="center" wrapText="1" shrinkToFit="1"/>
    </xf>
    <xf numFmtId="0" fontId="60" fillId="0" borderId="103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 wrapText="1"/>
    </xf>
    <xf numFmtId="0" fontId="60" fillId="0" borderId="96" xfId="0" applyFont="1" applyFill="1" applyBorder="1" applyAlignment="1">
      <alignment horizontal="center" vertical="center" wrapText="1"/>
    </xf>
    <xf numFmtId="14" fontId="60" fillId="0" borderId="51" xfId="0" applyNumberFormat="1" applyFont="1" applyFill="1" applyBorder="1" applyAlignment="1">
      <alignment horizontal="center" vertical="center" wrapText="1"/>
    </xf>
    <xf numFmtId="14" fontId="60" fillId="0" borderId="162" xfId="0" applyNumberFormat="1" applyFont="1" applyFill="1" applyBorder="1" applyAlignment="1">
      <alignment horizontal="center" vertical="center" wrapText="1"/>
    </xf>
    <xf numFmtId="14" fontId="60" fillId="0" borderId="24" xfId="0" applyNumberFormat="1" applyFont="1" applyFill="1" applyBorder="1" applyAlignment="1">
      <alignment horizontal="center" vertical="center" wrapText="1"/>
    </xf>
    <xf numFmtId="181" fontId="60" fillId="0" borderId="103" xfId="78" applyNumberFormat="1" applyFont="1" applyFill="1" applyBorder="1" applyAlignment="1">
      <alignment horizontal="center" vertical="center" wrapText="1"/>
    </xf>
    <xf numFmtId="181" fontId="60" fillId="0" borderId="63" xfId="78" applyNumberFormat="1" applyFont="1" applyFill="1" applyBorder="1" applyAlignment="1">
      <alignment horizontal="center" vertical="center" wrapText="1"/>
    </xf>
    <xf numFmtId="181" fontId="60" fillId="0" borderId="96" xfId="78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0" fillId="0" borderId="47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wrapText="1"/>
    </xf>
    <xf numFmtId="0" fontId="13" fillId="0" borderId="17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/>
    </xf>
    <xf numFmtId="0" fontId="29" fillId="0" borderId="0" xfId="0" applyFont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wrapText="1"/>
      <protection/>
    </xf>
    <xf numFmtId="0" fontId="26" fillId="0" borderId="14" xfId="0" applyFont="1" applyBorder="1" applyAlignment="1" applyProtection="1">
      <alignment wrapText="1"/>
      <protection/>
    </xf>
    <xf numFmtId="0" fontId="5" fillId="0" borderId="0" xfId="71" applyFont="1" applyFill="1" applyAlignment="1" applyProtection="1">
      <alignment horizontal="center" wrapText="1"/>
      <protection locked="0"/>
    </xf>
    <xf numFmtId="0" fontId="5" fillId="0" borderId="0" xfId="71" applyFont="1" applyFill="1" applyAlignment="1" applyProtection="1">
      <alignment horizontal="center"/>
      <protection locked="0"/>
    </xf>
    <xf numFmtId="0" fontId="23" fillId="0" borderId="39" xfId="71" applyFont="1" applyFill="1" applyBorder="1" applyAlignment="1" applyProtection="1">
      <alignment horizontal="left" vertical="center" indent="1"/>
      <protection/>
    </xf>
    <xf numFmtId="0" fontId="23" fillId="0" borderId="162" xfId="71" applyFont="1" applyFill="1" applyBorder="1" applyAlignment="1" applyProtection="1">
      <alignment horizontal="left" vertical="center" indent="1"/>
      <protection/>
    </xf>
    <xf numFmtId="0" fontId="23" fillId="0" borderId="24" xfId="71" applyFont="1" applyFill="1" applyBorder="1" applyAlignment="1" applyProtection="1">
      <alignment horizontal="left" vertical="center" indent="1"/>
      <protection/>
    </xf>
  </cellXfs>
  <cellStyles count="65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 2" xfId="64"/>
    <cellStyle name="Normál 2 2" xfId="65"/>
    <cellStyle name="Normál 4" xfId="66"/>
    <cellStyle name="Normál 4 2" xfId="67"/>
    <cellStyle name="Normál 7" xfId="68"/>
    <cellStyle name="Normál_kv-3_2009" xfId="69"/>
    <cellStyle name="Normál_KVRENMUNKA" xfId="70"/>
    <cellStyle name="Normál_SEGEDLETEK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BreakPreview" zoomScaleNormal="130" zoomScaleSheetLayoutView="100" zoomScalePageLayoutView="0" workbookViewId="0" topLeftCell="A1">
      <selection activeCell="M92" sqref="M92"/>
    </sheetView>
  </sheetViews>
  <sheetFormatPr defaultColWidth="9.00390625" defaultRowHeight="12.75"/>
  <cols>
    <col min="1" max="1" width="9.50390625" style="992" customWidth="1"/>
    <col min="2" max="2" width="60.875" style="992" customWidth="1"/>
    <col min="3" max="5" width="15.875" style="1065" customWidth="1"/>
    <col min="6" max="6" width="9.375" style="992" hidden="1" customWidth="1"/>
    <col min="7" max="16384" width="9.375" style="992" customWidth="1"/>
  </cols>
  <sheetData>
    <row r="1" spans="1:5" ht="15.75" customHeight="1">
      <c r="A1" s="1322" t="s">
        <v>3</v>
      </c>
      <c r="B1" s="1322"/>
      <c r="C1" s="1322"/>
      <c r="D1" s="1322"/>
      <c r="E1" s="1322"/>
    </row>
    <row r="2" spans="1:5" ht="15.75" customHeight="1" thickBot="1">
      <c r="A2" s="993" t="s">
        <v>94</v>
      </c>
      <c r="B2" s="993"/>
      <c r="C2" s="994"/>
      <c r="D2" s="994"/>
      <c r="E2" s="994" t="s">
        <v>642</v>
      </c>
    </row>
    <row r="3" spans="1:6" ht="15.75" customHeight="1">
      <c r="A3" s="1329" t="s">
        <v>56</v>
      </c>
      <c r="B3" s="1326" t="s">
        <v>5</v>
      </c>
      <c r="C3" s="1323">
        <v>2018</v>
      </c>
      <c r="D3" s="1324"/>
      <c r="E3" s="1325"/>
      <c r="F3" s="995"/>
    </row>
    <row r="4" spans="1:6" ht="37.5" customHeight="1" thickBot="1">
      <c r="A4" s="1330"/>
      <c r="B4" s="1327"/>
      <c r="C4" s="996" t="s">
        <v>160</v>
      </c>
      <c r="D4" s="996" t="s">
        <v>161</v>
      </c>
      <c r="E4" s="997" t="s">
        <v>162</v>
      </c>
      <c r="F4" s="995"/>
    </row>
    <row r="5" spans="1:6" s="1002" customFormat="1" ht="12" customHeight="1" thickBot="1">
      <c r="A5" s="998" t="s">
        <v>350</v>
      </c>
      <c r="B5" s="999" t="s">
        <v>351</v>
      </c>
      <c r="C5" s="999" t="s">
        <v>352</v>
      </c>
      <c r="D5" s="999" t="s">
        <v>353</v>
      </c>
      <c r="E5" s="1000" t="s">
        <v>354</v>
      </c>
      <c r="F5" s="1001"/>
    </row>
    <row r="6" spans="1:6" s="1007" customFormat="1" ht="12" customHeight="1" thickBot="1">
      <c r="A6" s="1003" t="s">
        <v>6</v>
      </c>
      <c r="B6" s="1004" t="s">
        <v>236</v>
      </c>
      <c r="C6" s="1005">
        <f>SUM(C7:C12)</f>
        <v>140330444</v>
      </c>
      <c r="D6" s="1005">
        <f>SUM(D7:D12)</f>
        <v>145888960</v>
      </c>
      <c r="E6" s="1005">
        <f>SUM(E7:E12)</f>
        <v>145888960</v>
      </c>
      <c r="F6" s="1006" t="s">
        <v>505</v>
      </c>
    </row>
    <row r="7" spans="1:6" s="1007" customFormat="1" ht="12" customHeight="1">
      <c r="A7" s="1008" t="s">
        <v>68</v>
      </c>
      <c r="B7" s="225" t="s">
        <v>237</v>
      </c>
      <c r="C7" s="1009">
        <v>54277418</v>
      </c>
      <c r="D7" s="1010">
        <v>54348056</v>
      </c>
      <c r="E7" s="1010">
        <v>54348056</v>
      </c>
      <c r="F7" s="1006" t="s">
        <v>506</v>
      </c>
    </row>
    <row r="8" spans="1:6" s="1007" customFormat="1" ht="12" customHeight="1">
      <c r="A8" s="1011" t="s">
        <v>69</v>
      </c>
      <c r="B8" s="226" t="s">
        <v>238</v>
      </c>
      <c r="C8" s="1012">
        <v>38461767</v>
      </c>
      <c r="D8" s="1013">
        <v>39749100</v>
      </c>
      <c r="E8" s="1013">
        <v>39749100</v>
      </c>
      <c r="F8" s="1006" t="s">
        <v>507</v>
      </c>
    </row>
    <row r="9" spans="1:6" s="1007" customFormat="1" ht="12" customHeight="1">
      <c r="A9" s="1011" t="s">
        <v>70</v>
      </c>
      <c r="B9" s="226" t="s">
        <v>239</v>
      </c>
      <c r="C9" s="1012">
        <v>44848189</v>
      </c>
      <c r="D9" s="1013">
        <v>43856749</v>
      </c>
      <c r="E9" s="1013">
        <v>43856749</v>
      </c>
      <c r="F9" s="1006" t="s">
        <v>508</v>
      </c>
    </row>
    <row r="10" spans="1:6" s="1007" customFormat="1" ht="12" customHeight="1">
      <c r="A10" s="1011" t="s">
        <v>71</v>
      </c>
      <c r="B10" s="226" t="s">
        <v>240</v>
      </c>
      <c r="C10" s="1012">
        <v>2743070</v>
      </c>
      <c r="D10" s="1013">
        <v>3497723</v>
      </c>
      <c r="E10" s="1013">
        <v>3497723</v>
      </c>
      <c r="F10" s="1006" t="s">
        <v>509</v>
      </c>
    </row>
    <row r="11" spans="1:6" s="1007" customFormat="1" ht="12" customHeight="1">
      <c r="A11" s="1011" t="s">
        <v>91</v>
      </c>
      <c r="B11" s="226" t="s">
        <v>639</v>
      </c>
      <c r="C11" s="1014"/>
      <c r="D11" s="1013">
        <v>3910319</v>
      </c>
      <c r="E11" s="1013">
        <v>3910319</v>
      </c>
      <c r="F11" s="1006" t="s">
        <v>510</v>
      </c>
    </row>
    <row r="12" spans="1:6" s="1007" customFormat="1" ht="12" customHeight="1" thickBot="1">
      <c r="A12" s="1015" t="s">
        <v>72</v>
      </c>
      <c r="B12" s="227" t="s">
        <v>640</v>
      </c>
      <c r="C12" s="1016"/>
      <c r="D12" s="1017">
        <v>527013</v>
      </c>
      <c r="E12" s="1017">
        <v>527013</v>
      </c>
      <c r="F12" s="1006" t="s">
        <v>511</v>
      </c>
    </row>
    <row r="13" spans="1:6" s="1007" customFormat="1" ht="21.75" customHeight="1" thickBot="1">
      <c r="A13" s="1003" t="s">
        <v>7</v>
      </c>
      <c r="B13" s="213" t="s">
        <v>241</v>
      </c>
      <c r="C13" s="1005">
        <f>SUM(C14:C19)</f>
        <v>15613374</v>
      </c>
      <c r="D13" s="1005">
        <f>SUM(D14:D19)</f>
        <v>31509435</v>
      </c>
      <c r="E13" s="1005">
        <f>SUM(E14:E19)</f>
        <v>31509435</v>
      </c>
      <c r="F13" s="1006" t="s">
        <v>512</v>
      </c>
    </row>
    <row r="14" spans="1:6" s="1007" customFormat="1" ht="12" customHeight="1">
      <c r="A14" s="1008" t="s">
        <v>74</v>
      </c>
      <c r="B14" s="225" t="s">
        <v>242</v>
      </c>
      <c r="C14" s="1018">
        <v>0</v>
      </c>
      <c r="D14" s="1018">
        <v>0</v>
      </c>
      <c r="E14" s="1019">
        <v>0</v>
      </c>
      <c r="F14" s="1006" t="s">
        <v>513</v>
      </c>
    </row>
    <row r="15" spans="1:6" s="1007" customFormat="1" ht="12" customHeight="1">
      <c r="A15" s="1011" t="s">
        <v>75</v>
      </c>
      <c r="B15" s="226" t="s">
        <v>243</v>
      </c>
      <c r="C15" s="1012">
        <v>0</v>
      </c>
      <c r="D15" s="1012">
        <v>0</v>
      </c>
      <c r="E15" s="1020">
        <v>0</v>
      </c>
      <c r="F15" s="1006" t="s">
        <v>514</v>
      </c>
    </row>
    <row r="16" spans="1:6" s="1007" customFormat="1" ht="12" customHeight="1">
      <c r="A16" s="1011" t="s">
        <v>76</v>
      </c>
      <c r="B16" s="226" t="s">
        <v>244</v>
      </c>
      <c r="C16" s="1012">
        <v>0</v>
      </c>
      <c r="D16" s="1012">
        <v>0</v>
      </c>
      <c r="E16" s="1020">
        <v>0</v>
      </c>
      <c r="F16" s="1006" t="s">
        <v>515</v>
      </c>
    </row>
    <row r="17" spans="1:6" s="1007" customFormat="1" ht="12" customHeight="1">
      <c r="A17" s="1011" t="s">
        <v>77</v>
      </c>
      <c r="B17" s="226" t="s">
        <v>245</v>
      </c>
      <c r="C17" s="1012">
        <v>0</v>
      </c>
      <c r="D17" s="1012">
        <v>0</v>
      </c>
      <c r="E17" s="1020">
        <v>0</v>
      </c>
      <c r="F17" s="1006" t="s">
        <v>516</v>
      </c>
    </row>
    <row r="18" spans="1:6" s="1007" customFormat="1" ht="12" customHeight="1">
      <c r="A18" s="1011" t="s">
        <v>78</v>
      </c>
      <c r="B18" s="226" t="s">
        <v>246</v>
      </c>
      <c r="C18" s="1012">
        <v>15613374</v>
      </c>
      <c r="D18" s="1012">
        <f>30222593+1166842+120000</f>
        <v>31509435</v>
      </c>
      <c r="E18" s="1020">
        <f>30222593+1166842+120000</f>
        <v>31509435</v>
      </c>
      <c r="F18" s="1006" t="s">
        <v>517</v>
      </c>
    </row>
    <row r="19" spans="1:6" s="1007" customFormat="1" ht="12" customHeight="1" thickBot="1">
      <c r="A19" s="1015" t="s">
        <v>85</v>
      </c>
      <c r="B19" s="227" t="s">
        <v>247</v>
      </c>
      <c r="C19" s="1021">
        <v>0</v>
      </c>
      <c r="D19" s="1021">
        <v>0</v>
      </c>
      <c r="E19" s="1022">
        <v>0</v>
      </c>
      <c r="F19" s="1006" t="s">
        <v>518</v>
      </c>
    </row>
    <row r="20" spans="1:6" s="1007" customFormat="1" ht="21.75" customHeight="1" thickBot="1">
      <c r="A20" s="1003" t="s">
        <v>8</v>
      </c>
      <c r="B20" s="1004" t="s">
        <v>248</v>
      </c>
      <c r="C20" s="1005">
        <f>SUM(C21:C26)</f>
        <v>22412619</v>
      </c>
      <c r="D20" s="1005">
        <f>SUM(D21:D26)</f>
        <v>62871644</v>
      </c>
      <c r="E20" s="1005">
        <f>SUM(E21:E26)</f>
        <v>62871644</v>
      </c>
      <c r="F20" s="1006" t="s">
        <v>519</v>
      </c>
    </row>
    <row r="21" spans="1:6" s="1007" customFormat="1" ht="12" customHeight="1">
      <c r="A21" s="1008" t="s">
        <v>57</v>
      </c>
      <c r="B21" s="225" t="s">
        <v>249</v>
      </c>
      <c r="C21" s="1194">
        <v>12612619</v>
      </c>
      <c r="D21" s="1009">
        <v>27611537</v>
      </c>
      <c r="E21" s="1019">
        <v>27611537</v>
      </c>
      <c r="F21" s="1006" t="s">
        <v>520</v>
      </c>
    </row>
    <row r="22" spans="1:6" s="1007" customFormat="1" ht="12" customHeight="1">
      <c r="A22" s="1011" t="s">
        <v>58</v>
      </c>
      <c r="B22" s="226" t="s">
        <v>250</v>
      </c>
      <c r="C22" s="1195">
        <v>0</v>
      </c>
      <c r="D22" s="1012">
        <v>0</v>
      </c>
      <c r="E22" s="1020">
        <v>0</v>
      </c>
      <c r="F22" s="1006" t="s">
        <v>521</v>
      </c>
    </row>
    <row r="23" spans="1:6" s="1007" customFormat="1" ht="12" customHeight="1">
      <c r="A23" s="1011" t="s">
        <v>59</v>
      </c>
      <c r="B23" s="226" t="s">
        <v>251</v>
      </c>
      <c r="C23" s="1195">
        <v>0</v>
      </c>
      <c r="D23" s="1012">
        <v>0</v>
      </c>
      <c r="E23" s="1020">
        <v>0</v>
      </c>
      <c r="F23" s="1006" t="s">
        <v>522</v>
      </c>
    </row>
    <row r="24" spans="1:6" s="1007" customFormat="1" ht="12" customHeight="1">
      <c r="A24" s="1011" t="s">
        <v>60</v>
      </c>
      <c r="B24" s="226" t="s">
        <v>252</v>
      </c>
      <c r="C24" s="1195">
        <v>0</v>
      </c>
      <c r="D24" s="1012">
        <v>0</v>
      </c>
      <c r="E24" s="1020">
        <v>0</v>
      </c>
      <c r="F24" s="1006" t="s">
        <v>523</v>
      </c>
    </row>
    <row r="25" spans="1:6" s="1007" customFormat="1" ht="12" customHeight="1">
      <c r="A25" s="1011" t="s">
        <v>103</v>
      </c>
      <c r="B25" s="226" t="s">
        <v>253</v>
      </c>
      <c r="C25" s="1195">
        <v>9800000</v>
      </c>
      <c r="D25" s="1012">
        <v>35260107</v>
      </c>
      <c r="E25" s="1020">
        <v>35260107</v>
      </c>
      <c r="F25" s="1006" t="s">
        <v>524</v>
      </c>
    </row>
    <row r="26" spans="1:6" s="1007" customFormat="1" ht="12" customHeight="1" thickBot="1">
      <c r="A26" s="1015" t="s">
        <v>104</v>
      </c>
      <c r="B26" s="215" t="s">
        <v>254</v>
      </c>
      <c r="C26" s="1196">
        <v>0</v>
      </c>
      <c r="D26" s="1021">
        <v>0</v>
      </c>
      <c r="E26" s="1022">
        <v>0</v>
      </c>
      <c r="F26" s="1006" t="s">
        <v>525</v>
      </c>
    </row>
    <row r="27" spans="1:6" s="1007" customFormat="1" ht="12" customHeight="1" thickBot="1">
      <c r="A27" s="1003" t="s">
        <v>105</v>
      </c>
      <c r="B27" s="1004" t="s">
        <v>255</v>
      </c>
      <c r="C27" s="1197">
        <f>C28+C31+C32+C33</f>
        <v>60200000</v>
      </c>
      <c r="D27" s="1005">
        <f>D28+D31+D32+D33</f>
        <v>134321473</v>
      </c>
      <c r="E27" s="1005">
        <f>E28+E31+E32+E33</f>
        <v>92680830</v>
      </c>
      <c r="F27" s="1006" t="s">
        <v>526</v>
      </c>
    </row>
    <row r="28" spans="1:6" s="1007" customFormat="1" ht="12" customHeight="1">
      <c r="A28" s="1008" t="s">
        <v>256</v>
      </c>
      <c r="B28" s="225" t="s">
        <v>257</v>
      </c>
      <c r="C28" s="1198">
        <f>C29+C30</f>
        <v>50000000</v>
      </c>
      <c r="D28" s="1023">
        <f>D29+D30</f>
        <v>119512904</v>
      </c>
      <c r="E28" s="1023">
        <f>E29+E30</f>
        <v>82344939</v>
      </c>
      <c r="F28" s="1006" t="s">
        <v>527</v>
      </c>
    </row>
    <row r="29" spans="1:6" s="1007" customFormat="1" ht="12" customHeight="1">
      <c r="A29" s="1011" t="s">
        <v>258</v>
      </c>
      <c r="B29" s="226" t="s">
        <v>259</v>
      </c>
      <c r="C29" s="1195">
        <v>10000000</v>
      </c>
      <c r="D29" s="1012">
        <v>12538983</v>
      </c>
      <c r="E29" s="1020">
        <v>10394344</v>
      </c>
      <c r="F29" s="1006" t="s">
        <v>528</v>
      </c>
    </row>
    <row r="30" spans="1:6" s="1007" customFormat="1" ht="12" customHeight="1">
      <c r="A30" s="1011" t="s">
        <v>260</v>
      </c>
      <c r="B30" s="226" t="s">
        <v>261</v>
      </c>
      <c r="C30" s="1195">
        <v>40000000</v>
      </c>
      <c r="D30" s="1012">
        <v>106973921</v>
      </c>
      <c r="E30" s="1020">
        <v>71950595</v>
      </c>
      <c r="F30" s="1006" t="s">
        <v>529</v>
      </c>
    </row>
    <row r="31" spans="1:6" s="1007" customFormat="1" ht="12" customHeight="1">
      <c r="A31" s="1011" t="s">
        <v>262</v>
      </c>
      <c r="B31" s="226" t="s">
        <v>263</v>
      </c>
      <c r="C31" s="1195">
        <v>4000000</v>
      </c>
      <c r="D31" s="1012">
        <v>5448769</v>
      </c>
      <c r="E31" s="1020">
        <v>4812394</v>
      </c>
      <c r="F31" s="1006" t="s">
        <v>530</v>
      </c>
    </row>
    <row r="32" spans="1:6" s="1007" customFormat="1" ht="12" customHeight="1">
      <c r="A32" s="1011" t="s">
        <v>264</v>
      </c>
      <c r="B32" s="226" t="s">
        <v>265</v>
      </c>
      <c r="C32" s="1195">
        <v>3000000</v>
      </c>
      <c r="D32" s="1012">
        <v>3000000</v>
      </c>
      <c r="E32" s="1020">
        <v>2420100</v>
      </c>
      <c r="F32" s="1006" t="s">
        <v>531</v>
      </c>
    </row>
    <row r="33" spans="1:6" s="1007" customFormat="1" ht="12" customHeight="1" thickBot="1">
      <c r="A33" s="1015" t="s">
        <v>266</v>
      </c>
      <c r="B33" s="215" t="s">
        <v>267</v>
      </c>
      <c r="C33" s="1196">
        <v>3200000</v>
      </c>
      <c r="D33" s="1021">
        <v>6359800</v>
      </c>
      <c r="E33" s="1022">
        <v>3103397</v>
      </c>
      <c r="F33" s="1006" t="s">
        <v>532</v>
      </c>
    </row>
    <row r="34" spans="1:6" s="1007" customFormat="1" ht="12" customHeight="1" thickBot="1">
      <c r="A34" s="1003" t="s">
        <v>10</v>
      </c>
      <c r="B34" s="1004" t="s">
        <v>268</v>
      </c>
      <c r="C34" s="1197">
        <f>SUM(C35:C44)</f>
        <v>32992166</v>
      </c>
      <c r="D34" s="1005">
        <f>SUM(D35:D44)</f>
        <v>45370527</v>
      </c>
      <c r="E34" s="1005">
        <f>SUM(E35:E44)</f>
        <v>40271136</v>
      </c>
      <c r="F34" s="1006" t="s">
        <v>533</v>
      </c>
    </row>
    <row r="35" spans="1:6" s="1007" customFormat="1" ht="12" customHeight="1">
      <c r="A35" s="1008" t="s">
        <v>61</v>
      </c>
      <c r="B35" s="225" t="s">
        <v>269</v>
      </c>
      <c r="C35" s="1194">
        <v>0</v>
      </c>
      <c r="D35" s="1018">
        <v>0</v>
      </c>
      <c r="E35" s="1019">
        <v>0</v>
      </c>
      <c r="F35" s="1006" t="s">
        <v>534</v>
      </c>
    </row>
    <row r="36" spans="1:6" s="1007" customFormat="1" ht="12" customHeight="1">
      <c r="A36" s="1011" t="s">
        <v>62</v>
      </c>
      <c r="B36" s="226" t="s">
        <v>270</v>
      </c>
      <c r="C36" s="1195">
        <f>9753000</f>
        <v>9753000</v>
      </c>
      <c r="D36" s="1012">
        <f>9753000+2575769</f>
        <v>12328769</v>
      </c>
      <c r="E36" s="1020">
        <f>9160053+2448801</f>
        <v>11608854</v>
      </c>
      <c r="F36" s="1006" t="s">
        <v>535</v>
      </c>
    </row>
    <row r="37" spans="1:6" s="1007" customFormat="1" ht="12" customHeight="1">
      <c r="A37" s="1011" t="s">
        <v>63</v>
      </c>
      <c r="B37" s="226" t="s">
        <v>271</v>
      </c>
      <c r="C37" s="1195">
        <v>2000000</v>
      </c>
      <c r="D37" s="1012">
        <v>2211562</v>
      </c>
      <c r="E37" s="1020">
        <v>2050917</v>
      </c>
      <c r="F37" s="1006" t="s">
        <v>536</v>
      </c>
    </row>
    <row r="38" spans="1:6" s="1007" customFormat="1" ht="12" customHeight="1">
      <c r="A38" s="1011" t="s">
        <v>107</v>
      </c>
      <c r="B38" s="226" t="s">
        <v>272</v>
      </c>
      <c r="C38" s="1195">
        <v>1586056</v>
      </c>
      <c r="D38" s="1012">
        <v>8044541</v>
      </c>
      <c r="E38" s="1020">
        <v>5614673</v>
      </c>
      <c r="F38" s="1006" t="s">
        <v>537</v>
      </c>
    </row>
    <row r="39" spans="1:6" s="1007" customFormat="1" ht="12" customHeight="1">
      <c r="A39" s="1011" t="s">
        <v>108</v>
      </c>
      <c r="B39" s="226" t="s">
        <v>273</v>
      </c>
      <c r="C39" s="1195">
        <v>11877000</v>
      </c>
      <c r="D39" s="1012">
        <f>149414+9537698</f>
        <v>9687112</v>
      </c>
      <c r="E39" s="1020">
        <f>61250+8413892</f>
        <v>8475142</v>
      </c>
      <c r="F39" s="1006" t="s">
        <v>538</v>
      </c>
    </row>
    <row r="40" spans="1:6" s="1007" customFormat="1" ht="12" customHeight="1">
      <c r="A40" s="1011" t="s">
        <v>109</v>
      </c>
      <c r="B40" s="226" t="s">
        <v>274</v>
      </c>
      <c r="C40" s="1195">
        <f>1969110+3207000</f>
        <v>5176110</v>
      </c>
      <c r="D40" s="1012">
        <f>2890935+3250156</f>
        <v>6141091</v>
      </c>
      <c r="E40" s="1020">
        <f>2669677+2934740</f>
        <v>5604417</v>
      </c>
      <c r="F40" s="1006" t="s">
        <v>539</v>
      </c>
    </row>
    <row r="41" spans="1:6" s="1007" customFormat="1" ht="12" customHeight="1">
      <c r="A41" s="1011" t="s">
        <v>110</v>
      </c>
      <c r="B41" s="226" t="s">
        <v>275</v>
      </c>
      <c r="C41" s="1195"/>
      <c r="D41" s="1012">
        <v>2645204</v>
      </c>
      <c r="E41" s="1020">
        <v>2645204</v>
      </c>
      <c r="F41" s="1006" t="s">
        <v>540</v>
      </c>
    </row>
    <row r="42" spans="1:6" s="1007" customFormat="1" ht="12" customHeight="1">
      <c r="A42" s="1011" t="s">
        <v>111</v>
      </c>
      <c r="B42" s="226" t="s">
        <v>276</v>
      </c>
      <c r="C42" s="1195">
        <v>600000</v>
      </c>
      <c r="D42" s="1012">
        <v>0</v>
      </c>
      <c r="E42" s="1020">
        <v>0</v>
      </c>
      <c r="F42" s="1006" t="s">
        <v>541</v>
      </c>
    </row>
    <row r="43" spans="1:6" s="1007" customFormat="1" ht="12" customHeight="1">
      <c r="A43" s="1011" t="s">
        <v>277</v>
      </c>
      <c r="B43" s="226" t="s">
        <v>278</v>
      </c>
      <c r="C43" s="1195"/>
      <c r="D43" s="1012"/>
      <c r="E43" s="1020"/>
      <c r="F43" s="1006" t="s">
        <v>542</v>
      </c>
    </row>
    <row r="44" spans="1:6" s="1007" customFormat="1" ht="12" customHeight="1" thickBot="1">
      <c r="A44" s="1015" t="s">
        <v>279</v>
      </c>
      <c r="B44" s="227" t="s">
        <v>280</v>
      </c>
      <c r="C44" s="1196">
        <v>2000000</v>
      </c>
      <c r="D44" s="1021">
        <f>4289535+22135+578</f>
        <v>4312248</v>
      </c>
      <c r="E44" s="1022">
        <f>4249215+22135+579</f>
        <v>4271929</v>
      </c>
      <c r="F44" s="1006" t="s">
        <v>543</v>
      </c>
    </row>
    <row r="45" spans="1:6" s="1007" customFormat="1" ht="12" customHeight="1" thickBot="1">
      <c r="A45" s="1003" t="s">
        <v>11</v>
      </c>
      <c r="B45" s="1004" t="s">
        <v>281</v>
      </c>
      <c r="C45" s="1197">
        <f>SUM(C46:C50)</f>
        <v>0</v>
      </c>
      <c r="D45" s="1005">
        <f>SUM(D46:D50)</f>
        <v>702000</v>
      </c>
      <c r="E45" s="1005">
        <f>SUM(E46:E50)</f>
        <v>702000</v>
      </c>
      <c r="F45" s="1006" t="s">
        <v>544</v>
      </c>
    </row>
    <row r="46" spans="1:6" s="1007" customFormat="1" ht="12" customHeight="1">
      <c r="A46" s="1008" t="s">
        <v>64</v>
      </c>
      <c r="B46" s="225" t="s">
        <v>282</v>
      </c>
      <c r="C46" s="1194">
        <v>0</v>
      </c>
      <c r="D46" s="1018">
        <v>0</v>
      </c>
      <c r="E46" s="1019">
        <v>0</v>
      </c>
      <c r="F46" s="1006" t="s">
        <v>545</v>
      </c>
    </row>
    <row r="47" spans="1:6" s="1007" customFormat="1" ht="12" customHeight="1">
      <c r="A47" s="1011" t="s">
        <v>65</v>
      </c>
      <c r="B47" s="226" t="s">
        <v>283</v>
      </c>
      <c r="C47" s="1195">
        <v>0</v>
      </c>
      <c r="D47" s="1012">
        <v>702000</v>
      </c>
      <c r="E47" s="1020">
        <v>702000</v>
      </c>
      <c r="F47" s="1006" t="s">
        <v>546</v>
      </c>
    </row>
    <row r="48" spans="1:6" s="1007" customFormat="1" ht="12" customHeight="1">
      <c r="A48" s="1011" t="s">
        <v>284</v>
      </c>
      <c r="B48" s="226" t="s">
        <v>285</v>
      </c>
      <c r="C48" s="1195"/>
      <c r="D48" s="1012">
        <v>0</v>
      </c>
      <c r="E48" s="1020">
        <v>0</v>
      </c>
      <c r="F48" s="1006" t="s">
        <v>547</v>
      </c>
    </row>
    <row r="49" spans="1:6" s="1007" customFormat="1" ht="12" customHeight="1">
      <c r="A49" s="1011" t="s">
        <v>286</v>
      </c>
      <c r="B49" s="226" t="s">
        <v>287</v>
      </c>
      <c r="C49" s="1195">
        <v>0</v>
      </c>
      <c r="D49" s="1012">
        <v>0</v>
      </c>
      <c r="E49" s="1020">
        <v>0</v>
      </c>
      <c r="F49" s="1006" t="s">
        <v>548</v>
      </c>
    </row>
    <row r="50" spans="1:6" s="1007" customFormat="1" ht="12" customHeight="1" thickBot="1">
      <c r="A50" s="1015" t="s">
        <v>288</v>
      </c>
      <c r="B50" s="227" t="s">
        <v>289</v>
      </c>
      <c r="C50" s="1196">
        <v>0</v>
      </c>
      <c r="D50" s="1021">
        <v>0</v>
      </c>
      <c r="E50" s="1022">
        <v>0</v>
      </c>
      <c r="F50" s="1006" t="s">
        <v>549</v>
      </c>
    </row>
    <row r="51" spans="1:6" s="1007" customFormat="1" ht="17.25" customHeight="1" thickBot="1">
      <c r="A51" s="1003" t="s">
        <v>112</v>
      </c>
      <c r="B51" s="1004" t="s">
        <v>290</v>
      </c>
      <c r="C51" s="1197">
        <f>SUM(C52:C55)</f>
        <v>0</v>
      </c>
      <c r="D51" s="1005">
        <f>SUM(D52:D55)</f>
        <v>455000</v>
      </c>
      <c r="E51" s="1005">
        <f>SUM(E52:E55)</f>
        <v>455000</v>
      </c>
      <c r="F51" s="1006" t="s">
        <v>550</v>
      </c>
    </row>
    <row r="52" spans="1:6" s="1007" customFormat="1" ht="12" customHeight="1">
      <c r="A52" s="1008" t="s">
        <v>66</v>
      </c>
      <c r="B52" s="225" t="s">
        <v>291</v>
      </c>
      <c r="C52" s="1018">
        <v>0</v>
      </c>
      <c r="D52" s="1018">
        <v>0</v>
      </c>
      <c r="E52" s="1019">
        <v>0</v>
      </c>
      <c r="F52" s="1006" t="s">
        <v>551</v>
      </c>
    </row>
    <row r="53" spans="1:6" s="1007" customFormat="1" ht="12" customHeight="1">
      <c r="A53" s="1011" t="s">
        <v>67</v>
      </c>
      <c r="B53" s="226" t="s">
        <v>292</v>
      </c>
      <c r="C53" s="1012">
        <v>0</v>
      </c>
      <c r="D53" s="1012"/>
      <c r="E53" s="1020"/>
      <c r="F53" s="1006" t="s">
        <v>552</v>
      </c>
    </row>
    <row r="54" spans="1:6" s="1007" customFormat="1" ht="12" customHeight="1">
      <c r="A54" s="1011" t="s">
        <v>293</v>
      </c>
      <c r="B54" s="226" t="s">
        <v>294</v>
      </c>
      <c r="C54" s="1012"/>
      <c r="D54" s="1012">
        <v>455000</v>
      </c>
      <c r="E54" s="1020">
        <v>455000</v>
      </c>
      <c r="F54" s="1006" t="s">
        <v>553</v>
      </c>
    </row>
    <row r="55" spans="1:6" s="1007" customFormat="1" ht="12" customHeight="1" thickBot="1">
      <c r="A55" s="1015" t="s">
        <v>295</v>
      </c>
      <c r="B55" s="227" t="s">
        <v>296</v>
      </c>
      <c r="C55" s="1021">
        <v>0</v>
      </c>
      <c r="D55" s="1021">
        <v>0</v>
      </c>
      <c r="E55" s="1022">
        <v>0</v>
      </c>
      <c r="F55" s="1006" t="s">
        <v>554</v>
      </c>
    </row>
    <row r="56" spans="1:6" s="1007" customFormat="1" ht="12" customHeight="1" thickBot="1">
      <c r="A56" s="1003" t="s">
        <v>13</v>
      </c>
      <c r="B56" s="213" t="s">
        <v>297</v>
      </c>
      <c r="C56" s="1005">
        <f>SUM(C57:C60)</f>
        <v>0</v>
      </c>
      <c r="D56" s="1005">
        <f>SUM(D57:D60)</f>
        <v>80000</v>
      </c>
      <c r="E56" s="1005">
        <f>SUM(E57:E60)</f>
        <v>80000</v>
      </c>
      <c r="F56" s="1005">
        <f>SUM(F57:F59)</f>
        <v>0</v>
      </c>
    </row>
    <row r="57" spans="1:6" s="1007" customFormat="1" ht="12" customHeight="1">
      <c r="A57" s="1008" t="s">
        <v>113</v>
      </c>
      <c r="B57" s="225" t="s">
        <v>298</v>
      </c>
      <c r="C57" s="1012">
        <v>0</v>
      </c>
      <c r="D57" s="1012">
        <v>0</v>
      </c>
      <c r="E57" s="1020">
        <v>0</v>
      </c>
      <c r="F57" s="1006" t="s">
        <v>556</v>
      </c>
    </row>
    <row r="58" spans="1:6" s="1007" customFormat="1" ht="21" customHeight="1">
      <c r="A58" s="1011" t="s">
        <v>114</v>
      </c>
      <c r="B58" s="1024" t="s">
        <v>299</v>
      </c>
      <c r="C58" s="1012"/>
      <c r="D58" s="1012">
        <v>0</v>
      </c>
      <c r="E58" s="1020">
        <v>0</v>
      </c>
      <c r="F58" s="1006" t="s">
        <v>557</v>
      </c>
    </row>
    <row r="59" spans="1:6" s="1007" customFormat="1" ht="12" customHeight="1">
      <c r="A59" s="1011" t="s">
        <v>139</v>
      </c>
      <c r="B59" s="226" t="s">
        <v>300</v>
      </c>
      <c r="C59" s="1012">
        <v>0</v>
      </c>
      <c r="D59" s="1012">
        <v>80000</v>
      </c>
      <c r="E59" s="1020">
        <v>80000</v>
      </c>
      <c r="F59" s="1006" t="s">
        <v>558</v>
      </c>
    </row>
    <row r="60" spans="1:6" s="1007" customFormat="1" ht="12" customHeight="1" thickBot="1">
      <c r="A60" s="1015" t="s">
        <v>301</v>
      </c>
      <c r="B60" s="227" t="s">
        <v>302</v>
      </c>
      <c r="C60" s="1012">
        <v>0</v>
      </c>
      <c r="D60" s="1012">
        <v>0</v>
      </c>
      <c r="E60" s="1020">
        <v>0</v>
      </c>
      <c r="F60" s="1006" t="s">
        <v>559</v>
      </c>
    </row>
    <row r="61" spans="1:6" s="1007" customFormat="1" ht="12" customHeight="1" thickBot="1">
      <c r="A61" s="1003" t="s">
        <v>14</v>
      </c>
      <c r="B61" s="1004" t="s">
        <v>303</v>
      </c>
      <c r="C61" s="1005">
        <f>C6+C13+C20+C27+C34+C45+C51+C56</f>
        <v>271548603</v>
      </c>
      <c r="D61" s="1005">
        <f>D6+D13+D20+D27+D34+D45+D51+D56</f>
        <v>421199039</v>
      </c>
      <c r="E61" s="1005">
        <f>E6+E13+E20+E27+E34+E45+E51+E56</f>
        <v>374459005</v>
      </c>
      <c r="F61" s="1006" t="s">
        <v>560</v>
      </c>
    </row>
    <row r="62" spans="1:6" s="1007" customFormat="1" ht="12" customHeight="1" thickBot="1">
      <c r="A62" s="1025" t="s">
        <v>304</v>
      </c>
      <c r="B62" s="213" t="s">
        <v>305</v>
      </c>
      <c r="C62" s="1005">
        <f>SUM(C63:C65)</f>
        <v>0</v>
      </c>
      <c r="D62" s="1005">
        <f>SUM(D63:D65)</f>
        <v>0</v>
      </c>
      <c r="E62" s="1005">
        <f>SUM(E63:E65)</f>
        <v>0</v>
      </c>
      <c r="F62" s="1006" t="s">
        <v>561</v>
      </c>
    </row>
    <row r="63" spans="1:6" s="1007" customFormat="1" ht="12" customHeight="1">
      <c r="A63" s="1008" t="s">
        <v>306</v>
      </c>
      <c r="B63" s="225" t="s">
        <v>307</v>
      </c>
      <c r="C63" s="1012">
        <v>0</v>
      </c>
      <c r="D63" s="1012">
        <v>0</v>
      </c>
      <c r="E63" s="1020">
        <v>0</v>
      </c>
      <c r="F63" s="1006" t="s">
        <v>562</v>
      </c>
    </row>
    <row r="64" spans="1:6" s="1007" customFormat="1" ht="12" customHeight="1">
      <c r="A64" s="1011" t="s">
        <v>308</v>
      </c>
      <c r="B64" s="226" t="s">
        <v>309</v>
      </c>
      <c r="C64" s="1012">
        <v>0</v>
      </c>
      <c r="D64" s="1012">
        <v>0</v>
      </c>
      <c r="E64" s="1020">
        <v>0</v>
      </c>
      <c r="F64" s="1006" t="s">
        <v>563</v>
      </c>
    </row>
    <row r="65" spans="1:6" s="1007" customFormat="1" ht="12" customHeight="1" thickBot="1">
      <c r="A65" s="1015" t="s">
        <v>310</v>
      </c>
      <c r="B65" s="1026" t="s">
        <v>355</v>
      </c>
      <c r="C65" s="1012">
        <v>0</v>
      </c>
      <c r="D65" s="1012">
        <v>0</v>
      </c>
      <c r="E65" s="1020">
        <v>0</v>
      </c>
      <c r="F65" s="1006" t="s">
        <v>564</v>
      </c>
    </row>
    <row r="66" spans="1:6" s="1007" customFormat="1" ht="12" customHeight="1" thickBot="1">
      <c r="A66" s="1025" t="s">
        <v>312</v>
      </c>
      <c r="B66" s="213" t="s">
        <v>313</v>
      </c>
      <c r="C66" s="1005">
        <f>SUM(C67:C70)</f>
        <v>0</v>
      </c>
      <c r="D66" s="1005">
        <f>SUM(D67:D70)</f>
        <v>0</v>
      </c>
      <c r="E66" s="1005">
        <f>SUM(E67:E70)</f>
        <v>0</v>
      </c>
      <c r="F66" s="1006" t="s">
        <v>565</v>
      </c>
    </row>
    <row r="67" spans="1:6" s="1007" customFormat="1" ht="13.5" customHeight="1">
      <c r="A67" s="1008" t="s">
        <v>92</v>
      </c>
      <c r="B67" s="225" t="s">
        <v>314</v>
      </c>
      <c r="C67" s="1012">
        <v>0</v>
      </c>
      <c r="D67" s="1012">
        <v>0</v>
      </c>
      <c r="E67" s="1020">
        <v>0</v>
      </c>
      <c r="F67" s="1006" t="s">
        <v>566</v>
      </c>
    </row>
    <row r="68" spans="1:6" s="1007" customFormat="1" ht="12" customHeight="1">
      <c r="A68" s="1011" t="s">
        <v>93</v>
      </c>
      <c r="B68" s="226" t="s">
        <v>315</v>
      </c>
      <c r="C68" s="1012">
        <v>0</v>
      </c>
      <c r="D68" s="1012">
        <v>0</v>
      </c>
      <c r="E68" s="1020">
        <v>0</v>
      </c>
      <c r="F68" s="1006" t="s">
        <v>567</v>
      </c>
    </row>
    <row r="69" spans="1:6" s="1007" customFormat="1" ht="12" customHeight="1">
      <c r="A69" s="1011" t="s">
        <v>316</v>
      </c>
      <c r="B69" s="226" t="s">
        <v>317</v>
      </c>
      <c r="C69" s="1012">
        <v>0</v>
      </c>
      <c r="D69" s="1012">
        <v>0</v>
      </c>
      <c r="E69" s="1020">
        <v>0</v>
      </c>
      <c r="F69" s="1006" t="s">
        <v>568</v>
      </c>
    </row>
    <row r="70" spans="1:6" s="1007" customFormat="1" ht="12" customHeight="1" thickBot="1">
      <c r="A70" s="1015" t="s">
        <v>318</v>
      </c>
      <c r="B70" s="227" t="s">
        <v>319</v>
      </c>
      <c r="C70" s="1012">
        <v>0</v>
      </c>
      <c r="D70" s="1012">
        <v>0</v>
      </c>
      <c r="E70" s="1020">
        <v>0</v>
      </c>
      <c r="F70" s="1006" t="s">
        <v>569</v>
      </c>
    </row>
    <row r="71" spans="1:6" s="1007" customFormat="1" ht="12" customHeight="1" thickBot="1">
      <c r="A71" s="1025" t="s">
        <v>320</v>
      </c>
      <c r="B71" s="213" t="s">
        <v>321</v>
      </c>
      <c r="C71" s="1005">
        <f>SUM(C72:C73)</f>
        <v>138794856</v>
      </c>
      <c r="D71" s="1005">
        <f>SUM(D72:D73)</f>
        <v>137983276</v>
      </c>
      <c r="E71" s="1005">
        <f>SUM(E72:E73)</f>
        <v>137983276</v>
      </c>
      <c r="F71" s="1006" t="s">
        <v>570</v>
      </c>
    </row>
    <row r="72" spans="1:6" s="1007" customFormat="1" ht="12" customHeight="1">
      <c r="A72" s="1008" t="s">
        <v>322</v>
      </c>
      <c r="B72" s="225" t="s">
        <v>323</v>
      </c>
      <c r="C72" s="1012">
        <f>137199700+718905+876251</f>
        <v>138794856</v>
      </c>
      <c r="D72" s="1012">
        <f>136352618+564767+1065891</f>
        <v>137983276</v>
      </c>
      <c r="E72" s="1020">
        <f>136352618+564767+1065891</f>
        <v>137983276</v>
      </c>
      <c r="F72" s="1006" t="s">
        <v>571</v>
      </c>
    </row>
    <row r="73" spans="1:6" s="1007" customFormat="1" ht="12" customHeight="1" thickBot="1">
      <c r="A73" s="1015" t="s">
        <v>324</v>
      </c>
      <c r="B73" s="227" t="s">
        <v>325</v>
      </c>
      <c r="C73" s="1012">
        <v>0</v>
      </c>
      <c r="D73" s="1012">
        <v>0</v>
      </c>
      <c r="E73" s="1020">
        <v>0</v>
      </c>
      <c r="F73" s="1006" t="s">
        <v>572</v>
      </c>
    </row>
    <row r="74" spans="1:6" s="1007" customFormat="1" ht="12" customHeight="1" thickBot="1">
      <c r="A74" s="1025" t="s">
        <v>326</v>
      </c>
      <c r="B74" s="213" t="s">
        <v>327</v>
      </c>
      <c r="C74" s="1005">
        <f>SUM(C75:C77)</f>
        <v>0</v>
      </c>
      <c r="D74" s="1005">
        <f>SUM(D75:D77)</f>
        <v>4649687</v>
      </c>
      <c r="E74" s="1005">
        <f>SUM(E75:E77)</f>
        <v>4649687</v>
      </c>
      <c r="F74" s="1006" t="s">
        <v>573</v>
      </c>
    </row>
    <row r="75" spans="1:6" s="1007" customFormat="1" ht="12" customHeight="1">
      <c r="A75" s="1008" t="s">
        <v>328</v>
      </c>
      <c r="B75" s="225" t="s">
        <v>329</v>
      </c>
      <c r="C75" s="1012"/>
      <c r="D75" s="1012">
        <v>4649687</v>
      </c>
      <c r="E75" s="1020">
        <v>4649687</v>
      </c>
      <c r="F75" s="1006" t="s">
        <v>574</v>
      </c>
    </row>
    <row r="76" spans="1:6" s="1007" customFormat="1" ht="12" customHeight="1">
      <c r="A76" s="1011" t="s">
        <v>330</v>
      </c>
      <c r="B76" s="226" t="s">
        <v>331</v>
      </c>
      <c r="C76" s="1012">
        <v>0</v>
      </c>
      <c r="D76" s="1012">
        <v>0</v>
      </c>
      <c r="E76" s="1020">
        <v>0</v>
      </c>
      <c r="F76" s="1006" t="s">
        <v>575</v>
      </c>
    </row>
    <row r="77" spans="1:6" s="1007" customFormat="1" ht="12" customHeight="1" thickBot="1">
      <c r="A77" s="1015" t="s">
        <v>332</v>
      </c>
      <c r="B77" s="215" t="s">
        <v>333</v>
      </c>
      <c r="C77" s="1012">
        <v>0</v>
      </c>
      <c r="D77" s="1012">
        <v>0</v>
      </c>
      <c r="E77" s="1020">
        <v>0</v>
      </c>
      <c r="F77" s="1006" t="s">
        <v>576</v>
      </c>
    </row>
    <row r="78" spans="1:6" s="1007" customFormat="1" ht="12" customHeight="1" thickBot="1">
      <c r="A78" s="1025" t="s">
        <v>334</v>
      </c>
      <c r="B78" s="213" t="s">
        <v>335</v>
      </c>
      <c r="C78" s="1005">
        <f>SUM(C79:C82)</f>
        <v>0</v>
      </c>
      <c r="D78" s="1005">
        <f>SUM(D79:D82)</f>
        <v>0</v>
      </c>
      <c r="E78" s="1005">
        <f>SUM(E79:E82)</f>
        <v>0</v>
      </c>
      <c r="F78" s="1006" t="s">
        <v>577</v>
      </c>
    </row>
    <row r="79" spans="1:6" s="1007" customFormat="1" ht="12" customHeight="1">
      <c r="A79" s="1027" t="s">
        <v>336</v>
      </c>
      <c r="B79" s="225" t="s">
        <v>337</v>
      </c>
      <c r="C79" s="1012">
        <v>0</v>
      </c>
      <c r="D79" s="1012">
        <v>0</v>
      </c>
      <c r="E79" s="1020">
        <v>0</v>
      </c>
      <c r="F79" s="1006" t="s">
        <v>578</v>
      </c>
    </row>
    <row r="80" spans="1:6" s="1007" customFormat="1" ht="12" customHeight="1">
      <c r="A80" s="1028" t="s">
        <v>338</v>
      </c>
      <c r="B80" s="226" t="s">
        <v>339</v>
      </c>
      <c r="C80" s="1012">
        <v>0</v>
      </c>
      <c r="D80" s="1012">
        <v>0</v>
      </c>
      <c r="E80" s="1020">
        <v>0</v>
      </c>
      <c r="F80" s="1006" t="s">
        <v>579</v>
      </c>
    </row>
    <row r="81" spans="1:6" s="1007" customFormat="1" ht="12" customHeight="1">
      <c r="A81" s="1028" t="s">
        <v>340</v>
      </c>
      <c r="B81" s="226" t="s">
        <v>341</v>
      </c>
      <c r="C81" s="1012">
        <v>0</v>
      </c>
      <c r="D81" s="1012">
        <v>0</v>
      </c>
      <c r="E81" s="1020">
        <v>0</v>
      </c>
      <c r="F81" s="1006" t="s">
        <v>580</v>
      </c>
    </row>
    <row r="82" spans="1:6" s="1007" customFormat="1" ht="12" customHeight="1" thickBot="1">
      <c r="A82" s="1029" t="s">
        <v>342</v>
      </c>
      <c r="B82" s="215" t="s">
        <v>343</v>
      </c>
      <c r="C82" s="1012">
        <v>0</v>
      </c>
      <c r="D82" s="1012">
        <v>0</v>
      </c>
      <c r="E82" s="1020">
        <v>0</v>
      </c>
      <c r="F82" s="1006" t="s">
        <v>581</v>
      </c>
    </row>
    <row r="83" spans="1:6" s="1007" customFormat="1" ht="12" customHeight="1" thickBot="1">
      <c r="A83" s="1025" t="s">
        <v>344</v>
      </c>
      <c r="B83" s="213" t="s">
        <v>345</v>
      </c>
      <c r="C83" s="1030">
        <v>0</v>
      </c>
      <c r="D83" s="1030">
        <v>0</v>
      </c>
      <c r="E83" s="1031">
        <v>0</v>
      </c>
      <c r="F83" s="1006" t="s">
        <v>582</v>
      </c>
    </row>
    <row r="84" spans="1:6" s="1007" customFormat="1" ht="12" customHeight="1" thickBot="1">
      <c r="A84" s="1025" t="s">
        <v>346</v>
      </c>
      <c r="B84" s="1032" t="s">
        <v>347</v>
      </c>
      <c r="C84" s="1005">
        <f>C62+C66+C71+C74+C78+C83</f>
        <v>138794856</v>
      </c>
      <c r="D84" s="1005">
        <f>D62+D66+D71+D74+D78+D83</f>
        <v>142632963</v>
      </c>
      <c r="E84" s="1005">
        <f>E62+E66+E71+E74+E78+E83</f>
        <v>142632963</v>
      </c>
      <c r="F84" s="1006" t="s">
        <v>583</v>
      </c>
    </row>
    <row r="85" spans="1:6" s="1007" customFormat="1" ht="18" customHeight="1" thickBot="1">
      <c r="A85" s="1033" t="s">
        <v>348</v>
      </c>
      <c r="B85" s="1034" t="s">
        <v>349</v>
      </c>
      <c r="C85" s="1005">
        <f>C61+C84</f>
        <v>410343459</v>
      </c>
      <c r="D85" s="1005">
        <f>D61+D84</f>
        <v>563832002</v>
      </c>
      <c r="E85" s="1005">
        <f>E61+E84</f>
        <v>517091968</v>
      </c>
      <c r="F85" s="1006" t="s">
        <v>584</v>
      </c>
    </row>
    <row r="86" spans="1:6" s="1007" customFormat="1" ht="12" customHeight="1">
      <c r="A86" s="1035"/>
      <c r="B86" s="1035"/>
      <c r="C86" s="1036"/>
      <c r="D86" s="1036"/>
      <c r="E86" s="1036"/>
      <c r="F86" s="1006"/>
    </row>
    <row r="87" spans="1:6" ht="16.5" customHeight="1">
      <c r="A87" s="1322" t="s">
        <v>35</v>
      </c>
      <c r="B87" s="1322"/>
      <c r="C87" s="1322"/>
      <c r="D87" s="1322"/>
      <c r="E87" s="1322"/>
      <c r="F87" s="995"/>
    </row>
    <row r="88" spans="1:6" s="1040" customFormat="1" ht="16.5" customHeight="1" thickBot="1">
      <c r="A88" s="1037" t="s">
        <v>95</v>
      </c>
      <c r="B88" s="1037"/>
      <c r="C88" s="1038"/>
      <c r="D88" s="1038"/>
      <c r="E88" s="1038" t="s">
        <v>642</v>
      </c>
      <c r="F88" s="1039"/>
    </row>
    <row r="89" spans="1:6" s="1040" customFormat="1" ht="16.5" customHeight="1">
      <c r="A89" s="1329" t="s">
        <v>56</v>
      </c>
      <c r="B89" s="1326" t="s">
        <v>159</v>
      </c>
      <c r="C89" s="1323">
        <f>+C3</f>
        <v>2018</v>
      </c>
      <c r="D89" s="1324"/>
      <c r="E89" s="1325"/>
      <c r="F89" s="1039"/>
    </row>
    <row r="90" spans="1:6" ht="37.5" customHeight="1" thickBot="1">
      <c r="A90" s="1330"/>
      <c r="B90" s="1327"/>
      <c r="C90" s="996" t="s">
        <v>160</v>
      </c>
      <c r="D90" s="996" t="s">
        <v>161</v>
      </c>
      <c r="E90" s="997" t="s">
        <v>162</v>
      </c>
      <c r="F90" s="995"/>
    </row>
    <row r="91" spans="1:6" s="1002" customFormat="1" ht="12" customHeight="1" thickBot="1">
      <c r="A91" s="998" t="s">
        <v>350</v>
      </c>
      <c r="B91" s="999" t="s">
        <v>351</v>
      </c>
      <c r="C91" s="1199" t="s">
        <v>352</v>
      </c>
      <c r="D91" s="999" t="s">
        <v>353</v>
      </c>
      <c r="E91" s="1000" t="s">
        <v>354</v>
      </c>
      <c r="F91" s="1001"/>
    </row>
    <row r="92" spans="1:6" ht="12" customHeight="1" thickBot="1">
      <c r="A92" s="1041" t="s">
        <v>6</v>
      </c>
      <c r="B92" s="1042" t="s">
        <v>1038</v>
      </c>
      <c r="C92" s="1200">
        <f>SUM(C93:C97)</f>
        <v>282882384</v>
      </c>
      <c r="D92" s="1214">
        <f>SUM(D93:D97)</f>
        <v>304305639</v>
      </c>
      <c r="E92" s="1209">
        <f>SUM(E93:E97)</f>
        <v>266478773</v>
      </c>
      <c r="F92" s="995" t="s">
        <v>505</v>
      </c>
    </row>
    <row r="93" spans="1:6" ht="12" customHeight="1">
      <c r="A93" s="1043" t="s">
        <v>68</v>
      </c>
      <c r="B93" s="1044" t="s">
        <v>36</v>
      </c>
      <c r="C93" s="1201">
        <f>42150204+42582850+29854104</f>
        <v>114587158</v>
      </c>
      <c r="D93" s="46">
        <f>49713962+44014670+30334104</f>
        <v>124062736</v>
      </c>
      <c r="E93" s="1210">
        <f>47361547+43174331+29157453</f>
        <v>119693331</v>
      </c>
      <c r="F93" s="995" t="s">
        <v>506</v>
      </c>
    </row>
    <row r="94" spans="1:6" ht="12" customHeight="1">
      <c r="A94" s="1011" t="s">
        <v>69</v>
      </c>
      <c r="B94" s="1045" t="s">
        <v>115</v>
      </c>
      <c r="C94" s="1202">
        <f>9806000+9075766+6090550</f>
        <v>24972316</v>
      </c>
      <c r="D94" s="218">
        <f>10404130+9306010+6090550</f>
        <v>25800690</v>
      </c>
      <c r="E94" s="207">
        <f>9063357+9142467+6001915</f>
        <v>24207739</v>
      </c>
      <c r="F94" s="995" t="s">
        <v>507</v>
      </c>
    </row>
    <row r="95" spans="1:6" ht="12" customHeight="1">
      <c r="A95" s="1011" t="s">
        <v>70</v>
      </c>
      <c r="B95" s="1045" t="s">
        <v>90</v>
      </c>
      <c r="C95" s="1203">
        <f>82561060+43271200+6180650</f>
        <v>132012910</v>
      </c>
      <c r="D95" s="220">
        <f>88900385+45097771+6010868</f>
        <v>140009024</v>
      </c>
      <c r="E95" s="209">
        <f>69890202+38071757+3976543</f>
        <v>111938502</v>
      </c>
      <c r="F95" s="995" t="s">
        <v>508</v>
      </c>
    </row>
    <row r="96" spans="1:6" ht="12" customHeight="1">
      <c r="A96" s="1011" t="s">
        <v>71</v>
      </c>
      <c r="B96" s="1046" t="s">
        <v>116</v>
      </c>
      <c r="C96" s="1203">
        <v>7060000</v>
      </c>
      <c r="D96" s="220">
        <v>7865500</v>
      </c>
      <c r="E96" s="209">
        <v>4776987</v>
      </c>
      <c r="F96" s="995" t="s">
        <v>509</v>
      </c>
    </row>
    <row r="97" spans="1:6" ht="12" customHeight="1">
      <c r="A97" s="1011" t="s">
        <v>80</v>
      </c>
      <c r="B97" s="1047" t="s">
        <v>117</v>
      </c>
      <c r="C97" s="1203">
        <f>C102+C107</f>
        <v>4250000</v>
      </c>
      <c r="D97" s="220">
        <f>D102+D107+D98</f>
        <v>6567689</v>
      </c>
      <c r="E97" s="209">
        <f>E102+E107+E98</f>
        <v>5862214</v>
      </c>
      <c r="F97" s="995" t="s">
        <v>510</v>
      </c>
    </row>
    <row r="98" spans="1:6" ht="12" customHeight="1">
      <c r="A98" s="1011" t="s">
        <v>72</v>
      </c>
      <c r="B98" s="1045" t="s">
        <v>357</v>
      </c>
      <c r="C98" s="1203"/>
      <c r="D98" s="220">
        <v>1001109</v>
      </c>
      <c r="E98" s="209">
        <v>1001109</v>
      </c>
      <c r="F98" s="995" t="s">
        <v>511</v>
      </c>
    </row>
    <row r="99" spans="1:6" ht="12" customHeight="1">
      <c r="A99" s="1011" t="s">
        <v>73</v>
      </c>
      <c r="B99" s="1048" t="s">
        <v>358</v>
      </c>
      <c r="C99" s="1203"/>
      <c r="D99" s="220">
        <v>0</v>
      </c>
      <c r="E99" s="209">
        <v>0</v>
      </c>
      <c r="F99" s="995" t="s">
        <v>512</v>
      </c>
    </row>
    <row r="100" spans="1:6" ht="12" customHeight="1">
      <c r="A100" s="1011" t="s">
        <v>81</v>
      </c>
      <c r="B100" s="1049" t="s">
        <v>359</v>
      </c>
      <c r="C100" s="1203"/>
      <c r="D100" s="220">
        <v>0</v>
      </c>
      <c r="E100" s="209">
        <v>0</v>
      </c>
      <c r="F100" s="995" t="s">
        <v>513</v>
      </c>
    </row>
    <row r="101" spans="1:6" ht="17.25" customHeight="1">
      <c r="A101" s="1011" t="s">
        <v>82</v>
      </c>
      <c r="B101" s="1049" t="s">
        <v>360</v>
      </c>
      <c r="C101" s="1203"/>
      <c r="D101" s="220">
        <v>0</v>
      </c>
      <c r="E101" s="209">
        <v>0</v>
      </c>
      <c r="F101" s="995" t="s">
        <v>514</v>
      </c>
    </row>
    <row r="102" spans="1:6" ht="12" customHeight="1">
      <c r="A102" s="1011" t="s">
        <v>83</v>
      </c>
      <c r="B102" s="1048" t="s">
        <v>361</v>
      </c>
      <c r="C102" s="1203">
        <v>0</v>
      </c>
      <c r="D102" s="220">
        <f>1316580</f>
        <v>1316580</v>
      </c>
      <c r="E102" s="209">
        <f>1316580</f>
        <v>1316580</v>
      </c>
      <c r="F102" s="995" t="s">
        <v>515</v>
      </c>
    </row>
    <row r="103" spans="1:6" ht="12" customHeight="1">
      <c r="A103" s="1011" t="s">
        <v>84</v>
      </c>
      <c r="B103" s="1048" t="s">
        <v>362</v>
      </c>
      <c r="C103" s="1203"/>
      <c r="D103" s="220">
        <v>0</v>
      </c>
      <c r="E103" s="209">
        <v>0</v>
      </c>
      <c r="F103" s="995" t="s">
        <v>516</v>
      </c>
    </row>
    <row r="104" spans="1:6" ht="19.5" customHeight="1">
      <c r="A104" s="1011" t="s">
        <v>86</v>
      </c>
      <c r="B104" s="1049" t="s">
        <v>363</v>
      </c>
      <c r="C104" s="1203"/>
      <c r="D104" s="220">
        <v>0</v>
      </c>
      <c r="E104" s="209">
        <v>0</v>
      </c>
      <c r="F104" s="995" t="s">
        <v>517</v>
      </c>
    </row>
    <row r="105" spans="1:6" ht="12" customHeight="1">
      <c r="A105" s="1050" t="s">
        <v>118</v>
      </c>
      <c r="B105" s="1051" t="s">
        <v>364</v>
      </c>
      <c r="C105" s="1203"/>
      <c r="D105" s="220">
        <v>0</v>
      </c>
      <c r="E105" s="209">
        <v>0</v>
      </c>
      <c r="F105" s="995" t="s">
        <v>518</v>
      </c>
    </row>
    <row r="106" spans="1:6" ht="12" customHeight="1">
      <c r="A106" s="1011" t="s">
        <v>365</v>
      </c>
      <c r="B106" s="1051" t="s">
        <v>366</v>
      </c>
      <c r="C106" s="1203"/>
      <c r="D106" s="220">
        <v>0</v>
      </c>
      <c r="E106" s="209">
        <v>0</v>
      </c>
      <c r="F106" s="995" t="s">
        <v>519</v>
      </c>
    </row>
    <row r="107" spans="1:6" ht="12" customHeight="1" thickBot="1">
      <c r="A107" s="1052" t="s">
        <v>367</v>
      </c>
      <c r="B107" s="1053" t="s">
        <v>368</v>
      </c>
      <c r="C107" s="1204">
        <v>4250000</v>
      </c>
      <c r="D107" s="1215">
        <v>4250000</v>
      </c>
      <c r="E107" s="1211">
        <v>3544525</v>
      </c>
      <c r="F107" s="995" t="s">
        <v>520</v>
      </c>
    </row>
    <row r="108" spans="1:6" ht="12" customHeight="1" thickBot="1">
      <c r="A108" s="1003" t="s">
        <v>7</v>
      </c>
      <c r="B108" s="1054" t="s">
        <v>1039</v>
      </c>
      <c r="C108" s="1205">
        <f>C109+C111+C113</f>
        <v>56278600</v>
      </c>
      <c r="D108" s="217">
        <f>D109+D111+D113</f>
        <v>114519063</v>
      </c>
      <c r="E108" s="1212">
        <f>E109+E111+E113</f>
        <v>90196937</v>
      </c>
      <c r="F108" s="995" t="s">
        <v>521</v>
      </c>
    </row>
    <row r="109" spans="1:6" ht="12" customHeight="1">
      <c r="A109" s="1008" t="s">
        <v>74</v>
      </c>
      <c r="B109" s="1045" t="s">
        <v>138</v>
      </c>
      <c r="C109" s="1206">
        <f>15359700+600000+385000</f>
        <v>16344700</v>
      </c>
      <c r="D109" s="219">
        <f>34247620+1612095+465000</f>
        <v>36324715</v>
      </c>
      <c r="E109" s="208">
        <f>30545553+877597+403423</f>
        <v>31826573</v>
      </c>
      <c r="F109" s="995" t="s">
        <v>522</v>
      </c>
    </row>
    <row r="110" spans="1:6" ht="12" customHeight="1">
      <c r="A110" s="1008" t="s">
        <v>75</v>
      </c>
      <c r="B110" s="1055" t="s">
        <v>370</v>
      </c>
      <c r="C110" s="1206"/>
      <c r="D110" s="219"/>
      <c r="E110" s="208"/>
      <c r="F110" s="995" t="s">
        <v>523</v>
      </c>
    </row>
    <row r="111" spans="1:6" ht="15.75">
      <c r="A111" s="1008" t="s">
        <v>76</v>
      </c>
      <c r="B111" s="1055" t="s">
        <v>119</v>
      </c>
      <c r="C111" s="1202">
        <v>37033900</v>
      </c>
      <c r="D111" s="218">
        <v>75294348</v>
      </c>
      <c r="E111" s="207">
        <v>58170364</v>
      </c>
      <c r="F111" s="995" t="s">
        <v>524</v>
      </c>
    </row>
    <row r="112" spans="1:6" ht="12" customHeight="1">
      <c r="A112" s="1008" t="s">
        <v>77</v>
      </c>
      <c r="B112" s="1055" t="s">
        <v>371</v>
      </c>
      <c r="C112" s="1207"/>
      <c r="D112" s="218"/>
      <c r="E112" s="207"/>
      <c r="F112" s="995" t="s">
        <v>525</v>
      </c>
    </row>
    <row r="113" spans="1:6" ht="12" customHeight="1">
      <c r="A113" s="1008" t="s">
        <v>78</v>
      </c>
      <c r="B113" s="215" t="s">
        <v>140</v>
      </c>
      <c r="C113" s="1207">
        <v>2900000</v>
      </c>
      <c r="D113" s="218">
        <v>2900000</v>
      </c>
      <c r="E113" s="207">
        <v>200000</v>
      </c>
      <c r="F113" s="1012">
        <f>SUM(F114:F121)</f>
        <v>0</v>
      </c>
    </row>
    <row r="114" spans="1:6" ht="21.75" customHeight="1">
      <c r="A114" s="1008" t="s">
        <v>85</v>
      </c>
      <c r="B114" s="214" t="s">
        <v>372</v>
      </c>
      <c r="C114" s="1207">
        <v>0</v>
      </c>
      <c r="D114" s="218">
        <v>0</v>
      </c>
      <c r="E114" s="207">
        <v>0</v>
      </c>
      <c r="F114" s="995" t="s">
        <v>527</v>
      </c>
    </row>
    <row r="115" spans="1:6" ht="24" customHeight="1">
      <c r="A115" s="1008" t="s">
        <v>87</v>
      </c>
      <c r="B115" s="1056" t="s">
        <v>373</v>
      </c>
      <c r="C115" s="1207">
        <v>0</v>
      </c>
      <c r="D115" s="218">
        <v>0</v>
      </c>
      <c r="E115" s="207">
        <v>0</v>
      </c>
      <c r="F115" s="995" t="s">
        <v>528</v>
      </c>
    </row>
    <row r="116" spans="1:6" ht="18.75" customHeight="1">
      <c r="A116" s="1008" t="s">
        <v>120</v>
      </c>
      <c r="B116" s="1049" t="s">
        <v>360</v>
      </c>
      <c r="C116" s="1207">
        <v>0</v>
      </c>
      <c r="D116" s="218">
        <v>0</v>
      </c>
      <c r="E116" s="207">
        <v>0</v>
      </c>
      <c r="F116" s="995" t="s">
        <v>529</v>
      </c>
    </row>
    <row r="117" spans="1:6" ht="12" customHeight="1">
      <c r="A117" s="1008" t="s">
        <v>121</v>
      </c>
      <c r="B117" s="1049" t="s">
        <v>374</v>
      </c>
      <c r="C117" s="1207">
        <v>0</v>
      </c>
      <c r="D117" s="218">
        <v>0</v>
      </c>
      <c r="E117" s="207">
        <v>0</v>
      </c>
      <c r="F117" s="995" t="s">
        <v>530</v>
      </c>
    </row>
    <row r="118" spans="1:6" ht="12" customHeight="1">
      <c r="A118" s="1008" t="s">
        <v>122</v>
      </c>
      <c r="B118" s="1049" t="s">
        <v>375</v>
      </c>
      <c r="C118" s="1207">
        <v>0</v>
      </c>
      <c r="D118" s="218">
        <v>0</v>
      </c>
      <c r="E118" s="207">
        <v>0</v>
      </c>
      <c r="F118" s="995" t="s">
        <v>531</v>
      </c>
    </row>
    <row r="119" spans="1:6" s="1057" customFormat="1" ht="24" customHeight="1">
      <c r="A119" s="1008" t="s">
        <v>376</v>
      </c>
      <c r="B119" s="1049" t="s">
        <v>363</v>
      </c>
      <c r="C119" s="1207">
        <v>0</v>
      </c>
      <c r="D119" s="218">
        <v>0</v>
      </c>
      <c r="E119" s="207">
        <v>0</v>
      </c>
      <c r="F119" s="995" t="s">
        <v>532</v>
      </c>
    </row>
    <row r="120" spans="1:6" ht="12" customHeight="1">
      <c r="A120" s="1008" t="s">
        <v>377</v>
      </c>
      <c r="B120" s="1049" t="s">
        <v>378</v>
      </c>
      <c r="C120" s="1207">
        <v>0</v>
      </c>
      <c r="D120" s="218">
        <v>0</v>
      </c>
      <c r="E120" s="207">
        <v>0</v>
      </c>
      <c r="F120" s="995" t="s">
        <v>533</v>
      </c>
    </row>
    <row r="121" spans="1:6" ht="12" customHeight="1" thickBot="1">
      <c r="A121" s="1050" t="s">
        <v>379</v>
      </c>
      <c r="B121" s="1049" t="s">
        <v>380</v>
      </c>
      <c r="C121" s="1208">
        <v>2900000</v>
      </c>
      <c r="D121" s="220">
        <v>2900000</v>
      </c>
      <c r="E121" s="209">
        <v>200000</v>
      </c>
      <c r="F121" s="995" t="s">
        <v>534</v>
      </c>
    </row>
    <row r="122" spans="1:6" ht="12" customHeight="1" thickBot="1">
      <c r="A122" s="1003" t="s">
        <v>8</v>
      </c>
      <c r="B122" s="1004" t="s">
        <v>381</v>
      </c>
      <c r="C122" s="1205">
        <f>SUM(C123:C124)</f>
        <v>66063463</v>
      </c>
      <c r="D122" s="217">
        <f>SUM(D123:D124)</f>
        <v>139888288</v>
      </c>
      <c r="E122" s="1212">
        <f>SUM(E123:E124)</f>
        <v>0</v>
      </c>
      <c r="F122" s="995" t="s">
        <v>535</v>
      </c>
    </row>
    <row r="123" spans="1:6" ht="12" customHeight="1">
      <c r="A123" s="1008" t="s">
        <v>57</v>
      </c>
      <c r="B123" s="1058" t="s">
        <v>45</v>
      </c>
      <c r="C123" s="1206">
        <v>66063463</v>
      </c>
      <c r="D123" s="219">
        <v>139888288</v>
      </c>
      <c r="E123" s="208">
        <v>0</v>
      </c>
      <c r="F123" s="995" t="s">
        <v>536</v>
      </c>
    </row>
    <row r="124" spans="1:6" ht="12" customHeight="1" thickBot="1">
      <c r="A124" s="1015" t="s">
        <v>58</v>
      </c>
      <c r="B124" s="1055" t="s">
        <v>46</v>
      </c>
      <c r="C124" s="1203">
        <v>0</v>
      </c>
      <c r="D124" s="220">
        <v>0</v>
      </c>
      <c r="E124" s="209">
        <v>0</v>
      </c>
      <c r="F124" s="995" t="s">
        <v>537</v>
      </c>
    </row>
    <row r="125" spans="1:6" ht="12" customHeight="1" thickBot="1">
      <c r="A125" s="1003" t="s">
        <v>9</v>
      </c>
      <c r="B125" s="1004" t="s">
        <v>382</v>
      </c>
      <c r="C125" s="1205">
        <f>C92+C108+C122</f>
        <v>405224447</v>
      </c>
      <c r="D125" s="217">
        <f>D92+D108+D122</f>
        <v>558712990</v>
      </c>
      <c r="E125" s="1212">
        <f>E92+E108+E122</f>
        <v>356675710</v>
      </c>
      <c r="F125" s="995" t="s">
        <v>538</v>
      </c>
    </row>
    <row r="126" spans="1:6" ht="12" customHeight="1" thickBot="1">
      <c r="A126" s="1003" t="s">
        <v>10</v>
      </c>
      <c r="B126" s="1004" t="s">
        <v>383</v>
      </c>
      <c r="C126" s="1205">
        <f>SUM(C127:C129)</f>
        <v>0</v>
      </c>
      <c r="D126" s="217">
        <f>SUM(D127:D129)</f>
        <v>0</v>
      </c>
      <c r="E126" s="1212">
        <f>SUM(E127:E129)</f>
        <v>0</v>
      </c>
      <c r="F126" s="995" t="s">
        <v>539</v>
      </c>
    </row>
    <row r="127" spans="1:6" ht="12" customHeight="1">
      <c r="A127" s="1008" t="s">
        <v>61</v>
      </c>
      <c r="B127" s="1058" t="s">
        <v>384</v>
      </c>
      <c r="C127" s="1207">
        <v>0</v>
      </c>
      <c r="D127" s="218">
        <v>0</v>
      </c>
      <c r="E127" s="207">
        <v>0</v>
      </c>
      <c r="F127" s="995" t="s">
        <v>540</v>
      </c>
    </row>
    <row r="128" spans="1:6" ht="12" customHeight="1">
      <c r="A128" s="1008" t="s">
        <v>62</v>
      </c>
      <c r="B128" s="1058" t="s">
        <v>385</v>
      </c>
      <c r="C128" s="1207">
        <v>0</v>
      </c>
      <c r="D128" s="218">
        <v>0</v>
      </c>
      <c r="E128" s="207">
        <v>0</v>
      </c>
      <c r="F128" s="995" t="s">
        <v>541</v>
      </c>
    </row>
    <row r="129" spans="1:6" ht="12" customHeight="1" thickBot="1">
      <c r="A129" s="1050" t="s">
        <v>63</v>
      </c>
      <c r="B129" s="1059" t="s">
        <v>386</v>
      </c>
      <c r="C129" s="1207">
        <v>0</v>
      </c>
      <c r="D129" s="218">
        <v>0</v>
      </c>
      <c r="E129" s="207">
        <v>0</v>
      </c>
      <c r="F129" s="995" t="s">
        <v>542</v>
      </c>
    </row>
    <row r="130" spans="1:6" ht="12" customHeight="1" thickBot="1">
      <c r="A130" s="1003" t="s">
        <v>11</v>
      </c>
      <c r="B130" s="1004" t="s">
        <v>387</v>
      </c>
      <c r="C130" s="1205">
        <f>SUM(C131:C134)</f>
        <v>0</v>
      </c>
      <c r="D130" s="217">
        <f>SUM(D131:D134)</f>
        <v>0</v>
      </c>
      <c r="E130" s="1212">
        <f>SUM(E131:E134)</f>
        <v>0</v>
      </c>
      <c r="F130" s="995" t="s">
        <v>543</v>
      </c>
    </row>
    <row r="131" spans="1:6" ht="12" customHeight="1">
      <c r="A131" s="1008" t="s">
        <v>64</v>
      </c>
      <c r="B131" s="1058" t="s">
        <v>388</v>
      </c>
      <c r="C131" s="1207">
        <v>0</v>
      </c>
      <c r="D131" s="218">
        <v>0</v>
      </c>
      <c r="E131" s="207">
        <v>0</v>
      </c>
      <c r="F131" s="995" t="s">
        <v>544</v>
      </c>
    </row>
    <row r="132" spans="1:6" ht="12" customHeight="1">
      <c r="A132" s="1008" t="s">
        <v>65</v>
      </c>
      <c r="B132" s="1058" t="s">
        <v>389</v>
      </c>
      <c r="C132" s="1207">
        <v>0</v>
      </c>
      <c r="D132" s="218">
        <v>0</v>
      </c>
      <c r="E132" s="207">
        <v>0</v>
      </c>
      <c r="F132" s="995" t="s">
        <v>545</v>
      </c>
    </row>
    <row r="133" spans="1:6" ht="12" customHeight="1">
      <c r="A133" s="1008" t="s">
        <v>284</v>
      </c>
      <c r="B133" s="1058" t="s">
        <v>390</v>
      </c>
      <c r="C133" s="1207">
        <v>0</v>
      </c>
      <c r="D133" s="218">
        <v>0</v>
      </c>
      <c r="E133" s="207">
        <v>0</v>
      </c>
      <c r="F133" s="995" t="s">
        <v>546</v>
      </c>
    </row>
    <row r="134" spans="1:6" ht="12" customHeight="1" thickBot="1">
      <c r="A134" s="1050" t="s">
        <v>286</v>
      </c>
      <c r="B134" s="1059" t="s">
        <v>391</v>
      </c>
      <c r="C134" s="1207">
        <v>0</v>
      </c>
      <c r="D134" s="218">
        <v>0</v>
      </c>
      <c r="E134" s="207">
        <v>0</v>
      </c>
      <c r="F134" s="995" t="s">
        <v>547</v>
      </c>
    </row>
    <row r="135" spans="1:6" ht="12" customHeight="1" thickBot="1">
      <c r="A135" s="1003" t="s">
        <v>12</v>
      </c>
      <c r="B135" s="1004" t="s">
        <v>392</v>
      </c>
      <c r="C135" s="1197">
        <f>SUM(C136:C139)</f>
        <v>5119012</v>
      </c>
      <c r="D135" s="1005">
        <f>SUM(D136:D139)</f>
        <v>5119012</v>
      </c>
      <c r="E135" s="1213">
        <f>SUM(E136:E139)</f>
        <v>5119012</v>
      </c>
      <c r="F135" s="995" t="s">
        <v>548</v>
      </c>
    </row>
    <row r="136" spans="1:6" ht="12" customHeight="1">
      <c r="A136" s="1008" t="s">
        <v>66</v>
      </c>
      <c r="B136" s="1058" t="s">
        <v>393</v>
      </c>
      <c r="C136" s="1195">
        <v>0</v>
      </c>
      <c r="D136" s="1012">
        <v>0</v>
      </c>
      <c r="E136" s="1020">
        <v>0</v>
      </c>
      <c r="F136" s="995" t="s">
        <v>549</v>
      </c>
    </row>
    <row r="137" spans="1:6" ht="12" customHeight="1">
      <c r="A137" s="1008" t="s">
        <v>67</v>
      </c>
      <c r="B137" s="1058" t="s">
        <v>394</v>
      </c>
      <c r="C137" s="1195">
        <v>5119012</v>
      </c>
      <c r="D137" s="1012">
        <v>5119012</v>
      </c>
      <c r="E137" s="1020">
        <v>5119012</v>
      </c>
      <c r="F137" s="995" t="s">
        <v>550</v>
      </c>
    </row>
    <row r="138" spans="1:6" ht="12" customHeight="1">
      <c r="A138" s="1008" t="s">
        <v>293</v>
      </c>
      <c r="B138" s="1058" t="s">
        <v>395</v>
      </c>
      <c r="C138" s="1012">
        <v>0</v>
      </c>
      <c r="D138" s="1012">
        <v>0</v>
      </c>
      <c r="E138" s="1020">
        <v>0</v>
      </c>
      <c r="F138" s="995" t="s">
        <v>551</v>
      </c>
    </row>
    <row r="139" spans="1:6" ht="12" customHeight="1" thickBot="1">
      <c r="A139" s="1050" t="s">
        <v>295</v>
      </c>
      <c r="B139" s="1059" t="s">
        <v>396</v>
      </c>
      <c r="C139" s="1012">
        <v>0</v>
      </c>
      <c r="D139" s="1012">
        <v>0</v>
      </c>
      <c r="E139" s="1020">
        <v>0</v>
      </c>
      <c r="F139" s="995" t="s">
        <v>552</v>
      </c>
    </row>
    <row r="140" spans="1:9" ht="15" customHeight="1" thickBot="1">
      <c r="A140" s="1003" t="s">
        <v>13</v>
      </c>
      <c r="B140" s="1004" t="s">
        <v>397</v>
      </c>
      <c r="C140" s="1060">
        <f>SUM(C141:C144)</f>
        <v>0</v>
      </c>
      <c r="D140" s="1060">
        <f>SUM(D141:D144)</f>
        <v>0</v>
      </c>
      <c r="E140" s="1060">
        <f>SUM(E141:E144)</f>
        <v>0</v>
      </c>
      <c r="F140" s="995" t="s">
        <v>553</v>
      </c>
      <c r="G140" s="1061"/>
      <c r="H140" s="1061"/>
      <c r="I140" s="1061"/>
    </row>
    <row r="141" spans="1:6" s="1007" customFormat="1" ht="12.75" customHeight="1">
      <c r="A141" s="1008" t="s">
        <v>113</v>
      </c>
      <c r="B141" s="1058" t="s">
        <v>398</v>
      </c>
      <c r="C141" s="1012">
        <v>0</v>
      </c>
      <c r="D141" s="1012">
        <v>0</v>
      </c>
      <c r="E141" s="1020">
        <v>0</v>
      </c>
      <c r="F141" s="995" t="s">
        <v>554</v>
      </c>
    </row>
    <row r="142" spans="1:6" ht="12.75" customHeight="1">
      <c r="A142" s="1008" t="s">
        <v>114</v>
      </c>
      <c r="B142" s="1058" t="s">
        <v>399</v>
      </c>
      <c r="C142" s="1012">
        <v>0</v>
      </c>
      <c r="D142" s="1012">
        <v>0</v>
      </c>
      <c r="E142" s="1020">
        <v>0</v>
      </c>
      <c r="F142" s="995" t="s">
        <v>555</v>
      </c>
    </row>
    <row r="143" spans="1:6" ht="12.75" customHeight="1">
      <c r="A143" s="1008" t="s">
        <v>139</v>
      </c>
      <c r="B143" s="1058" t="s">
        <v>400</v>
      </c>
      <c r="C143" s="1012">
        <v>0</v>
      </c>
      <c r="D143" s="1012">
        <v>0</v>
      </c>
      <c r="E143" s="1020">
        <v>0</v>
      </c>
      <c r="F143" s="995" t="s">
        <v>556</v>
      </c>
    </row>
    <row r="144" spans="1:6" ht="12.75" customHeight="1" thickBot="1">
      <c r="A144" s="1008" t="s">
        <v>301</v>
      </c>
      <c r="B144" s="1058" t="s">
        <v>401</v>
      </c>
      <c r="C144" s="1012">
        <v>0</v>
      </c>
      <c r="D144" s="1012">
        <v>0</v>
      </c>
      <c r="E144" s="1020">
        <v>0</v>
      </c>
      <c r="F144" s="995" t="s">
        <v>557</v>
      </c>
    </row>
    <row r="145" spans="1:6" ht="16.5" thickBot="1">
      <c r="A145" s="1003" t="s">
        <v>14</v>
      </c>
      <c r="B145" s="1004" t="s">
        <v>402</v>
      </c>
      <c r="C145" s="1062">
        <f>C126+C130+C135+C140</f>
        <v>5119012</v>
      </c>
      <c r="D145" s="1062">
        <f>D126+D130+D135+D140</f>
        <v>5119012</v>
      </c>
      <c r="E145" s="1062">
        <f>E126+E130+E135+E140</f>
        <v>5119012</v>
      </c>
      <c r="F145" s="995" t="s">
        <v>558</v>
      </c>
    </row>
    <row r="146" spans="1:6" ht="16.5" thickBot="1">
      <c r="A146" s="1063" t="s">
        <v>15</v>
      </c>
      <c r="B146" s="216" t="s">
        <v>403</v>
      </c>
      <c r="C146" s="1062">
        <f>C125+C145</f>
        <v>410343459</v>
      </c>
      <c r="D146" s="1062">
        <f>D125+D145</f>
        <v>563832002</v>
      </c>
      <c r="E146" s="1062">
        <f>E125+E145</f>
        <v>361794722</v>
      </c>
      <c r="F146" s="995" t="s">
        <v>559</v>
      </c>
    </row>
    <row r="148" spans="1:5" ht="18.75" customHeight="1">
      <c r="A148" s="1328" t="s">
        <v>404</v>
      </c>
      <c r="B148" s="1328"/>
      <c r="C148" s="1328"/>
      <c r="D148" s="1328"/>
      <c r="E148" s="1328"/>
    </row>
    <row r="149" spans="1:5" ht="13.5" customHeight="1" thickBot="1">
      <c r="A149" s="1064" t="s">
        <v>96</v>
      </c>
      <c r="B149" s="1064"/>
      <c r="C149" s="992"/>
      <c r="E149" s="994" t="s">
        <v>642</v>
      </c>
    </row>
    <row r="150" spans="1:5" ht="21.75" thickBot="1">
      <c r="A150" s="1003">
        <v>1</v>
      </c>
      <c r="B150" s="1054" t="s">
        <v>405</v>
      </c>
      <c r="C150" s="1066">
        <f>+C61-C125</f>
        <v>-133675844</v>
      </c>
      <c r="D150" s="1066">
        <f>+D61-D125</f>
        <v>-137513951</v>
      </c>
      <c r="E150" s="1066">
        <f>+E61-E125</f>
        <v>17783295</v>
      </c>
    </row>
    <row r="151" spans="1:5" ht="21.75" thickBot="1">
      <c r="A151" s="1003" t="s">
        <v>7</v>
      </c>
      <c r="B151" s="1054" t="s">
        <v>406</v>
      </c>
      <c r="C151" s="1066">
        <f>+C84-C145</f>
        <v>133675844</v>
      </c>
      <c r="D151" s="1066">
        <f>+D84-D145</f>
        <v>137513951</v>
      </c>
      <c r="E151" s="1066">
        <f>+E84-E145</f>
        <v>137513951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3" r:id="rId1"/>
  <headerFooter alignWithMargins="0">
    <oddHeader>&amp;C&amp;"Times New Roman CE,Félkövér"&amp;12
Tengelic Község Önkormányzata
2018. ÉVI ZÁRSZÁMADÁSÁNAK PÉNZÜGYI MÉRLEGE&amp;10
&amp;R&amp;"Times New Roman CE,Félkövér dőlt"&amp;11 1. melléklet a 7 /2019. (V.29.) önkormányzati rendelethez</oddHeader>
  </headerFooter>
  <rowBreaks count="2" manualBreakCount="2">
    <brk id="70" max="4" man="1"/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H30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5.375" style="584" customWidth="1"/>
    <col min="2" max="2" width="5.50390625" style="584" customWidth="1"/>
    <col min="3" max="3" width="56.375" style="584" customWidth="1"/>
    <col min="4" max="4" width="16.625" style="584" customWidth="1"/>
    <col min="5" max="6" width="14.625" style="584" customWidth="1"/>
    <col min="7" max="7" width="14.00390625" style="584" customWidth="1"/>
    <col min="8" max="16384" width="9.375" style="584" customWidth="1"/>
  </cols>
  <sheetData>
    <row r="2" ht="12.75">
      <c r="G2" s="284" t="s">
        <v>1133</v>
      </c>
    </row>
    <row r="4" spans="3:6" ht="12.75">
      <c r="C4" s="1421" t="s">
        <v>1104</v>
      </c>
      <c r="D4" s="1390"/>
      <c r="E4" s="1390"/>
      <c r="F4" s="1390"/>
    </row>
    <row r="5" spans="3:6" ht="12.75">
      <c r="C5" s="1390"/>
      <c r="D5" s="1390"/>
      <c r="E5" s="1390"/>
      <c r="F5" s="1390"/>
    </row>
    <row r="7" spans="1:7" s="560" customFormat="1" ht="19.5" customHeight="1">
      <c r="A7" s="559" t="s">
        <v>716</v>
      </c>
      <c r="B7" s="559"/>
      <c r="C7" s="559" t="s">
        <v>716</v>
      </c>
      <c r="D7" s="1415" t="s">
        <v>717</v>
      </c>
      <c r="E7" s="1416"/>
      <c r="F7" s="1416"/>
      <c r="G7" s="1417"/>
    </row>
    <row r="8" spans="1:7" s="560" customFormat="1" ht="19.5" customHeight="1">
      <c r="A8" s="561" t="s">
        <v>718</v>
      </c>
      <c r="B8" s="561" t="s">
        <v>719</v>
      </c>
      <c r="C8" s="561" t="s">
        <v>720</v>
      </c>
      <c r="D8" s="1418"/>
      <c r="E8" s="1419"/>
      <c r="F8" s="1419"/>
      <c r="G8" s="1420"/>
    </row>
    <row r="9" spans="1:7" s="560" customFormat="1" ht="19.5" customHeight="1">
      <c r="A9" s="561" t="s">
        <v>721</v>
      </c>
      <c r="B9" s="561" t="s">
        <v>722</v>
      </c>
      <c r="C9" s="562" t="s">
        <v>723</v>
      </c>
      <c r="D9" s="559" t="s">
        <v>163</v>
      </c>
      <c r="E9" s="559" t="s">
        <v>164</v>
      </c>
      <c r="F9" s="559" t="s">
        <v>162</v>
      </c>
      <c r="G9" s="559" t="s">
        <v>162</v>
      </c>
    </row>
    <row r="10" spans="1:7" s="560" customFormat="1" ht="19.5" customHeight="1">
      <c r="A10" s="561" t="s">
        <v>716</v>
      </c>
      <c r="B10" s="561"/>
      <c r="C10" s="563" t="s">
        <v>724</v>
      </c>
      <c r="D10" s="561" t="s">
        <v>725</v>
      </c>
      <c r="E10" s="561" t="s">
        <v>725</v>
      </c>
      <c r="F10" s="561"/>
      <c r="G10" s="561" t="s">
        <v>726</v>
      </c>
    </row>
    <row r="11" spans="1:7" s="560" customFormat="1" ht="19.5" customHeight="1">
      <c r="A11" s="564" t="s">
        <v>6</v>
      </c>
      <c r="B11" s="564" t="s">
        <v>7</v>
      </c>
      <c r="C11" s="564" t="s">
        <v>8</v>
      </c>
      <c r="D11" s="559" t="s">
        <v>9</v>
      </c>
      <c r="E11" s="559" t="s">
        <v>10</v>
      </c>
      <c r="F11" s="564" t="s">
        <v>11</v>
      </c>
      <c r="G11" s="564" t="s">
        <v>12</v>
      </c>
    </row>
    <row r="12" spans="1:7" s="570" customFormat="1" ht="19.5" customHeight="1">
      <c r="A12" s="565" t="s">
        <v>222</v>
      </c>
      <c r="B12" s="565"/>
      <c r="C12" s="566" t="s">
        <v>586</v>
      </c>
      <c r="D12" s="567">
        <v>17</v>
      </c>
      <c r="E12" s="568">
        <v>17</v>
      </c>
      <c r="F12" s="569">
        <v>17</v>
      </c>
      <c r="G12" s="1156">
        <v>100</v>
      </c>
    </row>
    <row r="13" spans="1:7" s="570" customFormat="1" ht="19.5" customHeight="1">
      <c r="A13" s="565" t="s">
        <v>223</v>
      </c>
      <c r="B13" s="565"/>
      <c r="C13" s="566" t="s">
        <v>1121</v>
      </c>
      <c r="D13" s="572">
        <v>7</v>
      </c>
      <c r="E13" s="573">
        <v>7</v>
      </c>
      <c r="F13" s="574">
        <v>7</v>
      </c>
      <c r="G13" s="1157">
        <v>100</v>
      </c>
    </row>
    <row r="14" spans="1:7" s="575" customFormat="1" ht="19.5" customHeight="1">
      <c r="A14" s="565" t="s">
        <v>224</v>
      </c>
      <c r="B14" s="565"/>
      <c r="C14" s="566" t="s">
        <v>1120</v>
      </c>
      <c r="D14" s="572">
        <v>6</v>
      </c>
      <c r="E14" s="573">
        <v>6</v>
      </c>
      <c r="F14" s="574">
        <v>6</v>
      </c>
      <c r="G14" s="1157">
        <v>100</v>
      </c>
    </row>
    <row r="15" spans="1:7" s="570" customFormat="1" ht="19.5" customHeight="1">
      <c r="A15" s="565" t="s">
        <v>225</v>
      </c>
      <c r="B15" s="571"/>
      <c r="C15" s="566" t="s">
        <v>585</v>
      </c>
      <c r="D15" s="572">
        <v>15</v>
      </c>
      <c r="E15" s="573">
        <v>15</v>
      </c>
      <c r="F15" s="574">
        <v>15</v>
      </c>
      <c r="G15" s="1157">
        <v>100</v>
      </c>
    </row>
    <row r="16" spans="1:7" s="575" customFormat="1" ht="19.5" customHeight="1">
      <c r="A16" s="565" t="s">
        <v>226</v>
      </c>
      <c r="B16" s="565"/>
      <c r="C16" s="566" t="s">
        <v>587</v>
      </c>
      <c r="D16" s="572">
        <v>9</v>
      </c>
      <c r="E16" s="573">
        <v>9</v>
      </c>
      <c r="F16" s="574">
        <v>9</v>
      </c>
      <c r="G16" s="1157">
        <v>100</v>
      </c>
    </row>
    <row r="17" spans="1:7" s="575" customFormat="1" ht="19.5" customHeight="1">
      <c r="A17" s="565" t="s">
        <v>227</v>
      </c>
      <c r="B17" s="565"/>
      <c r="C17" s="566"/>
      <c r="D17" s="572"/>
      <c r="E17" s="573"/>
      <c r="F17" s="574"/>
      <c r="G17" s="1157"/>
    </row>
    <row r="18" spans="1:7" s="575" customFormat="1" ht="19.5" customHeight="1">
      <c r="A18" s="565" t="s">
        <v>228</v>
      </c>
      <c r="B18" s="565"/>
      <c r="C18" s="566"/>
      <c r="D18" s="572"/>
      <c r="E18" s="573"/>
      <c r="F18" s="574"/>
      <c r="G18" s="1157"/>
    </row>
    <row r="19" spans="1:7" s="575" customFormat="1" ht="19.5" customHeight="1" hidden="1">
      <c r="A19" s="565" t="s">
        <v>227</v>
      </c>
      <c r="B19" s="565"/>
      <c r="C19" s="566"/>
      <c r="D19" s="572"/>
      <c r="E19" s="573"/>
      <c r="F19" s="574"/>
      <c r="G19" s="1157"/>
    </row>
    <row r="20" spans="1:7" s="575" customFormat="1" ht="19.5" customHeight="1" hidden="1">
      <c r="A20" s="565" t="s">
        <v>228</v>
      </c>
      <c r="B20" s="565"/>
      <c r="C20" s="566"/>
      <c r="D20" s="572"/>
      <c r="E20" s="573"/>
      <c r="F20" s="574"/>
      <c r="G20" s="1157"/>
    </row>
    <row r="21" spans="1:7" s="575" customFormat="1" ht="19.5" customHeight="1" hidden="1">
      <c r="A21" s="565" t="s">
        <v>229</v>
      </c>
      <c r="B21" s="565"/>
      <c r="C21" s="566"/>
      <c r="D21" s="572"/>
      <c r="E21" s="573"/>
      <c r="F21" s="574"/>
      <c r="G21" s="1157"/>
    </row>
    <row r="22" spans="1:7" s="575" customFormat="1" ht="19.5" customHeight="1" hidden="1">
      <c r="A22" s="565" t="s">
        <v>230</v>
      </c>
      <c r="B22" s="565"/>
      <c r="C22" s="566"/>
      <c r="D22" s="572"/>
      <c r="E22" s="573"/>
      <c r="F22" s="574"/>
      <c r="G22" s="1157"/>
    </row>
    <row r="23" spans="1:7" s="575" customFormat="1" ht="19.5" customHeight="1" hidden="1">
      <c r="A23" s="565" t="s">
        <v>15</v>
      </c>
      <c r="B23" s="565"/>
      <c r="C23" s="566"/>
      <c r="D23" s="572"/>
      <c r="E23" s="573"/>
      <c r="F23" s="574"/>
      <c r="G23" s="1157"/>
    </row>
    <row r="24" spans="1:7" s="575" customFormat="1" ht="19.5" customHeight="1" hidden="1">
      <c r="A24" s="565" t="s">
        <v>16</v>
      </c>
      <c r="B24" s="565"/>
      <c r="C24" s="566"/>
      <c r="D24" s="572"/>
      <c r="E24" s="573"/>
      <c r="F24" s="574"/>
      <c r="G24" s="1157"/>
    </row>
    <row r="25" spans="1:7" s="570" customFormat="1" ht="19.5" customHeight="1" hidden="1">
      <c r="A25" s="565" t="s">
        <v>17</v>
      </c>
      <c r="B25" s="565"/>
      <c r="C25" s="566"/>
      <c r="D25" s="572"/>
      <c r="E25" s="573"/>
      <c r="F25" s="574"/>
      <c r="G25" s="1157"/>
    </row>
    <row r="26" spans="1:8" s="570" customFormat="1" ht="19.5" customHeight="1" hidden="1">
      <c r="A26" s="565" t="s">
        <v>18</v>
      </c>
      <c r="B26" s="565"/>
      <c r="C26" s="566"/>
      <c r="D26" s="576"/>
      <c r="E26" s="577"/>
      <c r="F26" s="574"/>
      <c r="G26" s="1158"/>
      <c r="H26" s="1159"/>
    </row>
    <row r="27" spans="1:8" s="570" customFormat="1" ht="19.5" customHeight="1">
      <c r="A27" s="578"/>
      <c r="B27" s="578"/>
      <c r="C27" s="579"/>
      <c r="D27" s="578"/>
      <c r="E27" s="578"/>
      <c r="F27" s="578"/>
      <c r="G27" s="580"/>
      <c r="H27" s="572"/>
    </row>
    <row r="28" spans="1:8" ht="12.75" customHeight="1" hidden="1">
      <c r="A28" s="581"/>
      <c r="B28" s="581"/>
      <c r="C28" s="581"/>
      <c r="D28" s="582" t="e">
        <v>#REF!</v>
      </c>
      <c r="E28" s="583" t="e">
        <v>#REF!</v>
      </c>
      <c r="G28" s="585" t="e">
        <v>#REF!</v>
      </c>
      <c r="H28" s="679"/>
    </row>
    <row r="29" ht="12.75">
      <c r="H29" s="679"/>
    </row>
    <row r="30" ht="12.75">
      <c r="H30" s="679"/>
    </row>
  </sheetData>
  <sheetProtection/>
  <protectedRanges>
    <protectedRange sqref="A22:C26 A21:B21 A12:C20" name="Tartom?ny1_2_1_1"/>
    <protectedRange sqref="C21" name="Tartom?ny1_2_1_1_1"/>
  </protectedRanges>
  <mergeCells count="2">
    <mergeCell ref="D7:G8"/>
    <mergeCell ref="C4:F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5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40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6.625" style="8" customWidth="1"/>
    <col min="2" max="2" width="39.50390625" style="8" customWidth="1"/>
    <col min="3" max="3" width="20.875" style="8" customWidth="1"/>
    <col min="4" max="4" width="12.875" style="8" hidden="1" customWidth="1"/>
    <col min="5" max="5" width="14.50390625" style="8" customWidth="1"/>
    <col min="6" max="16384" width="9.375" style="8" customWidth="1"/>
  </cols>
  <sheetData>
    <row r="1" ht="12.75">
      <c r="E1" s="284" t="s">
        <v>1134</v>
      </c>
    </row>
    <row r="2" ht="12.75">
      <c r="E2" s="284"/>
    </row>
    <row r="3" spans="2:5" ht="12.75">
      <c r="B3" s="1421" t="s">
        <v>1105</v>
      </c>
      <c r="C3" s="1390"/>
      <c r="D3" s="1390"/>
      <c r="E3" s="1390"/>
    </row>
    <row r="4" spans="2:5" ht="12.75">
      <c r="B4" s="1390"/>
      <c r="C4" s="1390"/>
      <c r="D4" s="1390"/>
      <c r="E4" s="1390"/>
    </row>
    <row r="6" spans="3:5" ht="14.25" thickBot="1">
      <c r="C6" s="142"/>
      <c r="D6" s="142"/>
      <c r="E6" s="142" t="s">
        <v>646</v>
      </c>
    </row>
    <row r="7" spans="1:5" ht="42.75" customHeight="1" thickBot="1">
      <c r="A7" s="143" t="s">
        <v>56</v>
      </c>
      <c r="B7" s="144" t="s">
        <v>215</v>
      </c>
      <c r="C7" s="144" t="s">
        <v>216</v>
      </c>
      <c r="D7" s="145" t="s">
        <v>217</v>
      </c>
      <c r="E7" s="146" t="s">
        <v>218</v>
      </c>
    </row>
    <row r="8" spans="1:5" ht="27" customHeight="1">
      <c r="A8" s="147" t="s">
        <v>6</v>
      </c>
      <c r="B8" s="1160" t="s">
        <v>1066</v>
      </c>
      <c r="C8" s="334" t="s">
        <v>588</v>
      </c>
      <c r="D8" s="383"/>
      <c r="E8" s="1163">
        <v>100000</v>
      </c>
    </row>
    <row r="9" spans="1:5" ht="15.75" customHeight="1">
      <c r="A9" s="148" t="s">
        <v>7</v>
      </c>
      <c r="B9" s="335" t="s">
        <v>589</v>
      </c>
      <c r="C9" s="335" t="s">
        <v>588</v>
      </c>
      <c r="D9" s="384"/>
      <c r="E9" s="1161">
        <v>1200000</v>
      </c>
    </row>
    <row r="10" spans="1:5" ht="15.75" customHeight="1">
      <c r="A10" s="148" t="s">
        <v>8</v>
      </c>
      <c r="B10" s="335" t="s">
        <v>590</v>
      </c>
      <c r="C10" s="335" t="s">
        <v>588</v>
      </c>
      <c r="D10" s="384"/>
      <c r="E10" s="1162">
        <v>400000</v>
      </c>
    </row>
    <row r="11" spans="1:5" ht="15.75" customHeight="1">
      <c r="A11" s="148" t="s">
        <v>9</v>
      </c>
      <c r="B11" s="335" t="s">
        <v>591</v>
      </c>
      <c r="C11" s="335" t="s">
        <v>588</v>
      </c>
      <c r="D11" s="384"/>
      <c r="E11" s="1162">
        <v>170000</v>
      </c>
    </row>
    <row r="12" spans="1:5" ht="15.75" customHeight="1">
      <c r="A12" s="148" t="s">
        <v>10</v>
      </c>
      <c r="B12" s="335" t="s">
        <v>592</v>
      </c>
      <c r="C12" s="335" t="s">
        <v>588</v>
      </c>
      <c r="D12" s="384"/>
      <c r="E12" s="1162">
        <v>100000</v>
      </c>
    </row>
    <row r="13" spans="1:5" ht="15.75" customHeight="1">
      <c r="A13" s="148" t="s">
        <v>11</v>
      </c>
      <c r="B13" s="335" t="s">
        <v>593</v>
      </c>
      <c r="C13" s="335" t="s">
        <v>588</v>
      </c>
      <c r="D13" s="384"/>
      <c r="E13" s="1162">
        <v>550000</v>
      </c>
    </row>
    <row r="14" spans="1:5" ht="15.75" customHeight="1">
      <c r="A14" s="148" t="s">
        <v>12</v>
      </c>
      <c r="B14" s="149" t="s">
        <v>649</v>
      </c>
      <c r="C14" s="335" t="s">
        <v>588</v>
      </c>
      <c r="D14" s="384"/>
      <c r="E14" s="1162">
        <v>100000</v>
      </c>
    </row>
    <row r="15" spans="1:5" ht="15.75" customHeight="1">
      <c r="A15" s="148" t="s">
        <v>13</v>
      </c>
      <c r="B15" s="335" t="s">
        <v>594</v>
      </c>
      <c r="C15" s="335" t="s">
        <v>588</v>
      </c>
      <c r="D15" s="384"/>
      <c r="E15" s="1162">
        <v>90000</v>
      </c>
    </row>
    <row r="16" spans="1:5" ht="15.75" customHeight="1">
      <c r="A16" s="148" t="s">
        <v>14</v>
      </c>
      <c r="B16" s="335" t="s">
        <v>595</v>
      </c>
      <c r="C16" s="335" t="s">
        <v>588</v>
      </c>
      <c r="D16" s="384"/>
      <c r="E16" s="1162">
        <v>340000</v>
      </c>
    </row>
    <row r="17" spans="1:5" ht="15.75" customHeight="1">
      <c r="A17" s="148" t="s">
        <v>15</v>
      </c>
      <c r="B17" s="335" t="s">
        <v>596</v>
      </c>
      <c r="C17" s="335" t="s">
        <v>588</v>
      </c>
      <c r="D17" s="384"/>
      <c r="E17" s="1162">
        <v>400000</v>
      </c>
    </row>
    <row r="18" spans="1:5" ht="15.75" customHeight="1">
      <c r="A18" s="148" t="s">
        <v>16</v>
      </c>
      <c r="B18" s="149" t="s">
        <v>655</v>
      </c>
      <c r="C18" s="335" t="s">
        <v>588</v>
      </c>
      <c r="D18" s="384"/>
      <c r="E18" s="1162">
        <v>54525</v>
      </c>
    </row>
    <row r="19" spans="1:5" ht="15.75" customHeight="1">
      <c r="A19" s="148" t="s">
        <v>17</v>
      </c>
      <c r="B19" s="149" t="s">
        <v>1067</v>
      </c>
      <c r="C19" s="149" t="s">
        <v>588</v>
      </c>
      <c r="D19" s="150"/>
      <c r="E19" s="1162">
        <v>40000</v>
      </c>
    </row>
    <row r="20" spans="1:5" ht="15.75" customHeight="1">
      <c r="A20" s="148" t="s">
        <v>18</v>
      </c>
      <c r="B20" s="149" t="s">
        <v>1068</v>
      </c>
      <c r="C20" s="149" t="s">
        <v>588</v>
      </c>
      <c r="D20" s="150"/>
      <c r="E20" s="151">
        <v>268777</v>
      </c>
    </row>
    <row r="21" spans="1:5" ht="15.75" customHeight="1">
      <c r="A21" s="148" t="s">
        <v>19</v>
      </c>
      <c r="B21" s="149" t="s">
        <v>1069</v>
      </c>
      <c r="C21" s="149" t="s">
        <v>588</v>
      </c>
      <c r="D21" s="150"/>
      <c r="E21" s="151">
        <v>1047803</v>
      </c>
    </row>
    <row r="22" spans="1:5" ht="15.75" customHeight="1">
      <c r="A22" s="148" t="s">
        <v>20</v>
      </c>
      <c r="B22" s="149"/>
      <c r="C22" s="149"/>
      <c r="D22" s="150"/>
      <c r="E22" s="151"/>
    </row>
    <row r="23" spans="1:5" ht="15.75" customHeight="1">
      <c r="A23" s="148" t="s">
        <v>21</v>
      </c>
      <c r="B23" s="149"/>
      <c r="C23" s="149"/>
      <c r="D23" s="150"/>
      <c r="E23" s="151"/>
    </row>
    <row r="24" spans="1:5" ht="15.75" customHeight="1">
      <c r="A24" s="148" t="s">
        <v>22</v>
      </c>
      <c r="B24" s="149"/>
      <c r="C24" s="149"/>
      <c r="D24" s="150"/>
      <c r="E24" s="151"/>
    </row>
    <row r="25" spans="1:5" ht="15.75" customHeight="1">
      <c r="A25" s="148" t="s">
        <v>23</v>
      </c>
      <c r="B25" s="149"/>
      <c r="C25" s="149"/>
      <c r="D25" s="150"/>
      <c r="E25" s="151"/>
    </row>
    <row r="26" spans="1:5" ht="15.75" customHeight="1" hidden="1">
      <c r="A26" s="148" t="s">
        <v>24</v>
      </c>
      <c r="B26" s="149"/>
      <c r="C26" s="149"/>
      <c r="D26" s="150"/>
      <c r="E26" s="151"/>
    </row>
    <row r="27" spans="1:5" ht="15.75" customHeight="1" hidden="1">
      <c r="A27" s="148" t="s">
        <v>25</v>
      </c>
      <c r="B27" s="149"/>
      <c r="C27" s="149"/>
      <c r="D27" s="150"/>
      <c r="E27" s="151"/>
    </row>
    <row r="28" spans="1:5" ht="15.75" customHeight="1" hidden="1">
      <c r="A28" s="148" t="s">
        <v>26</v>
      </c>
      <c r="B28" s="149"/>
      <c r="C28" s="149"/>
      <c r="D28" s="150"/>
      <c r="E28" s="151"/>
    </row>
    <row r="29" spans="1:5" ht="15.75" customHeight="1" hidden="1">
      <c r="A29" s="148" t="s">
        <v>27</v>
      </c>
      <c r="B29" s="149"/>
      <c r="C29" s="149"/>
      <c r="D29" s="150"/>
      <c r="E29" s="151"/>
    </row>
    <row r="30" spans="1:5" ht="15.75" customHeight="1" hidden="1">
      <c r="A30" s="148" t="s">
        <v>28</v>
      </c>
      <c r="B30" s="149"/>
      <c r="C30" s="149"/>
      <c r="D30" s="150"/>
      <c r="E30" s="151"/>
    </row>
    <row r="31" spans="1:5" ht="15.75" customHeight="1" hidden="1">
      <c r="A31" s="148" t="s">
        <v>29</v>
      </c>
      <c r="B31" s="149"/>
      <c r="C31" s="149"/>
      <c r="D31" s="150"/>
      <c r="E31" s="151"/>
    </row>
    <row r="32" spans="1:5" ht="15.75" customHeight="1" hidden="1">
      <c r="A32" s="148" t="s">
        <v>30</v>
      </c>
      <c r="B32" s="149"/>
      <c r="C32" s="149"/>
      <c r="D32" s="150"/>
      <c r="E32" s="151"/>
    </row>
    <row r="33" spans="1:5" ht="15.75" customHeight="1" hidden="1">
      <c r="A33" s="148" t="s">
        <v>31</v>
      </c>
      <c r="B33" s="149"/>
      <c r="C33" s="149"/>
      <c r="D33" s="150"/>
      <c r="E33" s="151"/>
    </row>
    <row r="34" spans="1:5" ht="15.75" customHeight="1" hidden="1">
      <c r="A34" s="148" t="s">
        <v>32</v>
      </c>
      <c r="B34" s="149"/>
      <c r="C34" s="149"/>
      <c r="D34" s="150"/>
      <c r="E34" s="151"/>
    </row>
    <row r="35" spans="1:5" ht="15.75" customHeight="1" hidden="1">
      <c r="A35" s="148" t="s">
        <v>33</v>
      </c>
      <c r="B35" s="149"/>
      <c r="C35" s="149"/>
      <c r="D35" s="150"/>
      <c r="E35" s="151"/>
    </row>
    <row r="36" spans="1:5" ht="15.75" customHeight="1" hidden="1">
      <c r="A36" s="148" t="s">
        <v>34</v>
      </c>
      <c r="B36" s="149"/>
      <c r="C36" s="149"/>
      <c r="D36" s="150"/>
      <c r="E36" s="151"/>
    </row>
    <row r="37" spans="1:5" ht="15.75" customHeight="1" hidden="1">
      <c r="A37" s="148" t="s">
        <v>88</v>
      </c>
      <c r="B37" s="149"/>
      <c r="C37" s="149"/>
      <c r="D37" s="150"/>
      <c r="E37" s="151"/>
    </row>
    <row r="38" spans="1:5" ht="15.75" customHeight="1" hidden="1">
      <c r="A38" s="148" t="s">
        <v>165</v>
      </c>
      <c r="B38" s="149"/>
      <c r="C38" s="149"/>
      <c r="D38" s="150"/>
      <c r="E38" s="151"/>
    </row>
    <row r="39" spans="1:5" ht="15.75" customHeight="1" thickBot="1">
      <c r="A39" s="148" t="s">
        <v>219</v>
      </c>
      <c r="B39" s="152"/>
      <c r="C39" s="152"/>
      <c r="D39" s="153"/>
      <c r="E39" s="154"/>
    </row>
    <row r="40" spans="1:5" ht="15.75" customHeight="1" thickBot="1">
      <c r="A40" s="1422" t="s">
        <v>39</v>
      </c>
      <c r="B40" s="1423"/>
      <c r="C40" s="155"/>
      <c r="D40" s="156">
        <f>SUM(D8:D39)</f>
        <v>0</v>
      </c>
      <c r="E40" s="157">
        <f>SUM(E8:E39)</f>
        <v>4861105</v>
      </c>
    </row>
  </sheetData>
  <sheetProtection/>
  <mergeCells count="2">
    <mergeCell ref="A40:B40"/>
    <mergeCell ref="B3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BH175"/>
  <sheetViews>
    <sheetView zoomScalePageLayoutView="0" workbookViewId="0" topLeftCell="A1">
      <selection activeCell="G3" sqref="G3"/>
    </sheetView>
  </sheetViews>
  <sheetFormatPr defaultColWidth="10.50390625" defaultRowHeight="12.75"/>
  <cols>
    <col min="1" max="1" width="5.50390625" style="651" customWidth="1"/>
    <col min="2" max="2" width="7.125" style="0" customWidth="1"/>
    <col min="3" max="3" width="70.625" style="0" customWidth="1"/>
    <col min="4" max="4" width="13.625" style="652" customWidth="1"/>
    <col min="5" max="5" width="15.00390625" style="652" customWidth="1"/>
    <col min="6" max="6" width="12.625" style="652" customWidth="1"/>
    <col min="7" max="7" width="10.875" style="652" customWidth="1"/>
    <col min="8" max="13" width="0" style="0" hidden="1" customWidth="1"/>
  </cols>
  <sheetData>
    <row r="2" ht="12.75">
      <c r="G2" s="284" t="s">
        <v>1135</v>
      </c>
    </row>
    <row r="3" ht="12.75">
      <c r="G3" s="284"/>
    </row>
    <row r="4" spans="3:7" ht="12.75">
      <c r="C4" s="1390" t="s">
        <v>729</v>
      </c>
      <c r="D4" s="1390"/>
      <c r="E4" s="1390"/>
      <c r="F4" s="1390"/>
      <c r="G4" s="284"/>
    </row>
    <row r="5" spans="3:7" ht="12.75">
      <c r="C5" s="1390"/>
      <c r="D5" s="1390"/>
      <c r="E5" s="1390"/>
      <c r="F5" s="1390"/>
      <c r="G5" s="284"/>
    </row>
    <row r="8" spans="1:14" ht="18" customHeight="1">
      <c r="A8" s="586" t="s">
        <v>716</v>
      </c>
      <c r="B8" s="587" t="s">
        <v>716</v>
      </c>
      <c r="C8" s="587" t="s">
        <v>716</v>
      </c>
      <c r="D8" s="1426" t="s">
        <v>727</v>
      </c>
      <c r="E8" s="1426"/>
      <c r="F8" s="1426"/>
      <c r="G8" s="1426"/>
      <c r="H8" s="1427" t="s">
        <v>728</v>
      </c>
      <c r="I8" s="1427"/>
      <c r="J8" s="1427"/>
      <c r="K8" s="1427"/>
      <c r="L8" s="1427"/>
      <c r="M8" s="1427"/>
      <c r="N8" s="588"/>
    </row>
    <row r="9" spans="1:14" ht="18" customHeight="1">
      <c r="A9" s="589" t="s">
        <v>718</v>
      </c>
      <c r="B9" s="590" t="s">
        <v>719</v>
      </c>
      <c r="C9" s="590" t="s">
        <v>729</v>
      </c>
      <c r="D9" s="1428"/>
      <c r="E9" s="1428"/>
      <c r="F9" s="1428"/>
      <c r="G9" s="1428"/>
      <c r="H9" s="591" t="s">
        <v>716</v>
      </c>
      <c r="I9" s="592"/>
      <c r="J9" s="592"/>
      <c r="K9" s="592" t="s">
        <v>716</v>
      </c>
      <c r="L9" s="592"/>
      <c r="M9" s="593"/>
      <c r="N9" s="588"/>
    </row>
    <row r="10" spans="1:14" ht="18" customHeight="1">
      <c r="A10" s="589" t="s">
        <v>721</v>
      </c>
      <c r="B10" s="590" t="s">
        <v>722</v>
      </c>
      <c r="C10" s="594"/>
      <c r="D10" s="1426"/>
      <c r="E10" s="1426"/>
      <c r="F10" s="1426"/>
      <c r="G10" s="1426"/>
      <c r="H10" s="1429" t="s">
        <v>730</v>
      </c>
      <c r="I10" s="1429"/>
      <c r="J10" s="1429"/>
      <c r="K10" s="1429" t="s">
        <v>731</v>
      </c>
      <c r="L10" s="1429"/>
      <c r="M10" s="1429"/>
      <c r="N10" s="588"/>
    </row>
    <row r="11" spans="1:14" ht="18" customHeight="1">
      <c r="A11" s="589" t="s">
        <v>716</v>
      </c>
      <c r="B11" s="590" t="s">
        <v>721</v>
      </c>
      <c r="C11" s="590"/>
      <c r="D11" s="595" t="s">
        <v>163</v>
      </c>
      <c r="E11" s="595" t="s">
        <v>732</v>
      </c>
      <c r="F11" s="595" t="s">
        <v>162</v>
      </c>
      <c r="G11" s="595" t="s">
        <v>733</v>
      </c>
      <c r="H11" s="596" t="s">
        <v>734</v>
      </c>
      <c r="I11" s="596" t="s">
        <v>735</v>
      </c>
      <c r="J11" s="596" t="s">
        <v>736</v>
      </c>
      <c r="K11" s="596" t="s">
        <v>734</v>
      </c>
      <c r="L11" s="596" t="s">
        <v>735</v>
      </c>
      <c r="M11" s="596" t="s">
        <v>736</v>
      </c>
      <c r="N11" s="588"/>
    </row>
    <row r="12" spans="1:14" ht="18" customHeight="1">
      <c r="A12" s="597"/>
      <c r="B12" s="598"/>
      <c r="C12" s="599"/>
      <c r="D12" s="600" t="s">
        <v>737</v>
      </c>
      <c r="E12" s="600" t="s">
        <v>737</v>
      </c>
      <c r="F12" s="589" t="s">
        <v>738</v>
      </c>
      <c r="G12" s="600" t="s">
        <v>726</v>
      </c>
      <c r="H12" s="601" t="s">
        <v>739</v>
      </c>
      <c r="I12" s="601" t="s">
        <v>739</v>
      </c>
      <c r="J12" s="601" t="s">
        <v>740</v>
      </c>
      <c r="K12" s="601" t="s">
        <v>739</v>
      </c>
      <c r="L12" s="601" t="s">
        <v>739</v>
      </c>
      <c r="M12" s="601" t="s">
        <v>740</v>
      </c>
      <c r="N12" s="588"/>
    </row>
    <row r="13" spans="1:14" ht="18" customHeight="1">
      <c r="A13" s="1430" t="s">
        <v>741</v>
      </c>
      <c r="B13" s="1430"/>
      <c r="C13" s="1430"/>
      <c r="D13" s="602"/>
      <c r="E13" s="602"/>
      <c r="F13" s="602"/>
      <c r="G13" s="602"/>
      <c r="H13" s="603"/>
      <c r="I13" s="603"/>
      <c r="J13" s="603"/>
      <c r="K13" s="603"/>
      <c r="L13" s="603"/>
      <c r="M13" s="603"/>
      <c r="N13" s="588"/>
    </row>
    <row r="14" spans="1:60" ht="18" customHeight="1">
      <c r="A14" s="1226"/>
      <c r="B14" s="641" t="s">
        <v>1072</v>
      </c>
      <c r="C14" s="605" t="s">
        <v>1075</v>
      </c>
      <c r="D14" s="606">
        <v>2000000</v>
      </c>
      <c r="E14" s="607">
        <v>2000000</v>
      </c>
      <c r="F14" s="608">
        <v>1548782</v>
      </c>
      <c r="G14" s="609">
        <v>77.4</v>
      </c>
      <c r="H14" s="610"/>
      <c r="I14" s="611">
        <v>0</v>
      </c>
      <c r="J14" s="611">
        <v>0</v>
      </c>
      <c r="K14" s="611">
        <v>250000</v>
      </c>
      <c r="L14" s="611">
        <v>250000</v>
      </c>
      <c r="M14" s="611">
        <v>0</v>
      </c>
      <c r="N14" s="612"/>
      <c r="O14" s="613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A14" s="614"/>
      <c r="AB14" s="614"/>
      <c r="AC14" s="614"/>
      <c r="AD14" s="614"/>
      <c r="AE14" s="614"/>
      <c r="AF14" s="614"/>
      <c r="AG14" s="614"/>
      <c r="AH14" s="614"/>
      <c r="AI14" s="614"/>
      <c r="AJ14" s="614"/>
      <c r="AK14" s="614"/>
      <c r="AL14" s="614"/>
      <c r="AM14" s="614"/>
      <c r="AN14" s="614"/>
      <c r="AO14" s="614"/>
      <c r="AP14" s="614"/>
      <c r="AQ14" s="614"/>
      <c r="AR14" s="614"/>
      <c r="AS14" s="614"/>
      <c r="AT14" s="614"/>
      <c r="AU14" s="614"/>
      <c r="AV14" s="614"/>
      <c r="AW14" s="614"/>
      <c r="AX14" s="614"/>
      <c r="AY14" s="614"/>
      <c r="AZ14" s="614"/>
      <c r="BA14" s="614"/>
      <c r="BB14" s="614"/>
      <c r="BC14" s="614"/>
      <c r="BD14" s="614"/>
      <c r="BE14" s="614"/>
      <c r="BF14" s="614"/>
      <c r="BG14" s="614"/>
      <c r="BH14" s="614"/>
    </row>
    <row r="15" spans="1:60" ht="18" customHeight="1">
      <c r="A15" s="615"/>
      <c r="B15" s="641" t="s">
        <v>1071</v>
      </c>
      <c r="C15" s="605" t="s">
        <v>1076</v>
      </c>
      <c r="D15" s="607">
        <v>60000</v>
      </c>
      <c r="E15" s="607">
        <v>60000</v>
      </c>
      <c r="F15" s="608">
        <v>0</v>
      </c>
      <c r="G15" s="609">
        <v>0</v>
      </c>
      <c r="H15" s="616"/>
      <c r="I15" s="611"/>
      <c r="J15" s="611"/>
      <c r="K15" s="611"/>
      <c r="L15" s="611"/>
      <c r="M15" s="611"/>
      <c r="N15" s="612"/>
      <c r="O15" s="613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F15" s="614"/>
      <c r="AG15" s="614"/>
      <c r="AH15" s="614"/>
      <c r="AI15" s="614"/>
      <c r="AJ15" s="614"/>
      <c r="AK15" s="614"/>
      <c r="AL15" s="614"/>
      <c r="AM15" s="614"/>
      <c r="AN15" s="614"/>
      <c r="AO15" s="614"/>
      <c r="AP15" s="614"/>
      <c r="AQ15" s="614"/>
      <c r="AR15" s="614"/>
      <c r="AS15" s="614"/>
      <c r="AT15" s="614"/>
      <c r="AU15" s="614"/>
      <c r="AV15" s="614"/>
      <c r="AW15" s="614"/>
      <c r="AX15" s="614"/>
      <c r="AY15" s="614"/>
      <c r="AZ15" s="614"/>
      <c r="BA15" s="614"/>
      <c r="BB15" s="614"/>
      <c r="BC15" s="614"/>
      <c r="BD15" s="614"/>
      <c r="BE15" s="614"/>
      <c r="BF15" s="614"/>
      <c r="BG15" s="614"/>
      <c r="BH15" s="614"/>
    </row>
    <row r="16" spans="1:60" ht="24" customHeight="1">
      <c r="A16" s="615"/>
      <c r="B16" s="641" t="s">
        <v>1070</v>
      </c>
      <c r="C16" s="605" t="s">
        <v>744</v>
      </c>
      <c r="D16" s="607">
        <v>4000000</v>
      </c>
      <c r="E16" s="607">
        <v>4000000</v>
      </c>
      <c r="F16" s="608">
        <v>1887500</v>
      </c>
      <c r="G16" s="609">
        <v>47.18</v>
      </c>
      <c r="H16" s="616"/>
      <c r="I16" s="611"/>
      <c r="J16" s="611"/>
      <c r="K16" s="611"/>
      <c r="L16" s="611"/>
      <c r="M16" s="611"/>
      <c r="N16" s="612"/>
      <c r="O16" s="613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  <c r="AH16" s="614"/>
      <c r="AI16" s="614"/>
      <c r="AJ16" s="614"/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614"/>
      <c r="AV16" s="614"/>
      <c r="AW16" s="614"/>
      <c r="AX16" s="614"/>
      <c r="AY16" s="614"/>
      <c r="AZ16" s="614"/>
      <c r="BA16" s="614"/>
      <c r="BB16" s="614"/>
      <c r="BC16" s="614"/>
      <c r="BD16" s="614"/>
      <c r="BE16" s="614"/>
      <c r="BF16" s="614"/>
      <c r="BG16" s="614"/>
      <c r="BH16" s="614"/>
    </row>
    <row r="17" spans="1:60" ht="18" customHeight="1">
      <c r="A17" s="615"/>
      <c r="B17" s="641" t="s">
        <v>1073</v>
      </c>
      <c r="C17" s="605" t="s">
        <v>1074</v>
      </c>
      <c r="D17" s="607">
        <v>500000</v>
      </c>
      <c r="E17" s="607">
        <v>500000</v>
      </c>
      <c r="F17" s="608">
        <v>205000</v>
      </c>
      <c r="G17" s="609">
        <v>41</v>
      </c>
      <c r="H17" s="616"/>
      <c r="I17" s="611"/>
      <c r="J17" s="611"/>
      <c r="K17" s="611"/>
      <c r="L17" s="611"/>
      <c r="M17" s="611"/>
      <c r="N17" s="612"/>
      <c r="O17" s="613"/>
      <c r="P17" s="614"/>
      <c r="Q17" s="614"/>
      <c r="R17" s="614"/>
      <c r="S17" s="614"/>
      <c r="T17" s="614"/>
      <c r="U17" s="614"/>
      <c r="V17" s="614"/>
      <c r="W17" s="614"/>
      <c r="X17" s="614"/>
      <c r="Y17" s="614"/>
      <c r="Z17" s="614"/>
      <c r="AA17" s="614"/>
      <c r="AB17" s="614"/>
      <c r="AC17" s="614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4"/>
      <c r="AQ17" s="614"/>
      <c r="AR17" s="614"/>
      <c r="AS17" s="614"/>
      <c r="AT17" s="614"/>
      <c r="AU17" s="614"/>
      <c r="AV17" s="614"/>
      <c r="AW17" s="614"/>
      <c r="AX17" s="614"/>
      <c r="AY17" s="614"/>
      <c r="AZ17" s="614"/>
      <c r="BA17" s="614"/>
      <c r="BB17" s="614"/>
      <c r="BC17" s="614"/>
      <c r="BD17" s="614"/>
      <c r="BE17" s="614"/>
      <c r="BF17" s="614"/>
      <c r="BG17" s="614"/>
      <c r="BH17" s="614"/>
    </row>
    <row r="18" spans="1:60" ht="18" customHeight="1">
      <c r="A18" s="615"/>
      <c r="B18" s="641"/>
      <c r="C18" s="618"/>
      <c r="D18" s="607"/>
      <c r="E18" s="607"/>
      <c r="F18" s="608"/>
      <c r="G18" s="609"/>
      <c r="H18" s="616"/>
      <c r="I18" s="610"/>
      <c r="J18" s="610"/>
      <c r="K18" s="610"/>
      <c r="L18" s="610"/>
      <c r="M18" s="610"/>
      <c r="N18" s="612"/>
      <c r="O18" s="613"/>
      <c r="P18" s="614"/>
      <c r="Q18" s="614"/>
      <c r="R18" s="614"/>
      <c r="S18" s="614"/>
      <c r="T18" s="614"/>
      <c r="U18" s="614"/>
      <c r="V18" s="614"/>
      <c r="W18" s="614"/>
      <c r="X18" s="614"/>
      <c r="Y18" s="614"/>
      <c r="Z18" s="614"/>
      <c r="AA18" s="614"/>
      <c r="AB18" s="614"/>
      <c r="AC18" s="614"/>
      <c r="AD18" s="614"/>
      <c r="AE18" s="614"/>
      <c r="AF18" s="614"/>
      <c r="AG18" s="614"/>
      <c r="AH18" s="614"/>
      <c r="AI18" s="614"/>
      <c r="AJ18" s="614"/>
      <c r="AK18" s="614"/>
      <c r="AL18" s="614"/>
      <c r="AM18" s="614"/>
      <c r="AN18" s="614"/>
      <c r="AO18" s="614"/>
      <c r="AP18" s="614"/>
      <c r="AQ18" s="614"/>
      <c r="AR18" s="614"/>
      <c r="AS18" s="614"/>
      <c r="AT18" s="614"/>
      <c r="AU18" s="614"/>
      <c r="AV18" s="614"/>
      <c r="AW18" s="614"/>
      <c r="AX18" s="614"/>
      <c r="AY18" s="614"/>
      <c r="AZ18" s="614"/>
      <c r="BA18" s="614"/>
      <c r="BB18" s="614"/>
      <c r="BC18" s="614"/>
      <c r="BD18" s="614"/>
      <c r="BE18" s="614"/>
      <c r="BF18" s="614"/>
      <c r="BG18" s="614"/>
      <c r="BH18" s="614"/>
    </row>
    <row r="19" spans="1:60" ht="15.75">
      <c r="A19" s="615"/>
      <c r="B19" s="641" t="s">
        <v>80</v>
      </c>
      <c r="C19" s="618" t="s">
        <v>753</v>
      </c>
      <c r="D19" s="607">
        <v>500000</v>
      </c>
      <c r="E19" s="607">
        <v>500000</v>
      </c>
      <c r="F19" s="608">
        <v>330205</v>
      </c>
      <c r="G19" s="609">
        <v>66</v>
      </c>
      <c r="H19" s="639"/>
      <c r="I19" s="639"/>
      <c r="J19" s="639"/>
      <c r="K19" s="639"/>
      <c r="L19" s="639"/>
      <c r="M19" s="639"/>
      <c r="N19" s="612"/>
      <c r="O19" s="614"/>
      <c r="P19" s="614"/>
      <c r="Q19" s="614"/>
      <c r="R19" s="614"/>
      <c r="S19" s="614"/>
      <c r="T19" s="614"/>
      <c r="U19" s="614"/>
      <c r="V19" s="614"/>
      <c r="W19" s="614"/>
      <c r="X19" s="614"/>
      <c r="Y19" s="614"/>
      <c r="Z19" s="614"/>
      <c r="AA19" s="614"/>
      <c r="AB19" s="614"/>
      <c r="AC19" s="614"/>
      <c r="AD19" s="614"/>
      <c r="AE19" s="614"/>
      <c r="AF19" s="614"/>
      <c r="AG19" s="614"/>
      <c r="AH19" s="614"/>
      <c r="AI19" s="614"/>
      <c r="AJ19" s="614"/>
      <c r="AK19" s="614"/>
      <c r="AL19" s="614"/>
      <c r="AM19" s="614"/>
      <c r="AN19" s="614"/>
      <c r="AO19" s="614"/>
      <c r="AP19" s="614"/>
      <c r="AQ19" s="614"/>
      <c r="AR19" s="614"/>
      <c r="AS19" s="614"/>
      <c r="AT19" s="614"/>
      <c r="AU19" s="614"/>
      <c r="AV19" s="614"/>
      <c r="AW19" s="614"/>
      <c r="AX19" s="614"/>
      <c r="AY19" s="614"/>
      <c r="AZ19" s="614"/>
      <c r="BA19" s="614"/>
      <c r="BB19" s="614"/>
      <c r="BC19" s="614"/>
      <c r="BD19" s="614"/>
      <c r="BE19" s="614"/>
      <c r="BF19" s="614"/>
      <c r="BG19" s="614"/>
      <c r="BH19" s="614"/>
    </row>
    <row r="20" spans="1:60" ht="18" customHeight="1">
      <c r="A20" s="615"/>
      <c r="B20" s="641" t="s">
        <v>742</v>
      </c>
      <c r="C20" s="618"/>
      <c r="D20" s="607"/>
      <c r="E20" s="607"/>
      <c r="F20" s="608"/>
      <c r="G20" s="609"/>
      <c r="H20" s="616"/>
      <c r="I20" s="611"/>
      <c r="J20" s="611"/>
      <c r="K20" s="611"/>
      <c r="L20" s="611"/>
      <c r="M20" s="611"/>
      <c r="N20" s="612"/>
      <c r="O20" s="613"/>
      <c r="P20" s="614"/>
      <c r="Q20" s="614"/>
      <c r="R20" s="614"/>
      <c r="S20" s="614"/>
      <c r="T20" s="614"/>
      <c r="U20" s="614"/>
      <c r="V20" s="614"/>
      <c r="W20" s="614"/>
      <c r="X20" s="614"/>
      <c r="Y20" s="614"/>
      <c r="Z20" s="614"/>
      <c r="AA20" s="614"/>
      <c r="AB20" s="614"/>
      <c r="AC20" s="614"/>
      <c r="AD20" s="614"/>
      <c r="AE20" s="614"/>
      <c r="AF20" s="614"/>
      <c r="AG20" s="614"/>
      <c r="AH20" s="614"/>
      <c r="AI20" s="614"/>
      <c r="AJ20" s="614"/>
      <c r="AK20" s="614"/>
      <c r="AL20" s="614"/>
      <c r="AM20" s="614"/>
      <c r="AN20" s="614"/>
      <c r="AO20" s="614"/>
      <c r="AP20" s="614"/>
      <c r="AQ20" s="614"/>
      <c r="AR20" s="614"/>
      <c r="AS20" s="614"/>
      <c r="AT20" s="614"/>
      <c r="AU20" s="614"/>
      <c r="AV20" s="614"/>
      <c r="AW20" s="614"/>
      <c r="AX20" s="614"/>
      <c r="AY20" s="614"/>
      <c r="AZ20" s="614"/>
      <c r="BA20" s="614"/>
      <c r="BB20" s="614"/>
      <c r="BC20" s="614"/>
      <c r="BD20" s="614"/>
      <c r="BE20" s="614"/>
      <c r="BF20" s="614"/>
      <c r="BG20" s="614"/>
      <c r="BH20" s="614"/>
    </row>
    <row r="21" spans="1:60" ht="18" customHeight="1">
      <c r="A21" s="615"/>
      <c r="B21" s="641" t="s">
        <v>743</v>
      </c>
      <c r="C21" s="617" t="s">
        <v>762</v>
      </c>
      <c r="D21" s="607"/>
      <c r="E21" s="642">
        <v>805500</v>
      </c>
      <c r="F21" s="642">
        <v>805500</v>
      </c>
      <c r="G21" s="609">
        <v>100</v>
      </c>
      <c r="H21" s="616"/>
      <c r="I21" s="611"/>
      <c r="J21" s="611"/>
      <c r="K21" s="611"/>
      <c r="L21" s="611"/>
      <c r="M21" s="611"/>
      <c r="N21" s="612"/>
      <c r="O21" s="613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614"/>
      <c r="AJ21" s="614"/>
      <c r="AK21" s="614"/>
      <c r="AL21" s="614"/>
      <c r="AM21" s="614"/>
      <c r="AN21" s="614"/>
      <c r="AO21" s="614"/>
      <c r="AP21" s="614"/>
      <c r="AQ21" s="614"/>
      <c r="AR21" s="614"/>
      <c r="AS21" s="614"/>
      <c r="AT21" s="614"/>
      <c r="AU21" s="614"/>
      <c r="AV21" s="614"/>
      <c r="AW21" s="614"/>
      <c r="AX21" s="614"/>
      <c r="AY21" s="614"/>
      <c r="AZ21" s="614"/>
      <c r="BA21" s="614"/>
      <c r="BB21" s="614"/>
      <c r="BC21" s="614"/>
      <c r="BD21" s="614"/>
      <c r="BE21" s="614"/>
      <c r="BF21" s="614"/>
      <c r="BG21" s="614"/>
      <c r="BH21" s="614"/>
    </row>
    <row r="22" spans="1:60" ht="18" customHeight="1">
      <c r="A22" s="615"/>
      <c r="B22" s="641" t="s">
        <v>745</v>
      </c>
      <c r="C22" s="605"/>
      <c r="D22" s="607"/>
      <c r="E22" s="607"/>
      <c r="F22" s="608"/>
      <c r="G22" s="609">
        <v>0</v>
      </c>
      <c r="H22" s="616"/>
      <c r="I22" s="611"/>
      <c r="J22" s="611"/>
      <c r="K22" s="611"/>
      <c r="L22" s="611"/>
      <c r="M22" s="611"/>
      <c r="N22" s="612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614"/>
      <c r="AJ22" s="614"/>
      <c r="AK22" s="614"/>
      <c r="AL22" s="614"/>
      <c r="AM22" s="614"/>
      <c r="AN22" s="614"/>
      <c r="AO22" s="614"/>
      <c r="AP22" s="614"/>
      <c r="AQ22" s="614"/>
      <c r="AR22" s="614"/>
      <c r="AS22" s="614"/>
      <c r="AT22" s="614"/>
      <c r="AU22" s="614"/>
      <c r="AV22" s="614"/>
      <c r="AW22" s="614"/>
      <c r="AX22" s="614"/>
      <c r="AY22" s="614"/>
      <c r="AZ22" s="614"/>
      <c r="BA22" s="614"/>
      <c r="BB22" s="614"/>
      <c r="BC22" s="614"/>
      <c r="BD22" s="614"/>
      <c r="BE22" s="614"/>
      <c r="BF22" s="614"/>
      <c r="BG22" s="614"/>
      <c r="BH22" s="614"/>
    </row>
    <row r="23" spans="1:60" ht="18" customHeight="1">
      <c r="A23" s="615"/>
      <c r="B23" s="641" t="s">
        <v>746</v>
      </c>
      <c r="C23" s="617"/>
      <c r="D23" s="607"/>
      <c r="E23" s="607"/>
      <c r="F23" s="608"/>
      <c r="G23" s="609">
        <v>0</v>
      </c>
      <c r="H23" s="616"/>
      <c r="I23" s="611">
        <v>0</v>
      </c>
      <c r="J23" s="611">
        <v>0</v>
      </c>
      <c r="K23" s="611">
        <v>73000</v>
      </c>
      <c r="L23" s="611">
        <v>73000</v>
      </c>
      <c r="M23" s="611">
        <v>0</v>
      </c>
      <c r="N23" s="612"/>
      <c r="O23" s="613"/>
      <c r="P23" s="614"/>
      <c r="Q23" s="614"/>
      <c r="R23" s="614"/>
      <c r="S23" s="614"/>
      <c r="T23" s="614"/>
      <c r="U23" s="614"/>
      <c r="V23" s="614"/>
      <c r="W23" s="614"/>
      <c r="X23" s="614"/>
      <c r="Y23" s="614"/>
      <c r="Z23" s="614"/>
      <c r="AA23" s="614"/>
      <c r="AB23" s="614"/>
      <c r="AC23" s="614"/>
      <c r="AD23" s="614"/>
      <c r="AE23" s="614"/>
      <c r="AF23" s="614"/>
      <c r="AG23" s="614"/>
      <c r="AH23" s="614"/>
      <c r="AI23" s="614"/>
      <c r="AJ23" s="614"/>
      <c r="AK23" s="614"/>
      <c r="AL23" s="614"/>
      <c r="AM23" s="614"/>
      <c r="AN23" s="614"/>
      <c r="AO23" s="614"/>
      <c r="AP23" s="614"/>
      <c r="AQ23" s="614"/>
      <c r="AR23" s="614"/>
      <c r="AS23" s="614"/>
      <c r="AT23" s="614"/>
      <c r="AU23" s="614"/>
      <c r="AV23" s="614"/>
      <c r="AW23" s="614"/>
      <c r="AX23" s="614"/>
      <c r="AY23" s="614"/>
      <c r="AZ23" s="614"/>
      <c r="BA23" s="614"/>
      <c r="BB23" s="614"/>
      <c r="BC23" s="614"/>
      <c r="BD23" s="614"/>
      <c r="BE23" s="614"/>
      <c r="BF23" s="614"/>
      <c r="BG23" s="614"/>
      <c r="BH23" s="614"/>
    </row>
    <row r="24" spans="1:60" ht="36" customHeight="1">
      <c r="A24" s="615"/>
      <c r="B24" s="641" t="s">
        <v>747</v>
      </c>
      <c r="C24" s="617"/>
      <c r="D24" s="607"/>
      <c r="E24" s="607"/>
      <c r="F24" s="608"/>
      <c r="G24" s="609">
        <v>0</v>
      </c>
      <c r="H24" s="616"/>
      <c r="I24" s="611">
        <v>0</v>
      </c>
      <c r="J24" s="611">
        <v>0</v>
      </c>
      <c r="K24" s="611">
        <v>40332</v>
      </c>
      <c r="L24" s="611">
        <v>40332</v>
      </c>
      <c r="M24" s="611">
        <v>0</v>
      </c>
      <c r="N24" s="612"/>
      <c r="O24" s="613"/>
      <c r="P24" s="614"/>
      <c r="Q24" s="614"/>
      <c r="R24" s="614"/>
      <c r="S24" s="614"/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4"/>
      <c r="AI24" s="614"/>
      <c r="AJ24" s="614"/>
      <c r="AK24" s="614"/>
      <c r="AL24" s="614"/>
      <c r="AM24" s="614"/>
      <c r="AN24" s="614"/>
      <c r="AO24" s="614"/>
      <c r="AP24" s="614"/>
      <c r="AQ24" s="614"/>
      <c r="AR24" s="614"/>
      <c r="AS24" s="614"/>
      <c r="AT24" s="614"/>
      <c r="AU24" s="614"/>
      <c r="AV24" s="614"/>
      <c r="AW24" s="614"/>
      <c r="AX24" s="614"/>
      <c r="AY24" s="614"/>
      <c r="AZ24" s="614"/>
      <c r="BA24" s="614"/>
      <c r="BB24" s="614"/>
      <c r="BC24" s="614"/>
      <c r="BD24" s="614"/>
      <c r="BE24" s="614"/>
      <c r="BF24" s="614"/>
      <c r="BG24" s="614"/>
      <c r="BH24" s="614"/>
    </row>
    <row r="25" spans="1:60" ht="24" customHeight="1" hidden="1">
      <c r="A25" s="615"/>
      <c r="B25" s="604" t="s">
        <v>748</v>
      </c>
      <c r="C25" s="618"/>
      <c r="D25" s="607"/>
      <c r="E25" s="607"/>
      <c r="F25" s="608"/>
      <c r="G25" s="609">
        <v>0</v>
      </c>
      <c r="H25" s="616"/>
      <c r="I25" s="611"/>
      <c r="J25" s="611"/>
      <c r="K25" s="611"/>
      <c r="L25" s="611"/>
      <c r="M25" s="611"/>
      <c r="N25" s="612"/>
      <c r="O25" s="613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614"/>
      <c r="AJ25" s="614"/>
      <c r="AK25" s="614"/>
      <c r="AL25" s="614"/>
      <c r="AM25" s="614"/>
      <c r="AN25" s="614"/>
      <c r="AO25" s="614"/>
      <c r="AP25" s="614"/>
      <c r="AQ25" s="614"/>
      <c r="AR25" s="614"/>
      <c r="AS25" s="614"/>
      <c r="AT25" s="614"/>
      <c r="AU25" s="614"/>
      <c r="AV25" s="614"/>
      <c r="AW25" s="614"/>
      <c r="AX25" s="614"/>
      <c r="AY25" s="614"/>
      <c r="AZ25" s="614"/>
      <c r="BA25" s="614"/>
      <c r="BB25" s="614"/>
      <c r="BC25" s="614"/>
      <c r="BD25" s="614"/>
      <c r="BE25" s="614"/>
      <c r="BF25" s="614"/>
      <c r="BG25" s="614"/>
      <c r="BH25" s="614"/>
    </row>
    <row r="26" spans="1:60" ht="18" customHeight="1" hidden="1">
      <c r="A26" s="615"/>
      <c r="B26" s="604" t="s">
        <v>749</v>
      </c>
      <c r="C26" s="618"/>
      <c r="D26" s="607"/>
      <c r="E26" s="607"/>
      <c r="F26" s="608"/>
      <c r="G26" s="609">
        <v>15</v>
      </c>
      <c r="H26" s="616"/>
      <c r="I26" s="611"/>
      <c r="J26" s="611"/>
      <c r="K26" s="611"/>
      <c r="L26" s="611"/>
      <c r="M26" s="611"/>
      <c r="N26" s="612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614"/>
      <c r="AJ26" s="614"/>
      <c r="AK26" s="614"/>
      <c r="AL26" s="614"/>
      <c r="AM26" s="614"/>
      <c r="AN26" s="614"/>
      <c r="AO26" s="614"/>
      <c r="AP26" s="614"/>
      <c r="AQ26" s="614"/>
      <c r="AR26" s="614"/>
      <c r="AS26" s="614"/>
      <c r="AT26" s="614"/>
      <c r="AU26" s="614"/>
      <c r="AV26" s="614"/>
      <c r="AW26" s="614"/>
      <c r="AX26" s="614"/>
      <c r="AY26" s="614"/>
      <c r="AZ26" s="614"/>
      <c r="BA26" s="614"/>
      <c r="BB26" s="614"/>
      <c r="BC26" s="614"/>
      <c r="BD26" s="614"/>
      <c r="BE26" s="614"/>
      <c r="BF26" s="614"/>
      <c r="BG26" s="614"/>
      <c r="BH26" s="614"/>
    </row>
    <row r="27" spans="1:60" ht="21.75" customHeight="1" hidden="1">
      <c r="A27" s="615"/>
      <c r="B27" s="604" t="s">
        <v>750</v>
      </c>
      <c r="C27" s="618"/>
      <c r="D27" s="607"/>
      <c r="E27" s="607"/>
      <c r="F27" s="608"/>
      <c r="G27" s="609">
        <v>62.980000000000004</v>
      </c>
      <c r="H27" s="616"/>
      <c r="I27" s="611">
        <v>0</v>
      </c>
      <c r="J27" s="611">
        <v>0</v>
      </c>
      <c r="K27" s="611">
        <v>33000</v>
      </c>
      <c r="L27" s="611">
        <v>33000</v>
      </c>
      <c r="M27" s="611">
        <v>0</v>
      </c>
      <c r="N27" s="619"/>
      <c r="O27" s="613"/>
      <c r="P27" s="614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4"/>
      <c r="AC27" s="614"/>
      <c r="AD27" s="614"/>
      <c r="AE27" s="614"/>
      <c r="AF27" s="614"/>
      <c r="AG27" s="614"/>
      <c r="AH27" s="614"/>
      <c r="AI27" s="614"/>
      <c r="AJ27" s="614"/>
      <c r="AK27" s="614"/>
      <c r="AL27" s="614"/>
      <c r="AM27" s="614"/>
      <c r="AN27" s="614"/>
      <c r="AO27" s="614"/>
      <c r="AP27" s="614"/>
      <c r="AQ27" s="614"/>
      <c r="AR27" s="614"/>
      <c r="AS27" s="614"/>
      <c r="AT27" s="614"/>
      <c r="AU27" s="614"/>
      <c r="AV27" s="614"/>
      <c r="AW27" s="614"/>
      <c r="AX27" s="614"/>
      <c r="AY27" s="614"/>
      <c r="AZ27" s="614"/>
      <c r="BA27" s="614"/>
      <c r="BB27" s="614"/>
      <c r="BC27" s="614"/>
      <c r="BD27" s="614"/>
      <c r="BE27" s="614"/>
      <c r="BF27" s="614"/>
      <c r="BG27" s="614"/>
      <c r="BH27" s="614"/>
    </row>
    <row r="28" spans="1:60" ht="17.25" customHeight="1" hidden="1">
      <c r="A28" s="615"/>
      <c r="B28" s="604" t="s">
        <v>751</v>
      </c>
      <c r="C28" s="618"/>
      <c r="D28" s="607"/>
      <c r="E28" s="607"/>
      <c r="F28" s="608"/>
      <c r="G28" s="609">
        <v>0</v>
      </c>
      <c r="H28" s="616"/>
      <c r="I28" s="611"/>
      <c r="J28" s="611"/>
      <c r="K28" s="611"/>
      <c r="L28" s="611"/>
      <c r="M28" s="611"/>
      <c r="N28" s="612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  <c r="AA28" s="614"/>
      <c r="AB28" s="614"/>
      <c r="AC28" s="614"/>
      <c r="AD28" s="614"/>
      <c r="AE28" s="614"/>
      <c r="AF28" s="614"/>
      <c r="AG28" s="614"/>
      <c r="AH28" s="614"/>
      <c r="AI28" s="614"/>
      <c r="AJ28" s="614"/>
      <c r="AK28" s="614"/>
      <c r="AL28" s="614"/>
      <c r="AM28" s="614"/>
      <c r="AN28" s="614"/>
      <c r="AO28" s="614"/>
      <c r="AP28" s="614"/>
      <c r="AQ28" s="614"/>
      <c r="AR28" s="614"/>
      <c r="AS28" s="614"/>
      <c r="AT28" s="614"/>
      <c r="AU28" s="614"/>
      <c r="AV28" s="614"/>
      <c r="AW28" s="614"/>
      <c r="AX28" s="614"/>
      <c r="AY28" s="614"/>
      <c r="AZ28" s="614"/>
      <c r="BA28" s="614"/>
      <c r="BB28" s="614"/>
      <c r="BC28" s="614"/>
      <c r="BD28" s="614"/>
      <c r="BE28" s="614"/>
      <c r="BF28" s="614"/>
      <c r="BG28" s="614"/>
      <c r="BH28" s="614"/>
    </row>
    <row r="29" spans="1:60" ht="18" customHeight="1" hidden="1">
      <c r="A29" s="615"/>
      <c r="B29" s="604" t="s">
        <v>752</v>
      </c>
      <c r="C29" s="618"/>
      <c r="D29" s="607"/>
      <c r="E29" s="607"/>
      <c r="F29" s="608"/>
      <c r="G29" s="609">
        <v>43.416666666666664</v>
      </c>
      <c r="H29" s="616"/>
      <c r="I29" s="611">
        <v>0</v>
      </c>
      <c r="J29" s="611">
        <v>0</v>
      </c>
      <c r="K29" s="611">
        <v>13500</v>
      </c>
      <c r="L29" s="611">
        <v>13500</v>
      </c>
      <c r="M29" s="611">
        <v>0</v>
      </c>
      <c r="N29" s="612"/>
      <c r="O29" s="613"/>
      <c r="P29" s="614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4"/>
      <c r="AC29" s="614"/>
      <c r="AD29" s="614"/>
      <c r="AE29" s="614"/>
      <c r="AF29" s="614"/>
      <c r="AG29" s="614"/>
      <c r="AH29" s="614"/>
      <c r="AI29" s="614"/>
      <c r="AJ29" s="614"/>
      <c r="AK29" s="614"/>
      <c r="AL29" s="614"/>
      <c r="AM29" s="614"/>
      <c r="AN29" s="614"/>
      <c r="AO29" s="614"/>
      <c r="AP29" s="614"/>
      <c r="AQ29" s="614"/>
      <c r="AR29" s="614"/>
      <c r="AS29" s="614"/>
      <c r="AT29" s="614"/>
      <c r="AU29" s="614"/>
      <c r="AV29" s="614"/>
      <c r="AW29" s="614"/>
      <c r="AX29" s="614"/>
      <c r="AY29" s="614"/>
      <c r="AZ29" s="614"/>
      <c r="BA29" s="614"/>
      <c r="BB29" s="614"/>
      <c r="BC29" s="614"/>
      <c r="BD29" s="614"/>
      <c r="BE29" s="614"/>
      <c r="BF29" s="614"/>
      <c r="BG29" s="614"/>
      <c r="BH29" s="614"/>
    </row>
    <row r="30" spans="1:60" ht="18" customHeight="1" hidden="1">
      <c r="A30" s="615"/>
      <c r="B30" s="604" t="s">
        <v>754</v>
      </c>
      <c r="C30" s="618"/>
      <c r="D30" s="607"/>
      <c r="E30" s="607"/>
      <c r="F30" s="608"/>
      <c r="G30" s="609">
        <v>70.46666666666667</v>
      </c>
      <c r="H30" s="616"/>
      <c r="I30" s="611">
        <v>0</v>
      </c>
      <c r="J30" s="611">
        <v>0</v>
      </c>
      <c r="K30" s="611">
        <v>1000</v>
      </c>
      <c r="L30" s="611">
        <v>761</v>
      </c>
      <c r="M30" s="611">
        <v>-239</v>
      </c>
      <c r="N30" s="612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  <c r="AC30" s="614"/>
      <c r="AD30" s="614"/>
      <c r="AE30" s="614"/>
      <c r="AF30" s="614"/>
      <c r="AG30" s="614"/>
      <c r="AH30" s="614"/>
      <c r="AI30" s="614"/>
      <c r="AJ30" s="614"/>
      <c r="AK30" s="614"/>
      <c r="AL30" s="614"/>
      <c r="AM30" s="614"/>
      <c r="AN30" s="614"/>
      <c r="AO30" s="614"/>
      <c r="AP30" s="614"/>
      <c r="AQ30" s="614"/>
      <c r="AR30" s="614"/>
      <c r="AS30" s="614"/>
      <c r="AT30" s="614"/>
      <c r="AU30" s="614"/>
      <c r="AV30" s="614"/>
      <c r="AW30" s="614"/>
      <c r="AX30" s="614"/>
      <c r="AY30" s="614"/>
      <c r="AZ30" s="614"/>
      <c r="BA30" s="614"/>
      <c r="BB30" s="614"/>
      <c r="BC30" s="614"/>
      <c r="BD30" s="614"/>
      <c r="BE30" s="614"/>
      <c r="BF30" s="614"/>
      <c r="BG30" s="614"/>
      <c r="BH30" s="614"/>
    </row>
    <row r="31" spans="1:60" ht="18" customHeight="1" hidden="1">
      <c r="A31" s="615"/>
      <c r="B31" s="604" t="s">
        <v>755</v>
      </c>
      <c r="C31" s="618"/>
      <c r="D31" s="607"/>
      <c r="E31" s="607"/>
      <c r="F31" s="608"/>
      <c r="G31" s="609">
        <v>15.6</v>
      </c>
      <c r="H31" s="616"/>
      <c r="I31" s="611">
        <v>0</v>
      </c>
      <c r="J31" s="611">
        <v>0</v>
      </c>
      <c r="K31" s="611">
        <v>6000</v>
      </c>
      <c r="L31" s="611">
        <v>6000</v>
      </c>
      <c r="M31" s="611">
        <v>0</v>
      </c>
      <c r="N31" s="612"/>
      <c r="O31" s="613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614"/>
      <c r="AL31" s="614"/>
      <c r="AM31" s="614"/>
      <c r="AN31" s="614"/>
      <c r="AO31" s="614"/>
      <c r="AP31" s="614"/>
      <c r="AQ31" s="614"/>
      <c r="AR31" s="614"/>
      <c r="AS31" s="614"/>
      <c r="AT31" s="614"/>
      <c r="AU31" s="614"/>
      <c r="AV31" s="614"/>
      <c r="AW31" s="614"/>
      <c r="AX31" s="614"/>
      <c r="AY31" s="614"/>
      <c r="AZ31" s="614"/>
      <c r="BA31" s="614"/>
      <c r="BB31" s="614"/>
      <c r="BC31" s="614"/>
      <c r="BD31" s="614"/>
      <c r="BE31" s="614"/>
      <c r="BF31" s="614"/>
      <c r="BG31" s="614"/>
      <c r="BH31" s="614"/>
    </row>
    <row r="32" spans="1:60" ht="18" customHeight="1" hidden="1">
      <c r="A32" s="615"/>
      <c r="B32" s="604" t="s">
        <v>756</v>
      </c>
      <c r="C32" s="618"/>
      <c r="D32" s="607"/>
      <c r="E32" s="607"/>
      <c r="F32" s="608"/>
      <c r="G32" s="609">
        <v>0</v>
      </c>
      <c r="H32" s="616"/>
      <c r="I32" s="611">
        <v>0</v>
      </c>
      <c r="J32" s="611">
        <v>0</v>
      </c>
      <c r="K32" s="611">
        <v>8000</v>
      </c>
      <c r="L32" s="611">
        <v>8000</v>
      </c>
      <c r="M32" s="611">
        <v>0</v>
      </c>
      <c r="N32" s="612"/>
      <c r="O32" s="613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F32" s="614"/>
      <c r="AG32" s="614"/>
      <c r="AH32" s="614"/>
      <c r="AI32" s="614"/>
      <c r="AJ32" s="614"/>
      <c r="AK32" s="614"/>
      <c r="AL32" s="614"/>
      <c r="AM32" s="614"/>
      <c r="AN32" s="614"/>
      <c r="AO32" s="614"/>
      <c r="AP32" s="614"/>
      <c r="AQ32" s="614"/>
      <c r="AR32" s="614"/>
      <c r="AS32" s="614"/>
      <c r="AT32" s="614"/>
      <c r="AU32" s="614"/>
      <c r="AV32" s="614"/>
      <c r="AW32" s="614"/>
      <c r="AX32" s="614"/>
      <c r="AY32" s="614"/>
      <c r="AZ32" s="614"/>
      <c r="BA32" s="614"/>
      <c r="BB32" s="614"/>
      <c r="BC32" s="614"/>
      <c r="BD32" s="614"/>
      <c r="BE32" s="614"/>
      <c r="BF32" s="614"/>
      <c r="BG32" s="614"/>
      <c r="BH32" s="614"/>
    </row>
    <row r="33" spans="1:60" ht="18" customHeight="1" hidden="1">
      <c r="A33" s="615"/>
      <c r="B33" s="604" t="s">
        <v>757</v>
      </c>
      <c r="C33" s="618"/>
      <c r="D33" s="607"/>
      <c r="E33" s="607"/>
      <c r="F33" s="608"/>
      <c r="G33" s="609">
        <v>87.8</v>
      </c>
      <c r="H33" s="616"/>
      <c r="I33" s="611"/>
      <c r="J33" s="611"/>
      <c r="K33" s="611"/>
      <c r="L33" s="611"/>
      <c r="M33" s="611"/>
      <c r="N33" s="612"/>
      <c r="O33" s="613"/>
      <c r="P33" s="614"/>
      <c r="Q33" s="614"/>
      <c r="R33" s="614"/>
      <c r="S33" s="614"/>
      <c r="T33" s="614"/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  <c r="AK33" s="614"/>
      <c r="AL33" s="614"/>
      <c r="AM33" s="614"/>
      <c r="AN33" s="614"/>
      <c r="AO33" s="614"/>
      <c r="AP33" s="614"/>
      <c r="AQ33" s="614"/>
      <c r="AR33" s="614"/>
      <c r="AS33" s="614"/>
      <c r="AT33" s="614"/>
      <c r="AU33" s="614"/>
      <c r="AV33" s="614"/>
      <c r="AW33" s="614"/>
      <c r="AX33" s="614"/>
      <c r="AY33" s="614"/>
      <c r="AZ33" s="614"/>
      <c r="BA33" s="614"/>
      <c r="BB33" s="614"/>
      <c r="BC33" s="614"/>
      <c r="BD33" s="614"/>
      <c r="BE33" s="614"/>
      <c r="BF33" s="614"/>
      <c r="BG33" s="614"/>
      <c r="BH33" s="614"/>
    </row>
    <row r="34" spans="1:60" ht="18" customHeight="1" hidden="1">
      <c r="A34" s="615"/>
      <c r="B34" s="604"/>
      <c r="C34" s="620"/>
      <c r="D34" s="621"/>
      <c r="E34" s="607"/>
      <c r="F34" s="608"/>
      <c r="G34" s="609"/>
      <c r="H34" s="616"/>
      <c r="I34" s="611"/>
      <c r="J34" s="611"/>
      <c r="K34" s="611"/>
      <c r="L34" s="611"/>
      <c r="M34" s="611"/>
      <c r="N34" s="612"/>
      <c r="O34" s="613"/>
      <c r="P34" s="614"/>
      <c r="Q34" s="614"/>
      <c r="R34" s="614"/>
      <c r="S34" s="614"/>
      <c r="T34" s="614"/>
      <c r="U34" s="614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F34" s="614"/>
      <c r="AG34" s="614"/>
      <c r="AH34" s="614"/>
      <c r="AI34" s="614"/>
      <c r="AJ34" s="614"/>
      <c r="AK34" s="614"/>
      <c r="AL34" s="614"/>
      <c r="AM34" s="614"/>
      <c r="AN34" s="614"/>
      <c r="AO34" s="614"/>
      <c r="AP34" s="614"/>
      <c r="AQ34" s="614"/>
      <c r="AR34" s="614"/>
      <c r="AS34" s="614"/>
      <c r="AT34" s="614"/>
      <c r="AU34" s="614"/>
      <c r="AV34" s="614"/>
      <c r="AW34" s="614"/>
      <c r="AX34" s="614"/>
      <c r="AY34" s="614"/>
      <c r="AZ34" s="614"/>
      <c r="BA34" s="614"/>
      <c r="BB34" s="614"/>
      <c r="BC34" s="614"/>
      <c r="BD34" s="614"/>
      <c r="BE34" s="614"/>
      <c r="BF34" s="614"/>
      <c r="BG34" s="614"/>
      <c r="BH34" s="614"/>
    </row>
    <row r="35" spans="1:60" ht="18" customHeight="1" hidden="1">
      <c r="A35" s="615"/>
      <c r="B35" s="604" t="s">
        <v>758</v>
      </c>
      <c r="C35" s="618"/>
      <c r="D35" s="622"/>
      <c r="E35" s="607"/>
      <c r="F35" s="608"/>
      <c r="G35" s="609">
        <v>100</v>
      </c>
      <c r="H35" s="616"/>
      <c r="I35" s="611"/>
      <c r="J35" s="611"/>
      <c r="K35" s="611"/>
      <c r="L35" s="611"/>
      <c r="M35" s="611"/>
      <c r="N35" s="612"/>
      <c r="O35" s="613"/>
      <c r="P35" s="614"/>
      <c r="Q35" s="614"/>
      <c r="R35" s="614"/>
      <c r="S35" s="614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  <c r="AF35" s="614"/>
      <c r="AG35" s="614"/>
      <c r="AH35" s="614"/>
      <c r="AI35" s="614"/>
      <c r="AJ35" s="614"/>
      <c r="AK35" s="614"/>
      <c r="AL35" s="614"/>
      <c r="AM35" s="614"/>
      <c r="AN35" s="614"/>
      <c r="AO35" s="614"/>
      <c r="AP35" s="614"/>
      <c r="AQ35" s="614"/>
      <c r="AR35" s="614"/>
      <c r="AS35" s="614"/>
      <c r="AT35" s="614"/>
      <c r="AU35" s="614"/>
      <c r="AV35" s="614"/>
      <c r="AW35" s="614"/>
      <c r="AX35" s="614"/>
      <c r="AY35" s="614"/>
      <c r="AZ35" s="614"/>
      <c r="BA35" s="614"/>
      <c r="BB35" s="614"/>
      <c r="BC35" s="614"/>
      <c r="BD35" s="614"/>
      <c r="BE35" s="614"/>
      <c r="BF35" s="614"/>
      <c r="BG35" s="614"/>
      <c r="BH35" s="614"/>
    </row>
    <row r="36" spans="1:60" ht="18" customHeight="1">
      <c r="A36" s="623"/>
      <c r="B36" s="624"/>
      <c r="C36" s="625" t="s">
        <v>759</v>
      </c>
      <c r="D36" s="626">
        <f>SUM(D14:D35)</f>
        <v>7060000</v>
      </c>
      <c r="E36" s="626">
        <f>SUM(E14:E35)</f>
        <v>7865500</v>
      </c>
      <c r="F36" s="626">
        <f>SUM(F14:F35)</f>
        <v>4776987</v>
      </c>
      <c r="G36" s="627">
        <v>60.73</v>
      </c>
      <c r="H36" s="628"/>
      <c r="I36" s="628"/>
      <c r="J36" s="628"/>
      <c r="K36" s="628"/>
      <c r="L36" s="628"/>
      <c r="M36" s="628"/>
      <c r="N36" s="612"/>
      <c r="O36" s="614"/>
      <c r="P36" s="614"/>
      <c r="Q36" s="614"/>
      <c r="R36" s="614"/>
      <c r="S36" s="614"/>
      <c r="T36" s="614"/>
      <c r="U36" s="614"/>
      <c r="V36" s="614"/>
      <c r="W36" s="614"/>
      <c r="X36" s="614"/>
      <c r="Y36" s="614"/>
      <c r="Z36" s="614"/>
      <c r="AA36" s="614"/>
      <c r="AB36" s="614"/>
      <c r="AC36" s="614"/>
      <c r="AD36" s="614"/>
      <c r="AE36" s="614"/>
      <c r="AF36" s="614"/>
      <c r="AG36" s="614"/>
      <c r="AH36" s="614"/>
      <c r="AI36" s="614"/>
      <c r="AJ36" s="614"/>
      <c r="AK36" s="614"/>
      <c r="AL36" s="614"/>
      <c r="AM36" s="614"/>
      <c r="AN36" s="614"/>
      <c r="AO36" s="614"/>
      <c r="AP36" s="614"/>
      <c r="AQ36" s="614"/>
      <c r="AR36" s="614"/>
      <c r="AS36" s="614"/>
      <c r="AT36" s="614"/>
      <c r="AU36" s="614"/>
      <c r="AV36" s="614"/>
      <c r="AW36" s="614"/>
      <c r="AX36" s="614"/>
      <c r="AY36" s="614"/>
      <c r="AZ36" s="614"/>
      <c r="BA36" s="614"/>
      <c r="BB36" s="614"/>
      <c r="BC36" s="614"/>
      <c r="BD36" s="614"/>
      <c r="BE36" s="614"/>
      <c r="BF36" s="614"/>
      <c r="BG36" s="614"/>
      <c r="BH36" s="614"/>
    </row>
    <row r="37" spans="1:60" ht="18" customHeight="1">
      <c r="A37" s="629"/>
      <c r="B37" s="616"/>
      <c r="C37" s="616"/>
      <c r="D37" s="630"/>
      <c r="E37" s="630"/>
      <c r="F37" s="630"/>
      <c r="G37" s="630"/>
      <c r="H37" s="616"/>
      <c r="I37" s="616"/>
      <c r="J37" s="616"/>
      <c r="K37" s="616"/>
      <c r="L37" s="616"/>
      <c r="M37" s="616"/>
      <c r="N37" s="612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4"/>
      <c r="AH37" s="614"/>
      <c r="AI37" s="614"/>
      <c r="AJ37" s="614"/>
      <c r="AK37" s="614"/>
      <c r="AL37" s="614"/>
      <c r="AM37" s="614"/>
      <c r="AN37" s="614"/>
      <c r="AO37" s="614"/>
      <c r="AP37" s="614"/>
      <c r="AQ37" s="614"/>
      <c r="AR37" s="614"/>
      <c r="AS37" s="614"/>
      <c r="AT37" s="614"/>
      <c r="AU37" s="614"/>
      <c r="AV37" s="614"/>
      <c r="AW37" s="614"/>
      <c r="AX37" s="614"/>
      <c r="AY37" s="614"/>
      <c r="AZ37" s="614"/>
      <c r="BA37" s="614"/>
      <c r="BB37" s="614"/>
      <c r="BC37" s="614"/>
      <c r="BD37" s="614"/>
      <c r="BE37" s="614"/>
      <c r="BF37" s="614"/>
      <c r="BG37" s="614"/>
      <c r="BH37" s="614"/>
    </row>
    <row r="38" spans="1:60" ht="12.75">
      <c r="A38" s="631"/>
      <c r="B38" s="632"/>
      <c r="C38" s="632"/>
      <c r="D38" s="633"/>
      <c r="E38" s="633"/>
      <c r="F38" s="633"/>
      <c r="G38" s="633"/>
      <c r="H38" s="632"/>
      <c r="I38" s="632"/>
      <c r="J38" s="632"/>
      <c r="K38" s="632"/>
      <c r="L38" s="632"/>
      <c r="M38" s="632"/>
      <c r="N38" s="612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614"/>
      <c r="AB38" s="614"/>
      <c r="AC38" s="614"/>
      <c r="AD38" s="614"/>
      <c r="AE38" s="614"/>
      <c r="AF38" s="614"/>
      <c r="AG38" s="614"/>
      <c r="AH38" s="614"/>
      <c r="AI38" s="614"/>
      <c r="AJ38" s="614"/>
      <c r="AK38" s="614"/>
      <c r="AL38" s="614"/>
      <c r="AM38" s="614"/>
      <c r="AN38" s="614"/>
      <c r="AO38" s="614"/>
      <c r="AP38" s="614"/>
      <c r="AQ38" s="614"/>
      <c r="AR38" s="614"/>
      <c r="AS38" s="614"/>
      <c r="AT38" s="614"/>
      <c r="AU38" s="614"/>
      <c r="AV38" s="614"/>
      <c r="AW38" s="614"/>
      <c r="AX38" s="614"/>
      <c r="AY38" s="614"/>
      <c r="AZ38" s="614"/>
      <c r="BA38" s="614"/>
      <c r="BB38" s="614"/>
      <c r="BC38" s="614"/>
      <c r="BD38" s="614"/>
      <c r="BE38" s="614"/>
      <c r="BF38" s="614"/>
      <c r="BG38" s="614"/>
      <c r="BH38" s="614"/>
    </row>
    <row r="39" spans="1:60" ht="12.75" hidden="1">
      <c r="A39" s="631"/>
      <c r="B39" s="632"/>
      <c r="C39" s="632"/>
      <c r="D39" s="633"/>
      <c r="E39" s="633"/>
      <c r="F39" s="633"/>
      <c r="G39" s="633"/>
      <c r="H39" s="632"/>
      <c r="I39" s="632"/>
      <c r="J39" s="632"/>
      <c r="K39" s="632"/>
      <c r="L39" s="632"/>
      <c r="M39" s="632"/>
      <c r="N39" s="612"/>
      <c r="O39" s="614"/>
      <c r="P39" s="614"/>
      <c r="Q39" s="614"/>
      <c r="R39" s="614"/>
      <c r="S39" s="614"/>
      <c r="T39" s="614"/>
      <c r="U39" s="614"/>
      <c r="V39" s="614"/>
      <c r="W39" s="614"/>
      <c r="X39" s="614"/>
      <c r="Y39" s="614"/>
      <c r="Z39" s="614"/>
      <c r="AA39" s="614"/>
      <c r="AB39" s="614"/>
      <c r="AC39" s="614"/>
      <c r="AD39" s="614"/>
      <c r="AE39" s="614"/>
      <c r="AF39" s="614"/>
      <c r="AG39" s="614"/>
      <c r="AH39" s="614"/>
      <c r="AI39" s="614"/>
      <c r="AJ39" s="614"/>
      <c r="AK39" s="614"/>
      <c r="AL39" s="614"/>
      <c r="AM39" s="614"/>
      <c r="AN39" s="614"/>
      <c r="AO39" s="614"/>
      <c r="AP39" s="614"/>
      <c r="AQ39" s="614"/>
      <c r="AR39" s="614"/>
      <c r="AS39" s="614"/>
      <c r="AT39" s="614"/>
      <c r="AU39" s="614"/>
      <c r="AV39" s="614"/>
      <c r="AW39" s="614"/>
      <c r="AX39" s="614"/>
      <c r="AY39" s="614"/>
      <c r="AZ39" s="614"/>
      <c r="BA39" s="614"/>
      <c r="BB39" s="614"/>
      <c r="BC39" s="614"/>
      <c r="BD39" s="614"/>
      <c r="BE39" s="614"/>
      <c r="BF39" s="614"/>
      <c r="BG39" s="614"/>
      <c r="BH39" s="614"/>
    </row>
    <row r="40" spans="1:60" ht="12.75" hidden="1">
      <c r="A40" s="631"/>
      <c r="B40" s="632"/>
      <c r="C40" s="632"/>
      <c r="D40" s="633"/>
      <c r="E40" s="633"/>
      <c r="F40" s="633"/>
      <c r="G40" s="633"/>
      <c r="H40" s="632"/>
      <c r="I40" s="632"/>
      <c r="J40" s="632"/>
      <c r="K40" s="632"/>
      <c r="L40" s="632"/>
      <c r="M40" s="632"/>
      <c r="N40" s="612"/>
      <c r="O40" s="614"/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  <c r="AK40" s="614"/>
      <c r="AL40" s="614"/>
      <c r="AM40" s="614"/>
      <c r="AN40" s="614"/>
      <c r="AO40" s="614"/>
      <c r="AP40" s="614"/>
      <c r="AQ40" s="614"/>
      <c r="AR40" s="614"/>
      <c r="AS40" s="614"/>
      <c r="AT40" s="614"/>
      <c r="AU40" s="614"/>
      <c r="AV40" s="614"/>
      <c r="AW40" s="614"/>
      <c r="AX40" s="614"/>
      <c r="AY40" s="614"/>
      <c r="AZ40" s="614"/>
      <c r="BA40" s="614"/>
      <c r="BB40" s="614"/>
      <c r="BC40" s="614"/>
      <c r="BD40" s="614"/>
      <c r="BE40" s="614"/>
      <c r="BF40" s="614"/>
      <c r="BG40" s="614"/>
      <c r="BH40" s="614"/>
    </row>
    <row r="41" spans="1:60" ht="15.75" hidden="1">
      <c r="A41" s="1424" t="s">
        <v>760</v>
      </c>
      <c r="B41" s="1424"/>
      <c r="C41" s="1424"/>
      <c r="D41" s="633"/>
      <c r="E41" s="633"/>
      <c r="F41" s="633"/>
      <c r="G41" s="633"/>
      <c r="H41" s="632"/>
      <c r="I41" s="632"/>
      <c r="J41" s="632"/>
      <c r="K41" s="632"/>
      <c r="L41" s="632"/>
      <c r="M41" s="632"/>
      <c r="N41" s="612"/>
      <c r="O41" s="614"/>
      <c r="P41" s="614"/>
      <c r="Q41" s="614"/>
      <c r="R41" s="614"/>
      <c r="S41" s="614"/>
      <c r="T41" s="614"/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4"/>
      <c r="AH41" s="614"/>
      <c r="AI41" s="614"/>
      <c r="AJ41" s="614"/>
      <c r="AK41" s="614"/>
      <c r="AL41" s="614"/>
      <c r="AM41" s="614"/>
      <c r="AN41" s="614"/>
      <c r="AO41" s="614"/>
      <c r="AP41" s="614"/>
      <c r="AQ41" s="614"/>
      <c r="AR41" s="614"/>
      <c r="AS41" s="614"/>
      <c r="AT41" s="614"/>
      <c r="AU41" s="614"/>
      <c r="AV41" s="614"/>
      <c r="AW41" s="614"/>
      <c r="AX41" s="614"/>
      <c r="AY41" s="614"/>
      <c r="AZ41" s="614"/>
      <c r="BA41" s="614"/>
      <c r="BB41" s="614"/>
      <c r="BC41" s="614"/>
      <c r="BD41" s="614"/>
      <c r="BE41" s="614"/>
      <c r="BF41" s="614"/>
      <c r="BG41" s="614"/>
      <c r="BH41" s="614"/>
    </row>
    <row r="42" spans="1:60" ht="31.5" hidden="1">
      <c r="A42" s="634"/>
      <c r="B42" s="635" t="s">
        <v>761</v>
      </c>
      <c r="C42" s="636" t="s">
        <v>762</v>
      </c>
      <c r="D42" s="606"/>
      <c r="E42" s="637"/>
      <c r="F42" s="637"/>
      <c r="G42" s="638"/>
      <c r="H42" s="639"/>
      <c r="I42" s="639"/>
      <c r="J42" s="639"/>
      <c r="K42" s="639"/>
      <c r="L42" s="639"/>
      <c r="M42" s="639"/>
      <c r="N42" s="612"/>
      <c r="O42" s="614"/>
      <c r="P42" s="614"/>
      <c r="Q42" s="614"/>
      <c r="R42" s="614"/>
      <c r="S42" s="614"/>
      <c r="T42" s="614"/>
      <c r="U42" s="614"/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614"/>
      <c r="AG42" s="614"/>
      <c r="AH42" s="614"/>
      <c r="AI42" s="614"/>
      <c r="AJ42" s="614"/>
      <c r="AK42" s="614"/>
      <c r="AL42" s="614"/>
      <c r="AM42" s="614"/>
      <c r="AN42" s="614"/>
      <c r="AO42" s="614"/>
      <c r="AP42" s="614"/>
      <c r="AQ42" s="614"/>
      <c r="AR42" s="614"/>
      <c r="AS42" s="614"/>
      <c r="AT42" s="614"/>
      <c r="AU42" s="614"/>
      <c r="AV42" s="614"/>
      <c r="AW42" s="614"/>
      <c r="AX42" s="614"/>
      <c r="AY42" s="614"/>
      <c r="AZ42" s="614"/>
      <c r="BA42" s="614"/>
      <c r="BB42" s="614"/>
      <c r="BC42" s="614"/>
      <c r="BD42" s="614"/>
      <c r="BE42" s="614"/>
      <c r="BF42" s="614"/>
      <c r="BG42" s="614"/>
      <c r="BH42" s="614"/>
    </row>
    <row r="43" spans="1:60" ht="15.75" hidden="1">
      <c r="A43" s="640"/>
      <c r="B43" s="641" t="s">
        <v>763</v>
      </c>
      <c r="C43" s="605"/>
      <c r="D43" s="607"/>
      <c r="E43" s="642"/>
      <c r="F43" s="642"/>
      <c r="G43" s="609"/>
      <c r="H43" s="643"/>
      <c r="I43" s="643"/>
      <c r="J43" s="643"/>
      <c r="K43" s="643"/>
      <c r="L43" s="643"/>
      <c r="M43" s="643"/>
      <c r="N43" s="612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614"/>
      <c r="AM43" s="614"/>
      <c r="AN43" s="614"/>
      <c r="AO43" s="614"/>
      <c r="AP43" s="614"/>
      <c r="AQ43" s="614"/>
      <c r="AR43" s="614"/>
      <c r="AS43" s="614"/>
      <c r="AT43" s="614"/>
      <c r="AU43" s="614"/>
      <c r="AV43" s="614"/>
      <c r="AW43" s="614"/>
      <c r="AX43" s="614"/>
      <c r="AY43" s="614"/>
      <c r="AZ43" s="614"/>
      <c r="BA43" s="614"/>
      <c r="BB43" s="614"/>
      <c r="BC43" s="614"/>
      <c r="BD43" s="614"/>
      <c r="BE43" s="614"/>
      <c r="BF43" s="614"/>
      <c r="BG43" s="614"/>
      <c r="BH43" s="614"/>
    </row>
    <row r="44" spans="1:60" ht="15.75" hidden="1">
      <c r="A44" s="640"/>
      <c r="B44" s="641" t="s">
        <v>764</v>
      </c>
      <c r="C44" s="644"/>
      <c r="D44" s="607"/>
      <c r="E44" s="642"/>
      <c r="F44" s="642"/>
      <c r="G44" s="609"/>
      <c r="H44" s="643"/>
      <c r="I44" s="643"/>
      <c r="J44" s="643"/>
      <c r="K44" s="643"/>
      <c r="L44" s="643"/>
      <c r="M44" s="643"/>
      <c r="N44" s="612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  <c r="AK44" s="614"/>
      <c r="AL44" s="614"/>
      <c r="AM44" s="614"/>
      <c r="AN44" s="614"/>
      <c r="AO44" s="614"/>
      <c r="AP44" s="614"/>
      <c r="AQ44" s="614"/>
      <c r="AR44" s="614"/>
      <c r="AS44" s="614"/>
      <c r="AT44" s="614"/>
      <c r="AU44" s="614"/>
      <c r="AV44" s="614"/>
      <c r="AW44" s="614"/>
      <c r="AX44" s="614"/>
      <c r="AY44" s="614"/>
      <c r="AZ44" s="614"/>
      <c r="BA44" s="614"/>
      <c r="BB44" s="614"/>
      <c r="BC44" s="614"/>
      <c r="BD44" s="614"/>
      <c r="BE44" s="614"/>
      <c r="BF44" s="614"/>
      <c r="BG44" s="614"/>
      <c r="BH44" s="614"/>
    </row>
    <row r="45" spans="1:60" ht="15.75" hidden="1">
      <c r="A45" s="623"/>
      <c r="B45" s="624"/>
      <c r="C45" s="625" t="s">
        <v>765</v>
      </c>
      <c r="D45" s="626"/>
      <c r="E45" s="626"/>
      <c r="F45" s="626"/>
      <c r="G45" s="627"/>
      <c r="H45" s="626">
        <f aca="true" t="shared" si="0" ref="H45:M45">SUM(H42:H44)</f>
        <v>0</v>
      </c>
      <c r="I45" s="626">
        <f t="shared" si="0"/>
        <v>0</v>
      </c>
      <c r="J45" s="626">
        <f t="shared" si="0"/>
        <v>0</v>
      </c>
      <c r="K45" s="626">
        <f t="shared" si="0"/>
        <v>0</v>
      </c>
      <c r="L45" s="626">
        <f t="shared" si="0"/>
        <v>0</v>
      </c>
      <c r="M45" s="626">
        <f t="shared" si="0"/>
        <v>0</v>
      </c>
      <c r="N45" s="612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  <c r="AK45" s="614"/>
      <c r="AL45" s="614"/>
      <c r="AM45" s="614"/>
      <c r="AN45" s="614"/>
      <c r="AO45" s="614"/>
      <c r="AP45" s="614"/>
      <c r="AQ45" s="614"/>
      <c r="AR45" s="614"/>
      <c r="AS45" s="614"/>
      <c r="AT45" s="614"/>
      <c r="AU45" s="614"/>
      <c r="AV45" s="614"/>
      <c r="AW45" s="614"/>
      <c r="AX45" s="614"/>
      <c r="AY45" s="614"/>
      <c r="AZ45" s="614"/>
      <c r="BA45" s="614"/>
      <c r="BB45" s="614"/>
      <c r="BC45" s="614"/>
      <c r="BD45" s="614"/>
      <c r="BE45" s="614"/>
      <c r="BF45" s="614"/>
      <c r="BG45" s="614"/>
      <c r="BH45" s="614"/>
    </row>
    <row r="46" spans="1:60" ht="12.75" hidden="1">
      <c r="A46" s="631"/>
      <c r="B46" s="632"/>
      <c r="C46" s="645"/>
      <c r="D46" s="646"/>
      <c r="E46" s="646"/>
      <c r="F46" s="646"/>
      <c r="G46" s="646"/>
      <c r="H46" s="645"/>
      <c r="I46" s="645"/>
      <c r="J46" s="645"/>
      <c r="K46" s="645"/>
      <c r="L46" s="645"/>
      <c r="M46" s="645"/>
      <c r="N46" s="612"/>
      <c r="O46" s="614"/>
      <c r="P46" s="614"/>
      <c r="Q46" s="614"/>
      <c r="R46" s="614"/>
      <c r="S46" s="614"/>
      <c r="T46" s="614"/>
      <c r="U46" s="614"/>
      <c r="V46" s="614"/>
      <c r="W46" s="614"/>
      <c r="X46" s="614"/>
      <c r="Y46" s="614"/>
      <c r="Z46" s="614"/>
      <c r="AA46" s="614"/>
      <c r="AB46" s="614"/>
      <c r="AC46" s="614"/>
      <c r="AD46" s="614"/>
      <c r="AE46" s="614"/>
      <c r="AF46" s="614"/>
      <c r="AG46" s="614"/>
      <c r="AH46" s="614"/>
      <c r="AI46" s="614"/>
      <c r="AJ46" s="614"/>
      <c r="AK46" s="614"/>
      <c r="AL46" s="614"/>
      <c r="AM46" s="614"/>
      <c r="AN46" s="614"/>
      <c r="AO46" s="614"/>
      <c r="AP46" s="614"/>
      <c r="AQ46" s="614"/>
      <c r="AR46" s="614"/>
      <c r="AS46" s="614"/>
      <c r="AT46" s="614"/>
      <c r="AU46" s="614"/>
      <c r="AV46" s="614"/>
      <c r="AW46" s="614"/>
      <c r="AX46" s="614"/>
      <c r="AY46" s="614"/>
      <c r="AZ46" s="614"/>
      <c r="BA46" s="614"/>
      <c r="BB46" s="614"/>
      <c r="BC46" s="614"/>
      <c r="BD46" s="614"/>
      <c r="BE46" s="614"/>
      <c r="BF46" s="614"/>
      <c r="BG46" s="614"/>
      <c r="BH46" s="614"/>
    </row>
    <row r="47" spans="1:60" ht="15.75" hidden="1">
      <c r="A47" s="1425" t="s">
        <v>766</v>
      </c>
      <c r="B47" s="1425"/>
      <c r="C47" s="1425"/>
      <c r="D47" s="647"/>
      <c r="E47" s="647"/>
      <c r="F47" s="647"/>
      <c r="G47" s="627"/>
      <c r="H47" s="648"/>
      <c r="I47" s="648"/>
      <c r="J47" s="648"/>
      <c r="K47" s="648"/>
      <c r="L47" s="648"/>
      <c r="M47" s="648"/>
      <c r="N47" s="612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  <c r="AL47" s="614"/>
      <c r="AM47" s="614"/>
      <c r="AN47" s="614"/>
      <c r="AO47" s="614"/>
      <c r="AP47" s="614"/>
      <c r="AQ47" s="614"/>
      <c r="AR47" s="614"/>
      <c r="AS47" s="614"/>
      <c r="AT47" s="614"/>
      <c r="AU47" s="614"/>
      <c r="AV47" s="614"/>
      <c r="AW47" s="614"/>
      <c r="AX47" s="614"/>
      <c r="AY47" s="614"/>
      <c r="AZ47" s="614"/>
      <c r="BA47" s="614"/>
      <c r="BB47" s="614"/>
      <c r="BC47" s="614"/>
      <c r="BD47" s="614"/>
      <c r="BE47" s="614"/>
      <c r="BF47" s="614"/>
      <c r="BG47" s="614"/>
      <c r="BH47" s="614"/>
    </row>
    <row r="48" spans="1:60" ht="12.75">
      <c r="A48" s="631"/>
      <c r="B48" s="632"/>
      <c r="C48" s="645"/>
      <c r="D48" s="646"/>
      <c r="E48" s="646"/>
      <c r="F48" s="646"/>
      <c r="G48" s="646"/>
      <c r="H48" s="645"/>
      <c r="I48" s="645"/>
      <c r="J48" s="645"/>
      <c r="K48" s="645"/>
      <c r="L48" s="645"/>
      <c r="M48" s="645"/>
      <c r="N48" s="612"/>
      <c r="O48" s="614"/>
      <c r="P48" s="614"/>
      <c r="Q48" s="614"/>
      <c r="R48" s="614"/>
      <c r="S48" s="614"/>
      <c r="T48" s="614"/>
      <c r="U48" s="614"/>
      <c r="V48" s="614"/>
      <c r="W48" s="614"/>
      <c r="X48" s="614"/>
      <c r="Y48" s="614"/>
      <c r="Z48" s="614"/>
      <c r="AA48" s="614"/>
      <c r="AB48" s="614"/>
      <c r="AC48" s="614"/>
      <c r="AD48" s="614"/>
      <c r="AE48" s="614"/>
      <c r="AF48" s="614"/>
      <c r="AG48" s="614"/>
      <c r="AH48" s="614"/>
      <c r="AI48" s="614"/>
      <c r="AJ48" s="614"/>
      <c r="AK48" s="614"/>
      <c r="AL48" s="614"/>
      <c r="AM48" s="614"/>
      <c r="AN48" s="614"/>
      <c r="AO48" s="614"/>
      <c r="AP48" s="614"/>
      <c r="AQ48" s="614"/>
      <c r="AR48" s="614"/>
      <c r="AS48" s="614"/>
      <c r="AT48" s="614"/>
      <c r="AU48" s="614"/>
      <c r="AV48" s="614"/>
      <c r="AW48" s="614"/>
      <c r="AX48" s="614"/>
      <c r="AY48" s="614"/>
      <c r="AZ48" s="614"/>
      <c r="BA48" s="614"/>
      <c r="BB48" s="614"/>
      <c r="BC48" s="614"/>
      <c r="BD48" s="614"/>
      <c r="BE48" s="614"/>
      <c r="BF48" s="614"/>
      <c r="BG48" s="614"/>
      <c r="BH48" s="614"/>
    </row>
    <row r="49" spans="1:60" ht="12.75">
      <c r="A49" s="649"/>
      <c r="B49" s="588"/>
      <c r="C49" s="612"/>
      <c r="D49" s="650"/>
      <c r="E49" s="650"/>
      <c r="F49" s="650"/>
      <c r="G49" s="650"/>
      <c r="H49" s="612"/>
      <c r="I49" s="612"/>
      <c r="J49" s="612"/>
      <c r="K49" s="612"/>
      <c r="L49" s="612"/>
      <c r="M49" s="612"/>
      <c r="N49" s="612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  <c r="AC49" s="614"/>
      <c r="AD49" s="614"/>
      <c r="AE49" s="614"/>
      <c r="AF49" s="614"/>
      <c r="AG49" s="614"/>
      <c r="AH49" s="614"/>
      <c r="AI49" s="614"/>
      <c r="AJ49" s="614"/>
      <c r="AK49" s="614"/>
      <c r="AL49" s="614"/>
      <c r="AM49" s="614"/>
      <c r="AN49" s="614"/>
      <c r="AO49" s="614"/>
      <c r="AP49" s="614"/>
      <c r="AQ49" s="614"/>
      <c r="AR49" s="614"/>
      <c r="AS49" s="614"/>
      <c r="AT49" s="614"/>
      <c r="AU49" s="614"/>
      <c r="AV49" s="614"/>
      <c r="AW49" s="614"/>
      <c r="AX49" s="614"/>
      <c r="AY49" s="614"/>
      <c r="AZ49" s="614"/>
      <c r="BA49" s="614"/>
      <c r="BB49" s="614"/>
      <c r="BC49" s="614"/>
      <c r="BD49" s="614"/>
      <c r="BE49" s="614"/>
      <c r="BF49" s="614"/>
      <c r="BG49" s="614"/>
      <c r="BH49" s="614"/>
    </row>
    <row r="50" spans="1:60" ht="12.75">
      <c r="A50" s="649"/>
      <c r="B50" s="588"/>
      <c r="C50" s="612"/>
      <c r="D50" s="650"/>
      <c r="E50" s="650"/>
      <c r="F50" s="650"/>
      <c r="G50" s="650"/>
      <c r="H50" s="612"/>
      <c r="I50" s="612"/>
      <c r="J50" s="612"/>
      <c r="K50" s="612"/>
      <c r="L50" s="612"/>
      <c r="M50" s="612"/>
      <c r="N50" s="612"/>
      <c r="O50" s="614"/>
      <c r="P50" s="614"/>
      <c r="Q50" s="614"/>
      <c r="R50" s="614"/>
      <c r="S50" s="614"/>
      <c r="T50" s="614"/>
      <c r="U50" s="614"/>
      <c r="V50" s="614"/>
      <c r="W50" s="614"/>
      <c r="X50" s="614"/>
      <c r="Y50" s="614"/>
      <c r="Z50" s="614"/>
      <c r="AA50" s="614"/>
      <c r="AB50" s="614"/>
      <c r="AC50" s="614"/>
      <c r="AD50" s="614"/>
      <c r="AE50" s="614"/>
      <c r="AF50" s="614"/>
      <c r="AG50" s="614"/>
      <c r="AH50" s="614"/>
      <c r="AI50" s="614"/>
      <c r="AJ50" s="614"/>
      <c r="AK50" s="614"/>
      <c r="AL50" s="614"/>
      <c r="AM50" s="614"/>
      <c r="AN50" s="614"/>
      <c r="AO50" s="614"/>
      <c r="AP50" s="614"/>
      <c r="AQ50" s="614"/>
      <c r="AR50" s="614"/>
      <c r="AS50" s="614"/>
      <c r="AT50" s="614"/>
      <c r="AU50" s="614"/>
      <c r="AV50" s="614"/>
      <c r="AW50" s="614"/>
      <c r="AX50" s="614"/>
      <c r="AY50" s="614"/>
      <c r="AZ50" s="614"/>
      <c r="BA50" s="614"/>
      <c r="BB50" s="614"/>
      <c r="BC50" s="614"/>
      <c r="BD50" s="614"/>
      <c r="BE50" s="614"/>
      <c r="BF50" s="614"/>
      <c r="BG50" s="614"/>
      <c r="BH50" s="614"/>
    </row>
    <row r="51" spans="1:60" ht="12.75">
      <c r="A51" s="649"/>
      <c r="B51" s="588"/>
      <c r="C51" s="612"/>
      <c r="D51" s="650"/>
      <c r="E51" s="650"/>
      <c r="F51" s="650"/>
      <c r="G51" s="650"/>
      <c r="H51" s="612"/>
      <c r="I51" s="612"/>
      <c r="J51" s="612"/>
      <c r="K51" s="612"/>
      <c r="L51" s="612"/>
      <c r="M51" s="612"/>
      <c r="N51" s="612"/>
      <c r="O51" s="614"/>
      <c r="P51" s="614"/>
      <c r="Q51" s="614"/>
      <c r="R51" s="614"/>
      <c r="S51" s="614"/>
      <c r="T51" s="614"/>
      <c r="U51" s="614"/>
      <c r="V51" s="614"/>
      <c r="W51" s="614"/>
      <c r="X51" s="614"/>
      <c r="Y51" s="614"/>
      <c r="Z51" s="614"/>
      <c r="AA51" s="614"/>
      <c r="AB51" s="614"/>
      <c r="AC51" s="614"/>
      <c r="AD51" s="614"/>
      <c r="AE51" s="614"/>
      <c r="AF51" s="614"/>
      <c r="AG51" s="614"/>
      <c r="AH51" s="614"/>
      <c r="AI51" s="614"/>
      <c r="AJ51" s="614"/>
      <c r="AK51" s="614"/>
      <c r="AL51" s="614"/>
      <c r="AM51" s="614"/>
      <c r="AN51" s="614"/>
      <c r="AO51" s="614"/>
      <c r="AP51" s="614"/>
      <c r="AQ51" s="614"/>
      <c r="AR51" s="614"/>
      <c r="AS51" s="614"/>
      <c r="AT51" s="614"/>
      <c r="AU51" s="614"/>
      <c r="AV51" s="614"/>
      <c r="AW51" s="614"/>
      <c r="AX51" s="614"/>
      <c r="AY51" s="614"/>
      <c r="AZ51" s="614"/>
      <c r="BA51" s="614"/>
      <c r="BB51" s="614"/>
      <c r="BC51" s="614"/>
      <c r="BD51" s="614"/>
      <c r="BE51" s="614"/>
      <c r="BF51" s="614"/>
      <c r="BG51" s="614"/>
      <c r="BH51" s="614"/>
    </row>
    <row r="52" spans="1:60" ht="12.75">
      <c r="A52" s="649"/>
      <c r="B52" s="588"/>
      <c r="C52" s="612"/>
      <c r="D52" s="650"/>
      <c r="E52" s="650"/>
      <c r="F52" s="650"/>
      <c r="G52" s="650"/>
      <c r="H52" s="612"/>
      <c r="I52" s="612"/>
      <c r="J52" s="612"/>
      <c r="K52" s="612"/>
      <c r="L52" s="612"/>
      <c r="M52" s="612"/>
      <c r="N52" s="612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614"/>
      <c r="AJ52" s="614"/>
      <c r="AK52" s="614"/>
      <c r="AL52" s="614"/>
      <c r="AM52" s="614"/>
      <c r="AN52" s="614"/>
      <c r="AO52" s="614"/>
      <c r="AP52" s="614"/>
      <c r="AQ52" s="614"/>
      <c r="AR52" s="614"/>
      <c r="AS52" s="614"/>
      <c r="AT52" s="614"/>
      <c r="AU52" s="614"/>
      <c r="AV52" s="614"/>
      <c r="AW52" s="614"/>
      <c r="AX52" s="614"/>
      <c r="AY52" s="614"/>
      <c r="AZ52" s="614"/>
      <c r="BA52" s="614"/>
      <c r="BB52" s="614"/>
      <c r="BC52" s="614"/>
      <c r="BD52" s="614"/>
      <c r="BE52" s="614"/>
      <c r="BF52" s="614"/>
      <c r="BG52" s="614"/>
      <c r="BH52" s="614"/>
    </row>
    <row r="53" spans="1:60" ht="12.75">
      <c r="A53" s="649"/>
      <c r="B53" s="588"/>
      <c r="C53" s="612"/>
      <c r="D53" s="650"/>
      <c r="E53" s="650"/>
      <c r="F53" s="650"/>
      <c r="G53" s="650"/>
      <c r="H53" s="612"/>
      <c r="I53" s="612"/>
      <c r="J53" s="612"/>
      <c r="K53" s="612"/>
      <c r="L53" s="612"/>
      <c r="M53" s="612"/>
      <c r="N53" s="612"/>
      <c r="O53" s="614"/>
      <c r="P53" s="614"/>
      <c r="Q53" s="614"/>
      <c r="R53" s="614"/>
      <c r="S53" s="614"/>
      <c r="T53" s="614"/>
      <c r="U53" s="614"/>
      <c r="V53" s="614"/>
      <c r="W53" s="614"/>
      <c r="X53" s="614"/>
      <c r="Y53" s="614"/>
      <c r="Z53" s="614"/>
      <c r="AA53" s="614"/>
      <c r="AB53" s="614"/>
      <c r="AC53" s="614"/>
      <c r="AD53" s="614"/>
      <c r="AE53" s="614"/>
      <c r="AF53" s="614"/>
      <c r="AG53" s="614"/>
      <c r="AH53" s="614"/>
      <c r="AI53" s="614"/>
      <c r="AJ53" s="614"/>
      <c r="AK53" s="614"/>
      <c r="AL53" s="614"/>
      <c r="AM53" s="614"/>
      <c r="AN53" s="614"/>
      <c r="AO53" s="614"/>
      <c r="AP53" s="614"/>
      <c r="AQ53" s="614"/>
      <c r="AR53" s="614"/>
      <c r="AS53" s="614"/>
      <c r="AT53" s="614"/>
      <c r="AU53" s="614"/>
      <c r="AV53" s="614"/>
      <c r="AW53" s="614"/>
      <c r="AX53" s="614"/>
      <c r="AY53" s="614"/>
      <c r="AZ53" s="614"/>
      <c r="BA53" s="614"/>
      <c r="BB53" s="614"/>
      <c r="BC53" s="614"/>
      <c r="BD53" s="614"/>
      <c r="BE53" s="614"/>
      <c r="BF53" s="614"/>
      <c r="BG53" s="614"/>
      <c r="BH53" s="614"/>
    </row>
    <row r="54" spans="1:60" ht="12.75">
      <c r="A54" s="649"/>
      <c r="B54" s="588"/>
      <c r="C54" s="612"/>
      <c r="D54" s="650"/>
      <c r="E54" s="650"/>
      <c r="F54" s="650"/>
      <c r="G54" s="650"/>
      <c r="H54" s="612"/>
      <c r="I54" s="612"/>
      <c r="J54" s="612"/>
      <c r="K54" s="612"/>
      <c r="L54" s="612"/>
      <c r="M54" s="612"/>
      <c r="N54" s="612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614"/>
      <c r="AJ54" s="614"/>
      <c r="AK54" s="614"/>
      <c r="AL54" s="614"/>
      <c r="AM54" s="614"/>
      <c r="AN54" s="614"/>
      <c r="AO54" s="614"/>
      <c r="AP54" s="614"/>
      <c r="AQ54" s="614"/>
      <c r="AR54" s="614"/>
      <c r="AS54" s="614"/>
      <c r="AT54" s="614"/>
      <c r="AU54" s="614"/>
      <c r="AV54" s="614"/>
      <c r="AW54" s="614"/>
      <c r="AX54" s="614"/>
      <c r="AY54" s="614"/>
      <c r="AZ54" s="614"/>
      <c r="BA54" s="614"/>
      <c r="BB54" s="614"/>
      <c r="BC54" s="614"/>
      <c r="BD54" s="614"/>
      <c r="BE54" s="614"/>
      <c r="BF54" s="614"/>
      <c r="BG54" s="614"/>
      <c r="BH54" s="614"/>
    </row>
    <row r="55" spans="1:60" ht="12.75">
      <c r="A55" s="649"/>
      <c r="B55" s="588"/>
      <c r="C55" s="612"/>
      <c r="D55" s="650"/>
      <c r="E55" s="650"/>
      <c r="F55" s="650"/>
      <c r="G55" s="650"/>
      <c r="H55" s="612"/>
      <c r="I55" s="612"/>
      <c r="J55" s="612"/>
      <c r="K55" s="612"/>
      <c r="L55" s="612"/>
      <c r="M55" s="612"/>
      <c r="N55" s="612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4"/>
      <c r="AH55" s="614"/>
      <c r="AI55" s="614"/>
      <c r="AJ55" s="614"/>
      <c r="AK55" s="614"/>
      <c r="AL55" s="614"/>
      <c r="AM55" s="614"/>
      <c r="AN55" s="614"/>
      <c r="AO55" s="614"/>
      <c r="AP55" s="614"/>
      <c r="AQ55" s="614"/>
      <c r="AR55" s="614"/>
      <c r="AS55" s="614"/>
      <c r="AT55" s="614"/>
      <c r="AU55" s="614"/>
      <c r="AV55" s="614"/>
      <c r="AW55" s="614"/>
      <c r="AX55" s="614"/>
      <c r="AY55" s="614"/>
      <c r="AZ55" s="614"/>
      <c r="BA55" s="614"/>
      <c r="BB55" s="614"/>
      <c r="BC55" s="614"/>
      <c r="BD55" s="614"/>
      <c r="BE55" s="614"/>
      <c r="BF55" s="614"/>
      <c r="BG55" s="614"/>
      <c r="BH55" s="614"/>
    </row>
    <row r="56" spans="1:60" ht="12.75">
      <c r="A56" s="649"/>
      <c r="B56" s="588"/>
      <c r="C56" s="612"/>
      <c r="D56" s="650"/>
      <c r="E56" s="650"/>
      <c r="F56" s="650"/>
      <c r="G56" s="650"/>
      <c r="H56" s="612"/>
      <c r="I56" s="612"/>
      <c r="J56" s="612"/>
      <c r="K56" s="612"/>
      <c r="L56" s="612"/>
      <c r="M56" s="612"/>
      <c r="N56" s="612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  <c r="Z56" s="614"/>
      <c r="AA56" s="614"/>
      <c r="AB56" s="614"/>
      <c r="AC56" s="614"/>
      <c r="AD56" s="614"/>
      <c r="AE56" s="614"/>
      <c r="AF56" s="614"/>
      <c r="AG56" s="614"/>
      <c r="AH56" s="614"/>
      <c r="AI56" s="614"/>
      <c r="AJ56" s="614"/>
      <c r="AK56" s="614"/>
      <c r="AL56" s="614"/>
      <c r="AM56" s="614"/>
      <c r="AN56" s="614"/>
      <c r="AO56" s="614"/>
      <c r="AP56" s="614"/>
      <c r="AQ56" s="614"/>
      <c r="AR56" s="614"/>
      <c r="AS56" s="614"/>
      <c r="AT56" s="614"/>
      <c r="AU56" s="614"/>
      <c r="AV56" s="614"/>
      <c r="AW56" s="614"/>
      <c r="AX56" s="614"/>
      <c r="AY56" s="614"/>
      <c r="AZ56" s="614"/>
      <c r="BA56" s="614"/>
      <c r="BB56" s="614"/>
      <c r="BC56" s="614"/>
      <c r="BD56" s="614"/>
      <c r="BE56" s="614"/>
      <c r="BF56" s="614"/>
      <c r="BG56" s="614"/>
      <c r="BH56" s="614"/>
    </row>
    <row r="57" spans="1:60" ht="12.75">
      <c r="A57" s="649"/>
      <c r="B57" s="588"/>
      <c r="C57" s="612"/>
      <c r="D57" s="650"/>
      <c r="E57" s="650"/>
      <c r="F57" s="650"/>
      <c r="G57" s="650"/>
      <c r="H57" s="612"/>
      <c r="I57" s="612"/>
      <c r="J57" s="612"/>
      <c r="K57" s="612"/>
      <c r="L57" s="612"/>
      <c r="M57" s="612"/>
      <c r="N57" s="612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  <c r="Z57" s="614"/>
      <c r="AA57" s="614"/>
      <c r="AB57" s="614"/>
      <c r="AC57" s="614"/>
      <c r="AD57" s="614"/>
      <c r="AE57" s="614"/>
      <c r="AF57" s="614"/>
      <c r="AG57" s="614"/>
      <c r="AH57" s="614"/>
      <c r="AI57" s="614"/>
      <c r="AJ57" s="614"/>
      <c r="AK57" s="614"/>
      <c r="AL57" s="614"/>
      <c r="AM57" s="614"/>
      <c r="AN57" s="614"/>
      <c r="AO57" s="614"/>
      <c r="AP57" s="614"/>
      <c r="AQ57" s="614"/>
      <c r="AR57" s="614"/>
      <c r="AS57" s="614"/>
      <c r="AT57" s="614"/>
      <c r="AU57" s="614"/>
      <c r="AV57" s="614"/>
      <c r="AW57" s="614"/>
      <c r="AX57" s="614"/>
      <c r="AY57" s="614"/>
      <c r="AZ57" s="614"/>
      <c r="BA57" s="614"/>
      <c r="BB57" s="614"/>
      <c r="BC57" s="614"/>
      <c r="BD57" s="614"/>
      <c r="BE57" s="614"/>
      <c r="BF57" s="614"/>
      <c r="BG57" s="614"/>
      <c r="BH57" s="614"/>
    </row>
    <row r="58" spans="1:60" ht="12.75">
      <c r="A58" s="649"/>
      <c r="B58" s="588"/>
      <c r="C58" s="612"/>
      <c r="D58" s="650"/>
      <c r="E58" s="650"/>
      <c r="F58" s="650"/>
      <c r="G58" s="650"/>
      <c r="H58" s="612"/>
      <c r="I58" s="612"/>
      <c r="J58" s="612"/>
      <c r="K58" s="612"/>
      <c r="L58" s="612"/>
      <c r="M58" s="612"/>
      <c r="N58" s="612"/>
      <c r="O58" s="614"/>
      <c r="P58" s="614"/>
      <c r="Q58" s="614"/>
      <c r="R58" s="614"/>
      <c r="S58" s="614"/>
      <c r="T58" s="614"/>
      <c r="U58" s="614"/>
      <c r="V58" s="614"/>
      <c r="W58" s="614"/>
      <c r="X58" s="614"/>
      <c r="Y58" s="614"/>
      <c r="Z58" s="614"/>
      <c r="AA58" s="614"/>
      <c r="AB58" s="614"/>
      <c r="AC58" s="614"/>
      <c r="AD58" s="614"/>
      <c r="AE58" s="614"/>
      <c r="AF58" s="614"/>
      <c r="AG58" s="614"/>
      <c r="AH58" s="614"/>
      <c r="AI58" s="614"/>
      <c r="AJ58" s="614"/>
      <c r="AK58" s="614"/>
      <c r="AL58" s="614"/>
      <c r="AM58" s="614"/>
      <c r="AN58" s="614"/>
      <c r="AO58" s="614"/>
      <c r="AP58" s="614"/>
      <c r="AQ58" s="614"/>
      <c r="AR58" s="614"/>
      <c r="AS58" s="614"/>
      <c r="AT58" s="614"/>
      <c r="AU58" s="614"/>
      <c r="AV58" s="614"/>
      <c r="AW58" s="614"/>
      <c r="AX58" s="614"/>
      <c r="AY58" s="614"/>
      <c r="AZ58" s="614"/>
      <c r="BA58" s="614"/>
      <c r="BB58" s="614"/>
      <c r="BC58" s="614"/>
      <c r="BD58" s="614"/>
      <c r="BE58" s="614"/>
      <c r="BF58" s="614"/>
      <c r="BG58" s="614"/>
      <c r="BH58" s="614"/>
    </row>
    <row r="59" spans="1:60" ht="12.75">
      <c r="A59" s="649"/>
      <c r="B59" s="588"/>
      <c r="C59" s="612"/>
      <c r="D59" s="650"/>
      <c r="E59" s="650"/>
      <c r="F59" s="650"/>
      <c r="G59" s="650"/>
      <c r="H59" s="612"/>
      <c r="I59" s="612"/>
      <c r="J59" s="612"/>
      <c r="K59" s="612"/>
      <c r="L59" s="612"/>
      <c r="M59" s="612"/>
      <c r="N59" s="612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614"/>
      <c r="AJ59" s="614"/>
      <c r="AK59" s="614"/>
      <c r="AL59" s="614"/>
      <c r="AM59" s="614"/>
      <c r="AN59" s="614"/>
      <c r="AO59" s="614"/>
      <c r="AP59" s="614"/>
      <c r="AQ59" s="614"/>
      <c r="AR59" s="614"/>
      <c r="AS59" s="614"/>
      <c r="AT59" s="614"/>
      <c r="AU59" s="614"/>
      <c r="AV59" s="614"/>
      <c r="AW59" s="614"/>
      <c r="AX59" s="614"/>
      <c r="AY59" s="614"/>
      <c r="AZ59" s="614"/>
      <c r="BA59" s="614"/>
      <c r="BB59" s="614"/>
      <c r="BC59" s="614"/>
      <c r="BD59" s="614"/>
      <c r="BE59" s="614"/>
      <c r="BF59" s="614"/>
      <c r="BG59" s="614"/>
      <c r="BH59" s="614"/>
    </row>
    <row r="60" spans="1:60" ht="12.75">
      <c r="A60" s="649"/>
      <c r="B60" s="588"/>
      <c r="C60" s="612"/>
      <c r="D60" s="650"/>
      <c r="E60" s="650"/>
      <c r="F60" s="650"/>
      <c r="G60" s="650"/>
      <c r="H60" s="612"/>
      <c r="I60" s="612"/>
      <c r="J60" s="612"/>
      <c r="K60" s="612"/>
      <c r="L60" s="612"/>
      <c r="M60" s="612"/>
      <c r="N60" s="612"/>
      <c r="O60" s="614"/>
      <c r="P60" s="614"/>
      <c r="Q60" s="614"/>
      <c r="R60" s="614"/>
      <c r="S60" s="614"/>
      <c r="T60" s="614"/>
      <c r="U60" s="614"/>
      <c r="V60" s="614"/>
      <c r="W60" s="614"/>
      <c r="X60" s="614"/>
      <c r="Y60" s="614"/>
      <c r="Z60" s="614"/>
      <c r="AA60" s="614"/>
      <c r="AB60" s="614"/>
      <c r="AC60" s="614"/>
      <c r="AD60" s="614"/>
      <c r="AE60" s="614"/>
      <c r="AF60" s="614"/>
      <c r="AG60" s="614"/>
      <c r="AH60" s="614"/>
      <c r="AI60" s="614"/>
      <c r="AJ60" s="614"/>
      <c r="AK60" s="614"/>
      <c r="AL60" s="614"/>
      <c r="AM60" s="614"/>
      <c r="AN60" s="614"/>
      <c r="AO60" s="614"/>
      <c r="AP60" s="614"/>
      <c r="AQ60" s="614"/>
      <c r="AR60" s="614"/>
      <c r="AS60" s="614"/>
      <c r="AT60" s="614"/>
      <c r="AU60" s="614"/>
      <c r="AV60" s="614"/>
      <c r="AW60" s="614"/>
      <c r="AX60" s="614"/>
      <c r="AY60" s="614"/>
      <c r="AZ60" s="614"/>
      <c r="BA60" s="614"/>
      <c r="BB60" s="614"/>
      <c r="BC60" s="614"/>
      <c r="BD60" s="614"/>
      <c r="BE60" s="614"/>
      <c r="BF60" s="614"/>
      <c r="BG60" s="614"/>
      <c r="BH60" s="614"/>
    </row>
    <row r="61" spans="1:60" ht="12.75">
      <c r="A61" s="649"/>
      <c r="B61" s="588"/>
      <c r="C61" s="612"/>
      <c r="D61" s="650"/>
      <c r="E61" s="650"/>
      <c r="F61" s="650"/>
      <c r="G61" s="650"/>
      <c r="H61" s="612"/>
      <c r="I61" s="612"/>
      <c r="J61" s="612"/>
      <c r="K61" s="612"/>
      <c r="L61" s="612"/>
      <c r="M61" s="612"/>
      <c r="N61" s="612"/>
      <c r="O61" s="614"/>
      <c r="P61" s="614"/>
      <c r="Q61" s="614"/>
      <c r="R61" s="614"/>
      <c r="S61" s="614"/>
      <c r="T61" s="614"/>
      <c r="U61" s="614"/>
      <c r="V61" s="614"/>
      <c r="W61" s="614"/>
      <c r="X61" s="614"/>
      <c r="Y61" s="614"/>
      <c r="Z61" s="614"/>
      <c r="AA61" s="614"/>
      <c r="AB61" s="614"/>
      <c r="AC61" s="614"/>
      <c r="AD61" s="614"/>
      <c r="AE61" s="614"/>
      <c r="AF61" s="614"/>
      <c r="AG61" s="614"/>
      <c r="AH61" s="614"/>
      <c r="AI61" s="614"/>
      <c r="AJ61" s="614"/>
      <c r="AK61" s="614"/>
      <c r="AL61" s="614"/>
      <c r="AM61" s="614"/>
      <c r="AN61" s="614"/>
      <c r="AO61" s="614"/>
      <c r="AP61" s="614"/>
      <c r="AQ61" s="614"/>
      <c r="AR61" s="614"/>
      <c r="AS61" s="614"/>
      <c r="AT61" s="614"/>
      <c r="AU61" s="614"/>
      <c r="AV61" s="614"/>
      <c r="AW61" s="614"/>
      <c r="AX61" s="614"/>
      <c r="AY61" s="614"/>
      <c r="AZ61" s="614"/>
      <c r="BA61" s="614"/>
      <c r="BB61" s="614"/>
      <c r="BC61" s="614"/>
      <c r="BD61" s="614"/>
      <c r="BE61" s="614"/>
      <c r="BF61" s="614"/>
      <c r="BG61" s="614"/>
      <c r="BH61" s="614"/>
    </row>
    <row r="62" spans="1:60" ht="12.75">
      <c r="A62" s="649"/>
      <c r="B62" s="588"/>
      <c r="C62" s="612"/>
      <c r="D62" s="650"/>
      <c r="E62" s="650"/>
      <c r="F62" s="650"/>
      <c r="G62" s="650"/>
      <c r="H62" s="612"/>
      <c r="I62" s="612"/>
      <c r="J62" s="612"/>
      <c r="K62" s="612"/>
      <c r="L62" s="612"/>
      <c r="M62" s="612"/>
      <c r="N62" s="612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614"/>
      <c r="AJ62" s="614"/>
      <c r="AK62" s="614"/>
      <c r="AL62" s="614"/>
      <c r="AM62" s="614"/>
      <c r="AN62" s="614"/>
      <c r="AO62" s="614"/>
      <c r="AP62" s="614"/>
      <c r="AQ62" s="614"/>
      <c r="AR62" s="614"/>
      <c r="AS62" s="614"/>
      <c r="AT62" s="614"/>
      <c r="AU62" s="614"/>
      <c r="AV62" s="614"/>
      <c r="AW62" s="614"/>
      <c r="AX62" s="614"/>
      <c r="AY62" s="614"/>
      <c r="AZ62" s="614"/>
      <c r="BA62" s="614"/>
      <c r="BB62" s="614"/>
      <c r="BC62" s="614"/>
      <c r="BD62" s="614"/>
      <c r="BE62" s="614"/>
      <c r="BF62" s="614"/>
      <c r="BG62" s="614"/>
      <c r="BH62" s="614"/>
    </row>
    <row r="63" spans="1:60" ht="12.75">
      <c r="A63" s="649"/>
      <c r="B63" s="588"/>
      <c r="C63" s="612"/>
      <c r="D63" s="650"/>
      <c r="E63" s="650"/>
      <c r="F63" s="650"/>
      <c r="G63" s="650"/>
      <c r="H63" s="612"/>
      <c r="I63" s="612"/>
      <c r="J63" s="612"/>
      <c r="K63" s="612"/>
      <c r="L63" s="612"/>
      <c r="M63" s="612"/>
      <c r="N63" s="612"/>
      <c r="O63" s="614"/>
      <c r="P63" s="614"/>
      <c r="Q63" s="614"/>
      <c r="R63" s="614"/>
      <c r="S63" s="614"/>
      <c r="T63" s="614"/>
      <c r="U63" s="614"/>
      <c r="V63" s="614"/>
      <c r="W63" s="614"/>
      <c r="X63" s="614"/>
      <c r="Y63" s="614"/>
      <c r="Z63" s="614"/>
      <c r="AA63" s="614"/>
      <c r="AB63" s="614"/>
      <c r="AC63" s="614"/>
      <c r="AD63" s="614"/>
      <c r="AE63" s="614"/>
      <c r="AF63" s="614"/>
      <c r="AG63" s="614"/>
      <c r="AH63" s="614"/>
      <c r="AI63" s="614"/>
      <c r="AJ63" s="614"/>
      <c r="AK63" s="614"/>
      <c r="AL63" s="614"/>
      <c r="AM63" s="614"/>
      <c r="AN63" s="614"/>
      <c r="AO63" s="614"/>
      <c r="AP63" s="614"/>
      <c r="AQ63" s="614"/>
      <c r="AR63" s="614"/>
      <c r="AS63" s="614"/>
      <c r="AT63" s="614"/>
      <c r="AU63" s="614"/>
      <c r="AV63" s="614"/>
      <c r="AW63" s="614"/>
      <c r="AX63" s="614"/>
      <c r="AY63" s="614"/>
      <c r="AZ63" s="614"/>
      <c r="BA63" s="614"/>
      <c r="BB63" s="614"/>
      <c r="BC63" s="614"/>
      <c r="BD63" s="614"/>
      <c r="BE63" s="614"/>
      <c r="BF63" s="614"/>
      <c r="BG63" s="614"/>
      <c r="BH63" s="614"/>
    </row>
    <row r="64" spans="1:60" ht="12.75">
      <c r="A64" s="649"/>
      <c r="B64" s="588"/>
      <c r="C64" s="612"/>
      <c r="D64" s="650"/>
      <c r="E64" s="650"/>
      <c r="F64" s="650"/>
      <c r="G64" s="650"/>
      <c r="H64" s="612"/>
      <c r="I64" s="612"/>
      <c r="J64" s="612"/>
      <c r="K64" s="612"/>
      <c r="L64" s="612"/>
      <c r="M64" s="612"/>
      <c r="N64" s="612"/>
      <c r="O64" s="614"/>
      <c r="P64" s="614"/>
      <c r="Q64" s="614"/>
      <c r="R64" s="614"/>
      <c r="S64" s="614"/>
      <c r="T64" s="614"/>
      <c r="U64" s="614"/>
      <c r="V64" s="614"/>
      <c r="W64" s="614"/>
      <c r="X64" s="614"/>
      <c r="Y64" s="614"/>
      <c r="Z64" s="614"/>
      <c r="AA64" s="614"/>
      <c r="AB64" s="614"/>
      <c r="AC64" s="614"/>
      <c r="AD64" s="614"/>
      <c r="AE64" s="614"/>
      <c r="AF64" s="614"/>
      <c r="AG64" s="614"/>
      <c r="AH64" s="614"/>
      <c r="AI64" s="614"/>
      <c r="AJ64" s="614"/>
      <c r="AK64" s="614"/>
      <c r="AL64" s="614"/>
      <c r="AM64" s="614"/>
      <c r="AN64" s="614"/>
      <c r="AO64" s="614"/>
      <c r="AP64" s="614"/>
      <c r="AQ64" s="614"/>
      <c r="AR64" s="614"/>
      <c r="AS64" s="614"/>
      <c r="AT64" s="614"/>
      <c r="AU64" s="614"/>
      <c r="AV64" s="614"/>
      <c r="AW64" s="614"/>
      <c r="AX64" s="614"/>
      <c r="AY64" s="614"/>
      <c r="AZ64" s="614"/>
      <c r="BA64" s="614"/>
      <c r="BB64" s="614"/>
      <c r="BC64" s="614"/>
      <c r="BD64" s="614"/>
      <c r="BE64" s="614"/>
      <c r="BF64" s="614"/>
      <c r="BG64" s="614"/>
      <c r="BH64" s="614"/>
    </row>
    <row r="65" spans="1:60" ht="12.75">
      <c r="A65" s="649"/>
      <c r="B65" s="588"/>
      <c r="C65" s="612"/>
      <c r="D65" s="650"/>
      <c r="E65" s="650"/>
      <c r="F65" s="650"/>
      <c r="G65" s="650"/>
      <c r="H65" s="612"/>
      <c r="I65" s="612"/>
      <c r="J65" s="612"/>
      <c r="K65" s="612"/>
      <c r="L65" s="612"/>
      <c r="M65" s="612"/>
      <c r="N65" s="612"/>
      <c r="O65" s="614"/>
      <c r="P65" s="614"/>
      <c r="Q65" s="614"/>
      <c r="R65" s="614"/>
      <c r="S65" s="614"/>
      <c r="T65" s="614"/>
      <c r="U65" s="614"/>
      <c r="V65" s="614"/>
      <c r="W65" s="614"/>
      <c r="X65" s="614"/>
      <c r="Y65" s="614"/>
      <c r="Z65" s="614"/>
      <c r="AA65" s="614"/>
      <c r="AB65" s="614"/>
      <c r="AC65" s="614"/>
      <c r="AD65" s="614"/>
      <c r="AE65" s="614"/>
      <c r="AF65" s="614"/>
      <c r="AG65" s="614"/>
      <c r="AH65" s="614"/>
      <c r="AI65" s="614"/>
      <c r="AJ65" s="614"/>
      <c r="AK65" s="614"/>
      <c r="AL65" s="614"/>
      <c r="AM65" s="614"/>
      <c r="AN65" s="614"/>
      <c r="AO65" s="614"/>
      <c r="AP65" s="614"/>
      <c r="AQ65" s="614"/>
      <c r="AR65" s="614"/>
      <c r="AS65" s="614"/>
      <c r="AT65" s="614"/>
      <c r="AU65" s="614"/>
      <c r="AV65" s="614"/>
      <c r="AW65" s="614"/>
      <c r="AX65" s="614"/>
      <c r="AY65" s="614"/>
      <c r="AZ65" s="614"/>
      <c r="BA65" s="614"/>
      <c r="BB65" s="614"/>
      <c r="BC65" s="614"/>
      <c r="BD65" s="614"/>
      <c r="BE65" s="614"/>
      <c r="BF65" s="614"/>
      <c r="BG65" s="614"/>
      <c r="BH65" s="614"/>
    </row>
    <row r="66" spans="1:60" ht="12.75">
      <c r="A66" s="649"/>
      <c r="B66" s="588"/>
      <c r="C66" s="612"/>
      <c r="D66" s="650"/>
      <c r="E66" s="650"/>
      <c r="F66" s="650"/>
      <c r="G66" s="650"/>
      <c r="H66" s="612"/>
      <c r="I66" s="612"/>
      <c r="J66" s="612"/>
      <c r="K66" s="612"/>
      <c r="L66" s="612"/>
      <c r="M66" s="612"/>
      <c r="N66" s="612"/>
      <c r="O66" s="614"/>
      <c r="P66" s="614"/>
      <c r="Q66" s="614"/>
      <c r="R66" s="614"/>
      <c r="S66" s="614"/>
      <c r="T66" s="614"/>
      <c r="U66" s="614"/>
      <c r="V66" s="614"/>
      <c r="W66" s="614"/>
      <c r="X66" s="614"/>
      <c r="Y66" s="614"/>
      <c r="Z66" s="614"/>
      <c r="AA66" s="614"/>
      <c r="AB66" s="614"/>
      <c r="AC66" s="614"/>
      <c r="AD66" s="614"/>
      <c r="AE66" s="614"/>
      <c r="AF66" s="614"/>
      <c r="AG66" s="614"/>
      <c r="AH66" s="614"/>
      <c r="AI66" s="614"/>
      <c r="AJ66" s="614"/>
      <c r="AK66" s="614"/>
      <c r="AL66" s="614"/>
      <c r="AM66" s="614"/>
      <c r="AN66" s="614"/>
      <c r="AO66" s="614"/>
      <c r="AP66" s="614"/>
      <c r="AQ66" s="614"/>
      <c r="AR66" s="614"/>
      <c r="AS66" s="614"/>
      <c r="AT66" s="614"/>
      <c r="AU66" s="614"/>
      <c r="AV66" s="614"/>
      <c r="AW66" s="614"/>
      <c r="AX66" s="614"/>
      <c r="AY66" s="614"/>
      <c r="AZ66" s="614"/>
      <c r="BA66" s="614"/>
      <c r="BB66" s="614"/>
      <c r="BC66" s="614"/>
      <c r="BD66" s="614"/>
      <c r="BE66" s="614"/>
      <c r="BF66" s="614"/>
      <c r="BG66" s="614"/>
      <c r="BH66" s="614"/>
    </row>
    <row r="67" spans="1:60" ht="12.75">
      <c r="A67" s="649"/>
      <c r="B67" s="588"/>
      <c r="C67" s="612"/>
      <c r="D67" s="650"/>
      <c r="E67" s="650"/>
      <c r="F67" s="650"/>
      <c r="G67" s="650"/>
      <c r="H67" s="612"/>
      <c r="I67" s="612"/>
      <c r="J67" s="612"/>
      <c r="K67" s="612"/>
      <c r="L67" s="612"/>
      <c r="M67" s="612"/>
      <c r="N67" s="612"/>
      <c r="O67" s="614"/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4"/>
      <c r="AB67" s="614"/>
      <c r="AC67" s="614"/>
      <c r="AD67" s="614"/>
      <c r="AE67" s="614"/>
      <c r="AF67" s="614"/>
      <c r="AG67" s="614"/>
      <c r="AH67" s="614"/>
      <c r="AI67" s="614"/>
      <c r="AJ67" s="614"/>
      <c r="AK67" s="614"/>
      <c r="AL67" s="614"/>
      <c r="AM67" s="614"/>
      <c r="AN67" s="614"/>
      <c r="AO67" s="614"/>
      <c r="AP67" s="614"/>
      <c r="AQ67" s="614"/>
      <c r="AR67" s="614"/>
      <c r="AS67" s="614"/>
      <c r="AT67" s="614"/>
      <c r="AU67" s="614"/>
      <c r="AV67" s="614"/>
      <c r="AW67" s="614"/>
      <c r="AX67" s="614"/>
      <c r="AY67" s="614"/>
      <c r="AZ67" s="614"/>
      <c r="BA67" s="614"/>
      <c r="BB67" s="614"/>
      <c r="BC67" s="614"/>
      <c r="BD67" s="614"/>
      <c r="BE67" s="614"/>
      <c r="BF67" s="614"/>
      <c r="BG67" s="614"/>
      <c r="BH67" s="614"/>
    </row>
    <row r="68" spans="1:60" ht="12.75">
      <c r="A68" s="649"/>
      <c r="B68" s="588"/>
      <c r="C68" s="612"/>
      <c r="D68" s="650"/>
      <c r="E68" s="650"/>
      <c r="F68" s="650"/>
      <c r="G68" s="650"/>
      <c r="H68" s="612"/>
      <c r="I68" s="612"/>
      <c r="J68" s="612"/>
      <c r="K68" s="612"/>
      <c r="L68" s="612"/>
      <c r="M68" s="612"/>
      <c r="N68" s="612"/>
      <c r="O68" s="614"/>
      <c r="P68" s="614"/>
      <c r="Q68" s="614"/>
      <c r="R68" s="614"/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  <c r="AD68" s="614"/>
      <c r="AE68" s="614"/>
      <c r="AF68" s="614"/>
      <c r="AG68" s="614"/>
      <c r="AH68" s="614"/>
      <c r="AI68" s="614"/>
      <c r="AJ68" s="614"/>
      <c r="AK68" s="614"/>
      <c r="AL68" s="614"/>
      <c r="AM68" s="614"/>
      <c r="AN68" s="614"/>
      <c r="AO68" s="614"/>
      <c r="AP68" s="614"/>
      <c r="AQ68" s="614"/>
      <c r="AR68" s="614"/>
      <c r="AS68" s="614"/>
      <c r="AT68" s="614"/>
      <c r="AU68" s="614"/>
      <c r="AV68" s="614"/>
      <c r="AW68" s="614"/>
      <c r="AX68" s="614"/>
      <c r="AY68" s="614"/>
      <c r="AZ68" s="614"/>
      <c r="BA68" s="614"/>
      <c r="BB68" s="614"/>
      <c r="BC68" s="614"/>
      <c r="BD68" s="614"/>
      <c r="BE68" s="614"/>
      <c r="BF68" s="614"/>
      <c r="BG68" s="614"/>
      <c r="BH68" s="614"/>
    </row>
    <row r="69" spans="1:60" ht="12.75">
      <c r="A69" s="649"/>
      <c r="B69" s="588"/>
      <c r="C69" s="612"/>
      <c r="D69" s="650"/>
      <c r="E69" s="650"/>
      <c r="F69" s="650"/>
      <c r="G69" s="650"/>
      <c r="H69" s="612"/>
      <c r="I69" s="612"/>
      <c r="J69" s="612"/>
      <c r="K69" s="612"/>
      <c r="L69" s="612"/>
      <c r="M69" s="612"/>
      <c r="N69" s="612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  <c r="AD69" s="614"/>
      <c r="AE69" s="614"/>
      <c r="AF69" s="614"/>
      <c r="AG69" s="614"/>
      <c r="AH69" s="614"/>
      <c r="AI69" s="614"/>
      <c r="AJ69" s="614"/>
      <c r="AK69" s="614"/>
      <c r="AL69" s="614"/>
      <c r="AM69" s="614"/>
      <c r="AN69" s="614"/>
      <c r="AO69" s="614"/>
      <c r="AP69" s="614"/>
      <c r="AQ69" s="614"/>
      <c r="AR69" s="614"/>
      <c r="AS69" s="614"/>
      <c r="AT69" s="614"/>
      <c r="AU69" s="614"/>
      <c r="AV69" s="614"/>
      <c r="AW69" s="614"/>
      <c r="AX69" s="614"/>
      <c r="AY69" s="614"/>
      <c r="AZ69" s="614"/>
      <c r="BA69" s="614"/>
      <c r="BB69" s="614"/>
      <c r="BC69" s="614"/>
      <c r="BD69" s="614"/>
      <c r="BE69" s="614"/>
      <c r="BF69" s="614"/>
      <c r="BG69" s="614"/>
      <c r="BH69" s="614"/>
    </row>
    <row r="70" spans="1:60" ht="12.75">
      <c r="A70" s="649"/>
      <c r="B70" s="588"/>
      <c r="C70" s="612"/>
      <c r="D70" s="650"/>
      <c r="E70" s="650"/>
      <c r="F70" s="650"/>
      <c r="G70" s="650"/>
      <c r="H70" s="612"/>
      <c r="I70" s="612"/>
      <c r="J70" s="612"/>
      <c r="K70" s="612"/>
      <c r="L70" s="612"/>
      <c r="M70" s="612"/>
      <c r="N70" s="612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614"/>
      <c r="Z70" s="614"/>
      <c r="AA70" s="614"/>
      <c r="AB70" s="614"/>
      <c r="AC70" s="614"/>
      <c r="AD70" s="614"/>
      <c r="AE70" s="614"/>
      <c r="AF70" s="614"/>
      <c r="AG70" s="614"/>
      <c r="AH70" s="614"/>
      <c r="AI70" s="614"/>
      <c r="AJ70" s="614"/>
      <c r="AK70" s="614"/>
      <c r="AL70" s="614"/>
      <c r="AM70" s="614"/>
      <c r="AN70" s="614"/>
      <c r="AO70" s="614"/>
      <c r="AP70" s="614"/>
      <c r="AQ70" s="614"/>
      <c r="AR70" s="614"/>
      <c r="AS70" s="614"/>
      <c r="AT70" s="614"/>
      <c r="AU70" s="614"/>
      <c r="AV70" s="614"/>
      <c r="AW70" s="614"/>
      <c r="AX70" s="614"/>
      <c r="AY70" s="614"/>
      <c r="AZ70" s="614"/>
      <c r="BA70" s="614"/>
      <c r="BB70" s="614"/>
      <c r="BC70" s="614"/>
      <c r="BD70" s="614"/>
      <c r="BE70" s="614"/>
      <c r="BF70" s="614"/>
      <c r="BG70" s="614"/>
      <c r="BH70" s="614"/>
    </row>
    <row r="71" spans="1:60" ht="12.75">
      <c r="A71" s="649"/>
      <c r="B71" s="588"/>
      <c r="C71" s="612"/>
      <c r="D71" s="650"/>
      <c r="E71" s="650"/>
      <c r="F71" s="650"/>
      <c r="G71" s="650"/>
      <c r="H71" s="612"/>
      <c r="I71" s="612"/>
      <c r="J71" s="612"/>
      <c r="K71" s="612"/>
      <c r="L71" s="612"/>
      <c r="M71" s="612"/>
      <c r="N71" s="612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  <c r="AL71" s="614"/>
      <c r="AM71" s="614"/>
      <c r="AN71" s="614"/>
      <c r="AO71" s="614"/>
      <c r="AP71" s="614"/>
      <c r="AQ71" s="614"/>
      <c r="AR71" s="614"/>
      <c r="AS71" s="614"/>
      <c r="AT71" s="614"/>
      <c r="AU71" s="614"/>
      <c r="AV71" s="614"/>
      <c r="AW71" s="614"/>
      <c r="AX71" s="614"/>
      <c r="AY71" s="614"/>
      <c r="AZ71" s="614"/>
      <c r="BA71" s="614"/>
      <c r="BB71" s="614"/>
      <c r="BC71" s="614"/>
      <c r="BD71" s="614"/>
      <c r="BE71" s="614"/>
      <c r="BF71" s="614"/>
      <c r="BG71" s="614"/>
      <c r="BH71" s="614"/>
    </row>
    <row r="72" spans="3:60" ht="12.75">
      <c r="C72" s="614"/>
      <c r="D72" s="613"/>
      <c r="E72" s="613"/>
      <c r="F72" s="613"/>
      <c r="G72" s="613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  <c r="AD72" s="614"/>
      <c r="AE72" s="614"/>
      <c r="AF72" s="614"/>
      <c r="AG72" s="614"/>
      <c r="AH72" s="614"/>
      <c r="AI72" s="614"/>
      <c r="AJ72" s="614"/>
      <c r="AK72" s="614"/>
      <c r="AL72" s="614"/>
      <c r="AM72" s="614"/>
      <c r="AN72" s="614"/>
      <c r="AO72" s="614"/>
      <c r="AP72" s="614"/>
      <c r="AQ72" s="614"/>
      <c r="AR72" s="614"/>
      <c r="AS72" s="614"/>
      <c r="AT72" s="614"/>
      <c r="AU72" s="614"/>
      <c r="AV72" s="614"/>
      <c r="AW72" s="614"/>
      <c r="AX72" s="614"/>
      <c r="AY72" s="614"/>
      <c r="AZ72" s="614"/>
      <c r="BA72" s="614"/>
      <c r="BB72" s="614"/>
      <c r="BC72" s="614"/>
      <c r="BD72" s="614"/>
      <c r="BE72" s="614"/>
      <c r="BF72" s="614"/>
      <c r="BG72" s="614"/>
      <c r="BH72" s="614"/>
    </row>
    <row r="73" spans="3:60" ht="12.75">
      <c r="C73" s="614"/>
      <c r="D73" s="613"/>
      <c r="E73" s="613"/>
      <c r="F73" s="613"/>
      <c r="G73" s="613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614"/>
      <c r="W73" s="614"/>
      <c r="X73" s="614"/>
      <c r="Y73" s="614"/>
      <c r="Z73" s="614"/>
      <c r="AA73" s="614"/>
      <c r="AB73" s="614"/>
      <c r="AC73" s="614"/>
      <c r="AD73" s="614"/>
      <c r="AE73" s="614"/>
      <c r="AF73" s="614"/>
      <c r="AG73" s="614"/>
      <c r="AH73" s="614"/>
      <c r="AI73" s="614"/>
      <c r="AJ73" s="614"/>
      <c r="AK73" s="614"/>
      <c r="AL73" s="614"/>
      <c r="AM73" s="614"/>
      <c r="AN73" s="614"/>
      <c r="AO73" s="614"/>
      <c r="AP73" s="614"/>
      <c r="AQ73" s="614"/>
      <c r="AR73" s="614"/>
      <c r="AS73" s="614"/>
      <c r="AT73" s="614"/>
      <c r="AU73" s="614"/>
      <c r="AV73" s="614"/>
      <c r="AW73" s="614"/>
      <c r="AX73" s="614"/>
      <c r="AY73" s="614"/>
      <c r="AZ73" s="614"/>
      <c r="BA73" s="614"/>
      <c r="BB73" s="614"/>
      <c r="BC73" s="614"/>
      <c r="BD73" s="614"/>
      <c r="BE73" s="614"/>
      <c r="BF73" s="614"/>
      <c r="BG73" s="614"/>
      <c r="BH73" s="614"/>
    </row>
    <row r="74" spans="3:60" ht="12.75">
      <c r="C74" s="614"/>
      <c r="D74" s="613"/>
      <c r="E74" s="613"/>
      <c r="F74" s="613"/>
      <c r="G74" s="613"/>
      <c r="H74" s="614"/>
      <c r="I74" s="614"/>
      <c r="J74" s="614"/>
      <c r="K74" s="614"/>
      <c r="L74" s="614"/>
      <c r="M74" s="614"/>
      <c r="N74" s="614"/>
      <c r="O74" s="614"/>
      <c r="P74" s="614"/>
      <c r="Q74" s="614"/>
      <c r="R74" s="614"/>
      <c r="S74" s="614"/>
      <c r="T74" s="614"/>
      <c r="U74" s="614"/>
      <c r="V74" s="614"/>
      <c r="W74" s="614"/>
      <c r="X74" s="614"/>
      <c r="Y74" s="614"/>
      <c r="Z74" s="614"/>
      <c r="AA74" s="614"/>
      <c r="AB74" s="614"/>
      <c r="AC74" s="614"/>
      <c r="AD74" s="614"/>
      <c r="AE74" s="614"/>
      <c r="AF74" s="614"/>
      <c r="AG74" s="614"/>
      <c r="AH74" s="614"/>
      <c r="AI74" s="614"/>
      <c r="AJ74" s="614"/>
      <c r="AK74" s="614"/>
      <c r="AL74" s="614"/>
      <c r="AM74" s="614"/>
      <c r="AN74" s="614"/>
      <c r="AO74" s="614"/>
      <c r="AP74" s="614"/>
      <c r="AQ74" s="614"/>
      <c r="AR74" s="614"/>
      <c r="AS74" s="614"/>
      <c r="AT74" s="614"/>
      <c r="AU74" s="614"/>
      <c r="AV74" s="614"/>
      <c r="AW74" s="614"/>
      <c r="AX74" s="614"/>
      <c r="AY74" s="614"/>
      <c r="AZ74" s="614"/>
      <c r="BA74" s="614"/>
      <c r="BB74" s="614"/>
      <c r="BC74" s="614"/>
      <c r="BD74" s="614"/>
      <c r="BE74" s="614"/>
      <c r="BF74" s="614"/>
      <c r="BG74" s="614"/>
      <c r="BH74" s="614"/>
    </row>
    <row r="75" spans="3:60" ht="12.75">
      <c r="C75" s="614"/>
      <c r="D75" s="613"/>
      <c r="E75" s="613"/>
      <c r="F75" s="613"/>
      <c r="G75" s="613"/>
      <c r="H75" s="614"/>
      <c r="I75" s="614"/>
      <c r="J75" s="614"/>
      <c r="K75" s="614"/>
      <c r="L75" s="614"/>
      <c r="M75" s="614"/>
      <c r="N75" s="614"/>
      <c r="O75" s="614"/>
      <c r="P75" s="614"/>
      <c r="Q75" s="614"/>
      <c r="R75" s="614"/>
      <c r="S75" s="614"/>
      <c r="T75" s="614"/>
      <c r="U75" s="614"/>
      <c r="V75" s="614"/>
      <c r="W75" s="614"/>
      <c r="X75" s="614"/>
      <c r="Y75" s="614"/>
      <c r="Z75" s="614"/>
      <c r="AA75" s="614"/>
      <c r="AB75" s="614"/>
      <c r="AC75" s="614"/>
      <c r="AD75" s="614"/>
      <c r="AE75" s="614"/>
      <c r="AF75" s="614"/>
      <c r="AG75" s="614"/>
      <c r="AH75" s="614"/>
      <c r="AI75" s="614"/>
      <c r="AJ75" s="614"/>
      <c r="AK75" s="614"/>
      <c r="AL75" s="614"/>
      <c r="AM75" s="614"/>
      <c r="AN75" s="614"/>
      <c r="AO75" s="614"/>
      <c r="AP75" s="614"/>
      <c r="AQ75" s="614"/>
      <c r="AR75" s="614"/>
      <c r="AS75" s="614"/>
      <c r="AT75" s="614"/>
      <c r="AU75" s="614"/>
      <c r="AV75" s="614"/>
      <c r="AW75" s="614"/>
      <c r="AX75" s="614"/>
      <c r="AY75" s="614"/>
      <c r="AZ75" s="614"/>
      <c r="BA75" s="614"/>
      <c r="BB75" s="614"/>
      <c r="BC75" s="614"/>
      <c r="BD75" s="614"/>
      <c r="BE75" s="614"/>
      <c r="BF75" s="614"/>
      <c r="BG75" s="614"/>
      <c r="BH75" s="614"/>
    </row>
    <row r="76" spans="3:60" ht="12.75">
      <c r="C76" s="614"/>
      <c r="D76" s="613"/>
      <c r="E76" s="613"/>
      <c r="F76" s="613"/>
      <c r="G76" s="613"/>
      <c r="H76" s="614"/>
      <c r="I76" s="614"/>
      <c r="J76" s="614"/>
      <c r="K76" s="614"/>
      <c r="L76" s="614"/>
      <c r="M76" s="614"/>
      <c r="N76" s="614"/>
      <c r="O76" s="614"/>
      <c r="P76" s="614"/>
      <c r="Q76" s="614"/>
      <c r="R76" s="614"/>
      <c r="S76" s="614"/>
      <c r="T76" s="614"/>
      <c r="U76" s="614"/>
      <c r="V76" s="614"/>
      <c r="W76" s="614"/>
      <c r="X76" s="614"/>
      <c r="Y76" s="614"/>
      <c r="Z76" s="614"/>
      <c r="AA76" s="614"/>
      <c r="AB76" s="614"/>
      <c r="AC76" s="614"/>
      <c r="AD76" s="614"/>
      <c r="AE76" s="614"/>
      <c r="AF76" s="614"/>
      <c r="AG76" s="614"/>
      <c r="AH76" s="614"/>
      <c r="AI76" s="614"/>
      <c r="AJ76" s="614"/>
      <c r="AK76" s="614"/>
      <c r="AL76" s="614"/>
      <c r="AM76" s="614"/>
      <c r="AN76" s="614"/>
      <c r="AO76" s="614"/>
      <c r="AP76" s="614"/>
      <c r="AQ76" s="614"/>
      <c r="AR76" s="614"/>
      <c r="AS76" s="614"/>
      <c r="AT76" s="614"/>
      <c r="AU76" s="614"/>
      <c r="AV76" s="614"/>
      <c r="AW76" s="614"/>
      <c r="AX76" s="614"/>
      <c r="AY76" s="614"/>
      <c r="AZ76" s="614"/>
      <c r="BA76" s="614"/>
      <c r="BB76" s="614"/>
      <c r="BC76" s="614"/>
      <c r="BD76" s="614"/>
      <c r="BE76" s="614"/>
      <c r="BF76" s="614"/>
      <c r="BG76" s="614"/>
      <c r="BH76" s="614"/>
    </row>
    <row r="77" spans="3:60" ht="12.75">
      <c r="C77" s="614"/>
      <c r="D77" s="613"/>
      <c r="E77" s="613"/>
      <c r="F77" s="613"/>
      <c r="G77" s="613"/>
      <c r="H77" s="614"/>
      <c r="I77" s="614"/>
      <c r="J77" s="614"/>
      <c r="K77" s="614"/>
      <c r="L77" s="614"/>
      <c r="M77" s="614"/>
      <c r="N77" s="614"/>
      <c r="O77" s="614"/>
      <c r="P77" s="614"/>
      <c r="Q77" s="614"/>
      <c r="R77" s="614"/>
      <c r="S77" s="614"/>
      <c r="T77" s="614"/>
      <c r="U77" s="614"/>
      <c r="V77" s="614"/>
      <c r="W77" s="614"/>
      <c r="X77" s="614"/>
      <c r="Y77" s="614"/>
      <c r="Z77" s="614"/>
      <c r="AA77" s="614"/>
      <c r="AB77" s="614"/>
      <c r="AC77" s="614"/>
      <c r="AD77" s="614"/>
      <c r="AE77" s="614"/>
      <c r="AF77" s="614"/>
      <c r="AG77" s="614"/>
      <c r="AH77" s="614"/>
      <c r="AI77" s="614"/>
      <c r="AJ77" s="614"/>
      <c r="AK77" s="614"/>
      <c r="AL77" s="614"/>
      <c r="AM77" s="614"/>
      <c r="AN77" s="614"/>
      <c r="AO77" s="614"/>
      <c r="AP77" s="614"/>
      <c r="AQ77" s="614"/>
      <c r="AR77" s="614"/>
      <c r="AS77" s="614"/>
      <c r="AT77" s="614"/>
      <c r="AU77" s="614"/>
      <c r="AV77" s="614"/>
      <c r="AW77" s="614"/>
      <c r="AX77" s="614"/>
      <c r="AY77" s="614"/>
      <c r="AZ77" s="614"/>
      <c r="BA77" s="614"/>
      <c r="BB77" s="614"/>
      <c r="BC77" s="614"/>
      <c r="BD77" s="614"/>
      <c r="BE77" s="614"/>
      <c r="BF77" s="614"/>
      <c r="BG77" s="614"/>
      <c r="BH77" s="614"/>
    </row>
    <row r="78" spans="3:60" ht="12.75">
      <c r="C78" s="614"/>
      <c r="D78" s="613"/>
      <c r="E78" s="613"/>
      <c r="F78" s="613"/>
      <c r="G78" s="613"/>
      <c r="H78" s="614"/>
      <c r="I78" s="614"/>
      <c r="J78" s="614"/>
      <c r="K78" s="614"/>
      <c r="L78" s="614"/>
      <c r="M78" s="614"/>
      <c r="N78" s="614"/>
      <c r="O78" s="614"/>
      <c r="P78" s="614"/>
      <c r="Q78" s="614"/>
      <c r="R78" s="614"/>
      <c r="S78" s="614"/>
      <c r="T78" s="614"/>
      <c r="U78" s="614"/>
      <c r="V78" s="614"/>
      <c r="W78" s="614"/>
      <c r="X78" s="614"/>
      <c r="Y78" s="614"/>
      <c r="Z78" s="614"/>
      <c r="AA78" s="614"/>
      <c r="AB78" s="614"/>
      <c r="AC78" s="614"/>
      <c r="AD78" s="614"/>
      <c r="AE78" s="614"/>
      <c r="AF78" s="614"/>
      <c r="AG78" s="614"/>
      <c r="AH78" s="614"/>
      <c r="AI78" s="614"/>
      <c r="AJ78" s="614"/>
      <c r="AK78" s="614"/>
      <c r="AL78" s="614"/>
      <c r="AM78" s="614"/>
      <c r="AN78" s="614"/>
      <c r="AO78" s="614"/>
      <c r="AP78" s="614"/>
      <c r="AQ78" s="614"/>
      <c r="AR78" s="614"/>
      <c r="AS78" s="614"/>
      <c r="AT78" s="614"/>
      <c r="AU78" s="614"/>
      <c r="AV78" s="614"/>
      <c r="AW78" s="614"/>
      <c r="AX78" s="614"/>
      <c r="AY78" s="614"/>
      <c r="AZ78" s="614"/>
      <c r="BA78" s="614"/>
      <c r="BB78" s="614"/>
      <c r="BC78" s="614"/>
      <c r="BD78" s="614"/>
      <c r="BE78" s="614"/>
      <c r="BF78" s="614"/>
      <c r="BG78" s="614"/>
      <c r="BH78" s="614"/>
    </row>
    <row r="79" spans="3:60" ht="12.75">
      <c r="C79" s="614"/>
      <c r="D79" s="613"/>
      <c r="E79" s="613"/>
      <c r="F79" s="613"/>
      <c r="G79" s="613"/>
      <c r="H79" s="614"/>
      <c r="I79" s="614"/>
      <c r="J79" s="614"/>
      <c r="K79" s="614"/>
      <c r="L79" s="614"/>
      <c r="M79" s="614"/>
      <c r="N79" s="614"/>
      <c r="O79" s="614"/>
      <c r="P79" s="614"/>
      <c r="Q79" s="614"/>
      <c r="R79" s="614"/>
      <c r="S79" s="614"/>
      <c r="T79" s="614"/>
      <c r="U79" s="614"/>
      <c r="V79" s="614"/>
      <c r="W79" s="614"/>
      <c r="X79" s="614"/>
      <c r="Y79" s="614"/>
      <c r="Z79" s="614"/>
      <c r="AA79" s="614"/>
      <c r="AB79" s="614"/>
      <c r="AC79" s="614"/>
      <c r="AD79" s="614"/>
      <c r="AE79" s="614"/>
      <c r="AF79" s="614"/>
      <c r="AG79" s="614"/>
      <c r="AH79" s="614"/>
      <c r="AI79" s="614"/>
      <c r="AJ79" s="614"/>
      <c r="AK79" s="614"/>
      <c r="AL79" s="614"/>
      <c r="AM79" s="614"/>
      <c r="AN79" s="614"/>
      <c r="AO79" s="614"/>
      <c r="AP79" s="614"/>
      <c r="AQ79" s="614"/>
      <c r="AR79" s="614"/>
      <c r="AS79" s="614"/>
      <c r="AT79" s="614"/>
      <c r="AU79" s="614"/>
      <c r="AV79" s="614"/>
      <c r="AW79" s="614"/>
      <c r="AX79" s="614"/>
      <c r="AY79" s="614"/>
      <c r="AZ79" s="614"/>
      <c r="BA79" s="614"/>
      <c r="BB79" s="614"/>
      <c r="BC79" s="614"/>
      <c r="BD79" s="614"/>
      <c r="BE79" s="614"/>
      <c r="BF79" s="614"/>
      <c r="BG79" s="614"/>
      <c r="BH79" s="614"/>
    </row>
    <row r="80" spans="3:60" ht="12.75">
      <c r="C80" s="614"/>
      <c r="D80" s="613"/>
      <c r="E80" s="613"/>
      <c r="F80" s="613"/>
      <c r="G80" s="613"/>
      <c r="H80" s="614"/>
      <c r="I80" s="614"/>
      <c r="J80" s="614"/>
      <c r="K80" s="614"/>
      <c r="L80" s="614"/>
      <c r="M80" s="614"/>
      <c r="N80" s="614"/>
      <c r="O80" s="614"/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4"/>
      <c r="AH80" s="614"/>
      <c r="AI80" s="614"/>
      <c r="AJ80" s="614"/>
      <c r="AK80" s="614"/>
      <c r="AL80" s="614"/>
      <c r="AM80" s="614"/>
      <c r="AN80" s="614"/>
      <c r="AO80" s="614"/>
      <c r="AP80" s="614"/>
      <c r="AQ80" s="614"/>
      <c r="AR80" s="614"/>
      <c r="AS80" s="614"/>
      <c r="AT80" s="614"/>
      <c r="AU80" s="614"/>
      <c r="AV80" s="614"/>
      <c r="AW80" s="614"/>
      <c r="AX80" s="614"/>
      <c r="AY80" s="614"/>
      <c r="AZ80" s="614"/>
      <c r="BA80" s="614"/>
      <c r="BB80" s="614"/>
      <c r="BC80" s="614"/>
      <c r="BD80" s="614"/>
      <c r="BE80" s="614"/>
      <c r="BF80" s="614"/>
      <c r="BG80" s="614"/>
      <c r="BH80" s="614"/>
    </row>
    <row r="81" spans="3:60" ht="12.75">
      <c r="C81" s="614"/>
      <c r="D81" s="613"/>
      <c r="E81" s="613"/>
      <c r="F81" s="613"/>
      <c r="G81" s="613"/>
      <c r="H81" s="614"/>
      <c r="I81" s="614"/>
      <c r="J81" s="614"/>
      <c r="K81" s="614"/>
      <c r="L81" s="614"/>
      <c r="M81" s="614"/>
      <c r="N81" s="614"/>
      <c r="O81" s="614"/>
      <c r="P81" s="614"/>
      <c r="Q81" s="614"/>
      <c r="R81" s="614"/>
      <c r="S81" s="614"/>
      <c r="T81" s="614"/>
      <c r="U81" s="614"/>
      <c r="V81" s="614"/>
      <c r="W81" s="614"/>
      <c r="X81" s="614"/>
      <c r="Y81" s="614"/>
      <c r="Z81" s="614"/>
      <c r="AA81" s="614"/>
      <c r="AB81" s="614"/>
      <c r="AC81" s="614"/>
      <c r="AD81" s="614"/>
      <c r="AE81" s="614"/>
      <c r="AF81" s="614"/>
      <c r="AG81" s="614"/>
      <c r="AH81" s="614"/>
      <c r="AI81" s="614"/>
      <c r="AJ81" s="614"/>
      <c r="AK81" s="614"/>
      <c r="AL81" s="614"/>
      <c r="AM81" s="614"/>
      <c r="AN81" s="614"/>
      <c r="AO81" s="614"/>
      <c r="AP81" s="614"/>
      <c r="AQ81" s="614"/>
      <c r="AR81" s="614"/>
      <c r="AS81" s="614"/>
      <c r="AT81" s="614"/>
      <c r="AU81" s="614"/>
      <c r="AV81" s="614"/>
      <c r="AW81" s="614"/>
      <c r="AX81" s="614"/>
      <c r="AY81" s="614"/>
      <c r="AZ81" s="614"/>
      <c r="BA81" s="614"/>
      <c r="BB81" s="614"/>
      <c r="BC81" s="614"/>
      <c r="BD81" s="614"/>
      <c r="BE81" s="614"/>
      <c r="BF81" s="614"/>
      <c r="BG81" s="614"/>
      <c r="BH81" s="614"/>
    </row>
    <row r="82" spans="3:60" ht="12.75">
      <c r="C82" s="614"/>
      <c r="D82" s="613"/>
      <c r="E82" s="613"/>
      <c r="F82" s="613"/>
      <c r="G82" s="613"/>
      <c r="H82" s="614"/>
      <c r="I82" s="614"/>
      <c r="J82" s="614"/>
      <c r="K82" s="614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  <c r="AK82" s="614"/>
      <c r="AL82" s="614"/>
      <c r="AM82" s="614"/>
      <c r="AN82" s="614"/>
      <c r="AO82" s="614"/>
      <c r="AP82" s="614"/>
      <c r="AQ82" s="614"/>
      <c r="AR82" s="614"/>
      <c r="AS82" s="614"/>
      <c r="AT82" s="614"/>
      <c r="AU82" s="614"/>
      <c r="AV82" s="614"/>
      <c r="AW82" s="614"/>
      <c r="AX82" s="614"/>
      <c r="AY82" s="614"/>
      <c r="AZ82" s="614"/>
      <c r="BA82" s="614"/>
      <c r="BB82" s="614"/>
      <c r="BC82" s="614"/>
      <c r="BD82" s="614"/>
      <c r="BE82" s="614"/>
      <c r="BF82" s="614"/>
      <c r="BG82" s="614"/>
      <c r="BH82" s="614"/>
    </row>
    <row r="83" spans="3:60" ht="12.75">
      <c r="C83" s="614"/>
      <c r="D83" s="613"/>
      <c r="E83" s="613"/>
      <c r="F83" s="613"/>
      <c r="G83" s="613"/>
      <c r="H83" s="614"/>
      <c r="I83" s="614"/>
      <c r="J83" s="614"/>
      <c r="K83" s="614"/>
      <c r="L83" s="614"/>
      <c r="M83" s="614"/>
      <c r="N83" s="614"/>
      <c r="O83" s="614"/>
      <c r="P83" s="614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614"/>
      <c r="AI83" s="614"/>
      <c r="AJ83" s="614"/>
      <c r="AK83" s="614"/>
      <c r="AL83" s="614"/>
      <c r="AM83" s="614"/>
      <c r="AN83" s="614"/>
      <c r="AO83" s="614"/>
      <c r="AP83" s="614"/>
      <c r="AQ83" s="614"/>
      <c r="AR83" s="614"/>
      <c r="AS83" s="614"/>
      <c r="AT83" s="614"/>
      <c r="AU83" s="614"/>
      <c r="AV83" s="614"/>
      <c r="AW83" s="614"/>
      <c r="AX83" s="614"/>
      <c r="AY83" s="614"/>
      <c r="AZ83" s="614"/>
      <c r="BA83" s="614"/>
      <c r="BB83" s="614"/>
      <c r="BC83" s="614"/>
      <c r="BD83" s="614"/>
      <c r="BE83" s="614"/>
      <c r="BF83" s="614"/>
      <c r="BG83" s="614"/>
      <c r="BH83" s="614"/>
    </row>
    <row r="84" spans="3:60" ht="12.75">
      <c r="C84" s="614"/>
      <c r="D84" s="613"/>
      <c r="E84" s="613"/>
      <c r="F84" s="613"/>
      <c r="G84" s="613"/>
      <c r="H84" s="614"/>
      <c r="I84" s="614"/>
      <c r="J84" s="614"/>
      <c r="K84" s="614"/>
      <c r="L84" s="614"/>
      <c r="M84" s="614"/>
      <c r="N84" s="614"/>
      <c r="O84" s="614"/>
      <c r="P84" s="614"/>
      <c r="Q84" s="614"/>
      <c r="R84" s="614"/>
      <c r="S84" s="614"/>
      <c r="T84" s="614"/>
      <c r="U84" s="614"/>
      <c r="V84" s="614"/>
      <c r="W84" s="614"/>
      <c r="X84" s="614"/>
      <c r="Y84" s="614"/>
      <c r="Z84" s="614"/>
      <c r="AA84" s="614"/>
      <c r="AB84" s="614"/>
      <c r="AC84" s="614"/>
      <c r="AD84" s="614"/>
      <c r="AE84" s="614"/>
      <c r="AF84" s="614"/>
      <c r="AG84" s="614"/>
      <c r="AH84" s="614"/>
      <c r="AI84" s="614"/>
      <c r="AJ84" s="614"/>
      <c r="AK84" s="614"/>
      <c r="AL84" s="614"/>
      <c r="AM84" s="614"/>
      <c r="AN84" s="614"/>
      <c r="AO84" s="614"/>
      <c r="AP84" s="614"/>
      <c r="AQ84" s="614"/>
      <c r="AR84" s="614"/>
      <c r="AS84" s="614"/>
      <c r="AT84" s="614"/>
      <c r="AU84" s="614"/>
      <c r="AV84" s="614"/>
      <c r="AW84" s="614"/>
      <c r="AX84" s="614"/>
      <c r="AY84" s="614"/>
      <c r="AZ84" s="614"/>
      <c r="BA84" s="614"/>
      <c r="BB84" s="614"/>
      <c r="BC84" s="614"/>
      <c r="BD84" s="614"/>
      <c r="BE84" s="614"/>
      <c r="BF84" s="614"/>
      <c r="BG84" s="614"/>
      <c r="BH84" s="614"/>
    </row>
    <row r="85" spans="3:60" ht="12.75">
      <c r="C85" s="614"/>
      <c r="D85" s="613"/>
      <c r="E85" s="613"/>
      <c r="F85" s="613"/>
      <c r="G85" s="613"/>
      <c r="H85" s="614"/>
      <c r="I85" s="614"/>
      <c r="J85" s="614"/>
      <c r="K85" s="614"/>
      <c r="L85" s="614"/>
      <c r="M85" s="614"/>
      <c r="N85" s="614"/>
      <c r="O85" s="614"/>
      <c r="P85" s="614"/>
      <c r="Q85" s="614"/>
      <c r="R85" s="614"/>
      <c r="S85" s="614"/>
      <c r="T85" s="614"/>
      <c r="U85" s="614"/>
      <c r="V85" s="614"/>
      <c r="W85" s="614"/>
      <c r="X85" s="614"/>
      <c r="Y85" s="614"/>
      <c r="Z85" s="614"/>
      <c r="AA85" s="614"/>
      <c r="AB85" s="614"/>
      <c r="AC85" s="614"/>
      <c r="AD85" s="614"/>
      <c r="AE85" s="614"/>
      <c r="AF85" s="614"/>
      <c r="AG85" s="614"/>
      <c r="AH85" s="614"/>
      <c r="AI85" s="614"/>
      <c r="AJ85" s="614"/>
      <c r="AK85" s="614"/>
      <c r="AL85" s="614"/>
      <c r="AM85" s="614"/>
      <c r="AN85" s="614"/>
      <c r="AO85" s="614"/>
      <c r="AP85" s="614"/>
      <c r="AQ85" s="614"/>
      <c r="AR85" s="614"/>
      <c r="AS85" s="614"/>
      <c r="AT85" s="614"/>
      <c r="AU85" s="614"/>
      <c r="AV85" s="614"/>
      <c r="AW85" s="614"/>
      <c r="AX85" s="614"/>
      <c r="AY85" s="614"/>
      <c r="AZ85" s="614"/>
      <c r="BA85" s="614"/>
      <c r="BB85" s="614"/>
      <c r="BC85" s="614"/>
      <c r="BD85" s="614"/>
      <c r="BE85" s="614"/>
      <c r="BF85" s="614"/>
      <c r="BG85" s="614"/>
      <c r="BH85" s="614"/>
    </row>
    <row r="86" spans="3:60" ht="12.75">
      <c r="C86" s="614"/>
      <c r="D86" s="613"/>
      <c r="E86" s="613"/>
      <c r="F86" s="613"/>
      <c r="G86" s="613"/>
      <c r="H86" s="614"/>
      <c r="I86" s="614"/>
      <c r="J86" s="614"/>
      <c r="K86" s="614"/>
      <c r="L86" s="614"/>
      <c r="M86" s="614"/>
      <c r="N86" s="614"/>
      <c r="O86" s="614"/>
      <c r="P86" s="614"/>
      <c r="Q86" s="614"/>
      <c r="R86" s="614"/>
      <c r="S86" s="614"/>
      <c r="T86" s="614"/>
      <c r="U86" s="614"/>
      <c r="V86" s="614"/>
      <c r="W86" s="614"/>
      <c r="X86" s="614"/>
      <c r="Y86" s="614"/>
      <c r="Z86" s="614"/>
      <c r="AA86" s="614"/>
      <c r="AB86" s="614"/>
      <c r="AC86" s="614"/>
      <c r="AD86" s="614"/>
      <c r="AE86" s="614"/>
      <c r="AF86" s="614"/>
      <c r="AG86" s="614"/>
      <c r="AH86" s="614"/>
      <c r="AI86" s="614"/>
      <c r="AJ86" s="614"/>
      <c r="AK86" s="614"/>
      <c r="AL86" s="614"/>
      <c r="AM86" s="614"/>
      <c r="AN86" s="614"/>
      <c r="AO86" s="614"/>
      <c r="AP86" s="614"/>
      <c r="AQ86" s="614"/>
      <c r="AR86" s="614"/>
      <c r="AS86" s="614"/>
      <c r="AT86" s="614"/>
      <c r="AU86" s="614"/>
      <c r="AV86" s="614"/>
      <c r="AW86" s="614"/>
      <c r="AX86" s="614"/>
      <c r="AY86" s="614"/>
      <c r="AZ86" s="614"/>
      <c r="BA86" s="614"/>
      <c r="BB86" s="614"/>
      <c r="BC86" s="614"/>
      <c r="BD86" s="614"/>
      <c r="BE86" s="614"/>
      <c r="BF86" s="614"/>
      <c r="BG86" s="614"/>
      <c r="BH86" s="614"/>
    </row>
    <row r="87" spans="1:60" ht="12.75">
      <c r="A87"/>
      <c r="C87" s="614"/>
      <c r="D87" s="613"/>
      <c r="E87" s="613"/>
      <c r="F87" s="613"/>
      <c r="G87" s="613"/>
      <c r="H87" s="614"/>
      <c r="I87" s="614"/>
      <c r="J87" s="614"/>
      <c r="K87" s="614"/>
      <c r="L87" s="614"/>
      <c r="M87" s="614"/>
      <c r="N87" s="614"/>
      <c r="O87" s="614"/>
      <c r="P87" s="614"/>
      <c r="Q87" s="614"/>
      <c r="R87" s="614"/>
      <c r="S87" s="614"/>
      <c r="T87" s="614"/>
      <c r="U87" s="614"/>
      <c r="V87" s="614"/>
      <c r="W87" s="614"/>
      <c r="X87" s="614"/>
      <c r="Y87" s="614"/>
      <c r="Z87" s="614"/>
      <c r="AA87" s="614"/>
      <c r="AB87" s="614"/>
      <c r="AC87" s="614"/>
      <c r="AD87" s="614"/>
      <c r="AE87" s="614"/>
      <c r="AF87" s="614"/>
      <c r="AG87" s="614"/>
      <c r="AH87" s="614"/>
      <c r="AI87" s="614"/>
      <c r="AJ87" s="614"/>
      <c r="AK87" s="614"/>
      <c r="AL87" s="614"/>
      <c r="AM87" s="614"/>
      <c r="AN87" s="614"/>
      <c r="AO87" s="614"/>
      <c r="AP87" s="614"/>
      <c r="AQ87" s="614"/>
      <c r="AR87" s="614"/>
      <c r="AS87" s="614"/>
      <c r="AT87" s="614"/>
      <c r="AU87" s="614"/>
      <c r="AV87" s="614"/>
      <c r="AW87" s="614"/>
      <c r="AX87" s="614"/>
      <c r="AY87" s="614"/>
      <c r="AZ87" s="614"/>
      <c r="BA87" s="614"/>
      <c r="BB87" s="614"/>
      <c r="BC87" s="614"/>
      <c r="BD87" s="614"/>
      <c r="BE87" s="614"/>
      <c r="BF87" s="614"/>
      <c r="BG87" s="614"/>
      <c r="BH87" s="614"/>
    </row>
    <row r="88" spans="1:60" ht="12.75">
      <c r="A88"/>
      <c r="C88" s="614"/>
      <c r="D88" s="613"/>
      <c r="E88" s="613"/>
      <c r="F88" s="613"/>
      <c r="G88" s="613"/>
      <c r="H88" s="614"/>
      <c r="I88" s="614"/>
      <c r="J88" s="614"/>
      <c r="K88" s="614"/>
      <c r="L88" s="614"/>
      <c r="M88" s="614"/>
      <c r="N88" s="614"/>
      <c r="O88" s="614"/>
      <c r="P88" s="614"/>
      <c r="Q88" s="614"/>
      <c r="R88" s="614"/>
      <c r="S88" s="614"/>
      <c r="T88" s="614"/>
      <c r="U88" s="614"/>
      <c r="V88" s="614"/>
      <c r="W88" s="614"/>
      <c r="X88" s="614"/>
      <c r="Y88" s="614"/>
      <c r="Z88" s="614"/>
      <c r="AA88" s="614"/>
      <c r="AB88" s="614"/>
      <c r="AC88" s="614"/>
      <c r="AD88" s="614"/>
      <c r="AE88" s="614"/>
      <c r="AF88" s="614"/>
      <c r="AG88" s="614"/>
      <c r="AH88" s="614"/>
      <c r="AI88" s="614"/>
      <c r="AJ88" s="614"/>
      <c r="AK88" s="614"/>
      <c r="AL88" s="614"/>
      <c r="AM88" s="614"/>
      <c r="AN88" s="614"/>
      <c r="AO88" s="614"/>
      <c r="AP88" s="614"/>
      <c r="AQ88" s="614"/>
      <c r="AR88" s="614"/>
      <c r="AS88" s="614"/>
      <c r="AT88" s="614"/>
      <c r="AU88" s="614"/>
      <c r="AV88" s="614"/>
      <c r="AW88" s="614"/>
      <c r="AX88" s="614"/>
      <c r="AY88" s="614"/>
      <c r="AZ88" s="614"/>
      <c r="BA88" s="614"/>
      <c r="BB88" s="614"/>
      <c r="BC88" s="614"/>
      <c r="BD88" s="614"/>
      <c r="BE88" s="614"/>
      <c r="BF88" s="614"/>
      <c r="BG88" s="614"/>
      <c r="BH88" s="614"/>
    </row>
    <row r="89" spans="1:60" ht="12.75">
      <c r="A89"/>
      <c r="C89" s="614"/>
      <c r="D89" s="613"/>
      <c r="E89" s="613"/>
      <c r="F89" s="613"/>
      <c r="G89" s="613"/>
      <c r="H89" s="614"/>
      <c r="I89" s="614"/>
      <c r="J89" s="614"/>
      <c r="K89" s="614"/>
      <c r="L89" s="614"/>
      <c r="M89" s="614"/>
      <c r="N89" s="614"/>
      <c r="O89" s="614"/>
      <c r="P89" s="614"/>
      <c r="Q89" s="614"/>
      <c r="R89" s="614"/>
      <c r="S89" s="614"/>
      <c r="T89" s="614"/>
      <c r="U89" s="614"/>
      <c r="V89" s="614"/>
      <c r="W89" s="614"/>
      <c r="X89" s="614"/>
      <c r="Y89" s="614"/>
      <c r="Z89" s="614"/>
      <c r="AA89" s="614"/>
      <c r="AB89" s="614"/>
      <c r="AC89" s="614"/>
      <c r="AD89" s="614"/>
      <c r="AE89" s="614"/>
      <c r="AF89" s="614"/>
      <c r="AG89" s="614"/>
      <c r="AH89" s="614"/>
      <c r="AI89" s="614"/>
      <c r="AJ89" s="614"/>
      <c r="AK89" s="614"/>
      <c r="AL89" s="614"/>
      <c r="AM89" s="614"/>
      <c r="AN89" s="614"/>
      <c r="AO89" s="614"/>
      <c r="AP89" s="614"/>
      <c r="AQ89" s="614"/>
      <c r="AR89" s="614"/>
      <c r="AS89" s="614"/>
      <c r="AT89" s="614"/>
      <c r="AU89" s="614"/>
      <c r="AV89" s="614"/>
      <c r="AW89" s="614"/>
      <c r="AX89" s="614"/>
      <c r="AY89" s="614"/>
      <c r="AZ89" s="614"/>
      <c r="BA89" s="614"/>
      <c r="BB89" s="614"/>
      <c r="BC89" s="614"/>
      <c r="BD89" s="614"/>
      <c r="BE89" s="614"/>
      <c r="BF89" s="614"/>
      <c r="BG89" s="614"/>
      <c r="BH89" s="614"/>
    </row>
    <row r="90" spans="1:60" ht="12.75">
      <c r="A90"/>
      <c r="C90" s="614"/>
      <c r="D90" s="613"/>
      <c r="E90" s="613"/>
      <c r="F90" s="613"/>
      <c r="G90" s="613"/>
      <c r="H90" s="614"/>
      <c r="I90" s="614"/>
      <c r="J90" s="614"/>
      <c r="K90" s="614"/>
      <c r="L90" s="614"/>
      <c r="M90" s="614"/>
      <c r="N90" s="614"/>
      <c r="O90" s="614"/>
      <c r="P90" s="614"/>
      <c r="Q90" s="614"/>
      <c r="R90" s="614"/>
      <c r="S90" s="614"/>
      <c r="T90" s="614"/>
      <c r="U90" s="614"/>
      <c r="V90" s="614"/>
      <c r="W90" s="614"/>
      <c r="X90" s="614"/>
      <c r="Y90" s="614"/>
      <c r="Z90" s="614"/>
      <c r="AA90" s="614"/>
      <c r="AB90" s="614"/>
      <c r="AC90" s="614"/>
      <c r="AD90" s="614"/>
      <c r="AE90" s="614"/>
      <c r="AF90" s="614"/>
      <c r="AG90" s="614"/>
      <c r="AH90" s="614"/>
      <c r="AI90" s="614"/>
      <c r="AJ90" s="614"/>
      <c r="AK90" s="614"/>
      <c r="AL90" s="614"/>
      <c r="AM90" s="614"/>
      <c r="AN90" s="614"/>
      <c r="AO90" s="614"/>
      <c r="AP90" s="614"/>
      <c r="AQ90" s="614"/>
      <c r="AR90" s="614"/>
      <c r="AS90" s="614"/>
      <c r="AT90" s="614"/>
      <c r="AU90" s="614"/>
      <c r="AV90" s="614"/>
      <c r="AW90" s="614"/>
      <c r="AX90" s="614"/>
      <c r="AY90" s="614"/>
      <c r="AZ90" s="614"/>
      <c r="BA90" s="614"/>
      <c r="BB90" s="614"/>
      <c r="BC90" s="614"/>
      <c r="BD90" s="614"/>
      <c r="BE90" s="614"/>
      <c r="BF90" s="614"/>
      <c r="BG90" s="614"/>
      <c r="BH90" s="614"/>
    </row>
    <row r="91" spans="1:60" ht="12.75">
      <c r="A91"/>
      <c r="C91" s="614"/>
      <c r="D91" s="613"/>
      <c r="E91" s="613"/>
      <c r="F91" s="613"/>
      <c r="G91" s="613"/>
      <c r="H91" s="614"/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  <c r="AC91" s="614"/>
      <c r="AD91" s="614"/>
      <c r="AE91" s="614"/>
      <c r="AF91" s="614"/>
      <c r="AG91" s="614"/>
      <c r="AH91" s="614"/>
      <c r="AI91" s="614"/>
      <c r="AJ91" s="614"/>
      <c r="AK91" s="614"/>
      <c r="AL91" s="614"/>
      <c r="AM91" s="614"/>
      <c r="AN91" s="614"/>
      <c r="AO91" s="614"/>
      <c r="AP91" s="614"/>
      <c r="AQ91" s="614"/>
      <c r="AR91" s="614"/>
      <c r="AS91" s="614"/>
      <c r="AT91" s="614"/>
      <c r="AU91" s="614"/>
      <c r="AV91" s="614"/>
      <c r="AW91" s="614"/>
      <c r="AX91" s="614"/>
      <c r="AY91" s="614"/>
      <c r="AZ91" s="614"/>
      <c r="BA91" s="614"/>
      <c r="BB91" s="614"/>
      <c r="BC91" s="614"/>
      <c r="BD91" s="614"/>
      <c r="BE91" s="614"/>
      <c r="BF91" s="614"/>
      <c r="BG91" s="614"/>
      <c r="BH91" s="614"/>
    </row>
    <row r="92" spans="1:60" ht="12.75">
      <c r="A92"/>
      <c r="C92" s="614"/>
      <c r="D92" s="613"/>
      <c r="E92" s="613"/>
      <c r="F92" s="613"/>
      <c r="G92" s="613"/>
      <c r="H92" s="614"/>
      <c r="I92" s="614"/>
      <c r="J92" s="614"/>
      <c r="K92" s="614"/>
      <c r="L92" s="614"/>
      <c r="M92" s="614"/>
      <c r="N92" s="614"/>
      <c r="O92" s="614"/>
      <c r="P92" s="614"/>
      <c r="Q92" s="614"/>
      <c r="R92" s="614"/>
      <c r="S92" s="614"/>
      <c r="T92" s="614"/>
      <c r="U92" s="614"/>
      <c r="V92" s="614"/>
      <c r="W92" s="614"/>
      <c r="X92" s="614"/>
      <c r="Y92" s="614"/>
      <c r="Z92" s="614"/>
      <c r="AA92" s="614"/>
      <c r="AB92" s="614"/>
      <c r="AC92" s="614"/>
      <c r="AD92" s="614"/>
      <c r="AE92" s="614"/>
      <c r="AF92" s="614"/>
      <c r="AG92" s="614"/>
      <c r="AH92" s="614"/>
      <c r="AI92" s="614"/>
      <c r="AJ92" s="614"/>
      <c r="AK92" s="614"/>
      <c r="AL92" s="614"/>
      <c r="AM92" s="614"/>
      <c r="AN92" s="614"/>
      <c r="AO92" s="614"/>
      <c r="AP92" s="614"/>
      <c r="AQ92" s="614"/>
      <c r="AR92" s="614"/>
      <c r="AS92" s="614"/>
      <c r="AT92" s="614"/>
      <c r="AU92" s="614"/>
      <c r="AV92" s="614"/>
      <c r="AW92" s="614"/>
      <c r="AX92" s="614"/>
      <c r="AY92" s="614"/>
      <c r="AZ92" s="614"/>
      <c r="BA92" s="614"/>
      <c r="BB92" s="614"/>
      <c r="BC92" s="614"/>
      <c r="BD92" s="614"/>
      <c r="BE92" s="614"/>
      <c r="BF92" s="614"/>
      <c r="BG92" s="614"/>
      <c r="BH92" s="614"/>
    </row>
    <row r="93" spans="1:60" ht="12.75">
      <c r="A93"/>
      <c r="C93" s="614"/>
      <c r="D93" s="613"/>
      <c r="E93" s="613"/>
      <c r="F93" s="613"/>
      <c r="G93" s="613"/>
      <c r="H93" s="614"/>
      <c r="I93" s="614"/>
      <c r="J93" s="614"/>
      <c r="K93" s="614"/>
      <c r="L93" s="614"/>
      <c r="M93" s="614"/>
      <c r="N93" s="614"/>
      <c r="O93" s="614"/>
      <c r="P93" s="614"/>
      <c r="Q93" s="614"/>
      <c r="R93" s="614"/>
      <c r="S93" s="614"/>
      <c r="T93" s="614"/>
      <c r="U93" s="614"/>
      <c r="V93" s="614"/>
      <c r="W93" s="614"/>
      <c r="X93" s="614"/>
      <c r="Y93" s="614"/>
      <c r="Z93" s="614"/>
      <c r="AA93" s="614"/>
      <c r="AB93" s="614"/>
      <c r="AC93" s="614"/>
      <c r="AD93" s="614"/>
      <c r="AE93" s="614"/>
      <c r="AF93" s="614"/>
      <c r="AG93" s="614"/>
      <c r="AH93" s="614"/>
      <c r="AI93" s="614"/>
      <c r="AJ93" s="614"/>
      <c r="AK93" s="614"/>
      <c r="AL93" s="614"/>
      <c r="AM93" s="614"/>
      <c r="AN93" s="614"/>
      <c r="AO93" s="614"/>
      <c r="AP93" s="614"/>
      <c r="AQ93" s="614"/>
      <c r="AR93" s="614"/>
      <c r="AS93" s="614"/>
      <c r="AT93" s="614"/>
      <c r="AU93" s="614"/>
      <c r="AV93" s="614"/>
      <c r="AW93" s="614"/>
      <c r="AX93" s="614"/>
      <c r="AY93" s="614"/>
      <c r="AZ93" s="614"/>
      <c r="BA93" s="614"/>
      <c r="BB93" s="614"/>
      <c r="BC93" s="614"/>
      <c r="BD93" s="614"/>
      <c r="BE93" s="614"/>
      <c r="BF93" s="614"/>
      <c r="BG93" s="614"/>
      <c r="BH93" s="614"/>
    </row>
    <row r="94" spans="1:60" ht="12.75">
      <c r="A94"/>
      <c r="C94" s="614"/>
      <c r="D94" s="613"/>
      <c r="E94" s="613"/>
      <c r="F94" s="613"/>
      <c r="G94" s="613"/>
      <c r="H94" s="614"/>
      <c r="I94" s="614"/>
      <c r="J94" s="614"/>
      <c r="K94" s="614"/>
      <c r="L94" s="614"/>
      <c r="M94" s="614"/>
      <c r="N94" s="614"/>
      <c r="O94" s="614"/>
      <c r="P94" s="614"/>
      <c r="Q94" s="614"/>
      <c r="R94" s="614"/>
      <c r="S94" s="614"/>
      <c r="T94" s="614"/>
      <c r="U94" s="614"/>
      <c r="V94" s="614"/>
      <c r="W94" s="614"/>
      <c r="X94" s="614"/>
      <c r="Y94" s="614"/>
      <c r="Z94" s="614"/>
      <c r="AA94" s="614"/>
      <c r="AB94" s="614"/>
      <c r="AC94" s="614"/>
      <c r="AD94" s="614"/>
      <c r="AE94" s="614"/>
      <c r="AF94" s="614"/>
      <c r="AG94" s="614"/>
      <c r="AH94" s="614"/>
      <c r="AI94" s="614"/>
      <c r="AJ94" s="614"/>
      <c r="AK94" s="614"/>
      <c r="AL94" s="614"/>
      <c r="AM94" s="614"/>
      <c r="AN94" s="614"/>
      <c r="AO94" s="614"/>
      <c r="AP94" s="614"/>
      <c r="AQ94" s="614"/>
      <c r="AR94" s="614"/>
      <c r="AS94" s="614"/>
      <c r="AT94" s="614"/>
      <c r="AU94" s="614"/>
      <c r="AV94" s="614"/>
      <c r="AW94" s="614"/>
      <c r="AX94" s="614"/>
      <c r="AY94" s="614"/>
      <c r="AZ94" s="614"/>
      <c r="BA94" s="614"/>
      <c r="BB94" s="614"/>
      <c r="BC94" s="614"/>
      <c r="BD94" s="614"/>
      <c r="BE94" s="614"/>
      <c r="BF94" s="614"/>
      <c r="BG94" s="614"/>
      <c r="BH94" s="614"/>
    </row>
    <row r="95" spans="1:60" ht="12.75">
      <c r="A95"/>
      <c r="C95" s="614"/>
      <c r="D95" s="613"/>
      <c r="E95" s="613"/>
      <c r="F95" s="613"/>
      <c r="G95" s="613"/>
      <c r="H95" s="614"/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4"/>
      <c r="U95" s="614"/>
      <c r="V95" s="614"/>
      <c r="W95" s="614"/>
      <c r="X95" s="614"/>
      <c r="Y95" s="614"/>
      <c r="Z95" s="614"/>
      <c r="AA95" s="614"/>
      <c r="AB95" s="614"/>
      <c r="AC95" s="614"/>
      <c r="AD95" s="614"/>
      <c r="AE95" s="614"/>
      <c r="AF95" s="614"/>
      <c r="AG95" s="614"/>
      <c r="AH95" s="614"/>
      <c r="AI95" s="614"/>
      <c r="AJ95" s="614"/>
      <c r="AK95" s="614"/>
      <c r="AL95" s="614"/>
      <c r="AM95" s="614"/>
      <c r="AN95" s="614"/>
      <c r="AO95" s="614"/>
      <c r="AP95" s="614"/>
      <c r="AQ95" s="614"/>
      <c r="AR95" s="614"/>
      <c r="AS95" s="614"/>
      <c r="AT95" s="614"/>
      <c r="AU95" s="614"/>
      <c r="AV95" s="614"/>
      <c r="AW95" s="614"/>
      <c r="AX95" s="614"/>
      <c r="AY95" s="614"/>
      <c r="AZ95" s="614"/>
      <c r="BA95" s="614"/>
      <c r="BB95" s="614"/>
      <c r="BC95" s="614"/>
      <c r="BD95" s="614"/>
      <c r="BE95" s="614"/>
      <c r="BF95" s="614"/>
      <c r="BG95" s="614"/>
      <c r="BH95" s="614"/>
    </row>
    <row r="96" spans="1:60" ht="12.75">
      <c r="A96"/>
      <c r="C96" s="614"/>
      <c r="D96" s="613"/>
      <c r="E96" s="613"/>
      <c r="F96" s="613"/>
      <c r="G96" s="613"/>
      <c r="H96" s="614"/>
      <c r="I96" s="614"/>
      <c r="J96" s="614"/>
      <c r="K96" s="614"/>
      <c r="L96" s="614"/>
      <c r="M96" s="614"/>
      <c r="N96" s="614"/>
      <c r="O96" s="614"/>
      <c r="P96" s="614"/>
      <c r="Q96" s="614"/>
      <c r="R96" s="614"/>
      <c r="S96" s="614"/>
      <c r="T96" s="614"/>
      <c r="U96" s="614"/>
      <c r="V96" s="614"/>
      <c r="W96" s="614"/>
      <c r="X96" s="614"/>
      <c r="Y96" s="614"/>
      <c r="Z96" s="614"/>
      <c r="AA96" s="614"/>
      <c r="AB96" s="614"/>
      <c r="AC96" s="614"/>
      <c r="AD96" s="614"/>
      <c r="AE96" s="614"/>
      <c r="AF96" s="614"/>
      <c r="AG96" s="614"/>
      <c r="AH96" s="614"/>
      <c r="AI96" s="614"/>
      <c r="AJ96" s="614"/>
      <c r="AK96" s="614"/>
      <c r="AL96" s="614"/>
      <c r="AM96" s="614"/>
      <c r="AN96" s="614"/>
      <c r="AO96" s="614"/>
      <c r="AP96" s="614"/>
      <c r="AQ96" s="614"/>
      <c r="AR96" s="614"/>
      <c r="AS96" s="614"/>
      <c r="AT96" s="614"/>
      <c r="AU96" s="614"/>
      <c r="AV96" s="614"/>
      <c r="AW96" s="614"/>
      <c r="AX96" s="614"/>
      <c r="AY96" s="614"/>
      <c r="AZ96" s="614"/>
      <c r="BA96" s="614"/>
      <c r="BB96" s="614"/>
      <c r="BC96" s="614"/>
      <c r="BD96" s="614"/>
      <c r="BE96" s="614"/>
      <c r="BF96" s="614"/>
      <c r="BG96" s="614"/>
      <c r="BH96" s="614"/>
    </row>
    <row r="97" spans="1:60" ht="12.75">
      <c r="A97"/>
      <c r="C97" s="614"/>
      <c r="D97" s="613"/>
      <c r="E97" s="613"/>
      <c r="F97" s="613"/>
      <c r="G97" s="613"/>
      <c r="H97" s="614"/>
      <c r="I97" s="614"/>
      <c r="J97" s="614"/>
      <c r="K97" s="614"/>
      <c r="L97" s="614"/>
      <c r="M97" s="614"/>
      <c r="N97" s="614"/>
      <c r="O97" s="614"/>
      <c r="P97" s="614"/>
      <c r="Q97" s="614"/>
      <c r="R97" s="614"/>
      <c r="S97" s="614"/>
      <c r="T97" s="614"/>
      <c r="U97" s="614"/>
      <c r="V97" s="614"/>
      <c r="W97" s="614"/>
      <c r="X97" s="614"/>
      <c r="Y97" s="614"/>
      <c r="Z97" s="614"/>
      <c r="AA97" s="614"/>
      <c r="AB97" s="614"/>
      <c r="AC97" s="614"/>
      <c r="AD97" s="614"/>
      <c r="AE97" s="614"/>
      <c r="AF97" s="614"/>
      <c r="AG97" s="614"/>
      <c r="AH97" s="614"/>
      <c r="AI97" s="614"/>
      <c r="AJ97" s="614"/>
      <c r="AK97" s="614"/>
      <c r="AL97" s="614"/>
      <c r="AM97" s="614"/>
      <c r="AN97" s="614"/>
      <c r="AO97" s="614"/>
      <c r="AP97" s="614"/>
      <c r="AQ97" s="614"/>
      <c r="AR97" s="614"/>
      <c r="AS97" s="614"/>
      <c r="AT97" s="614"/>
      <c r="AU97" s="614"/>
      <c r="AV97" s="614"/>
      <c r="AW97" s="614"/>
      <c r="AX97" s="614"/>
      <c r="AY97" s="614"/>
      <c r="AZ97" s="614"/>
      <c r="BA97" s="614"/>
      <c r="BB97" s="614"/>
      <c r="BC97" s="614"/>
      <c r="BD97" s="614"/>
      <c r="BE97" s="614"/>
      <c r="BF97" s="614"/>
      <c r="BG97" s="614"/>
      <c r="BH97" s="614"/>
    </row>
    <row r="98" spans="1:60" ht="12.75">
      <c r="A98"/>
      <c r="C98" s="614"/>
      <c r="D98" s="613"/>
      <c r="E98" s="613"/>
      <c r="F98" s="613"/>
      <c r="G98" s="613"/>
      <c r="H98" s="614"/>
      <c r="I98" s="614"/>
      <c r="J98" s="614"/>
      <c r="K98" s="614"/>
      <c r="L98" s="614"/>
      <c r="M98" s="614"/>
      <c r="N98" s="614"/>
      <c r="O98" s="614"/>
      <c r="P98" s="614"/>
      <c r="Q98" s="614"/>
      <c r="R98" s="614"/>
      <c r="S98" s="614"/>
      <c r="T98" s="614"/>
      <c r="U98" s="614"/>
      <c r="V98" s="614"/>
      <c r="W98" s="614"/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  <c r="AJ98" s="614"/>
      <c r="AK98" s="614"/>
      <c r="AL98" s="614"/>
      <c r="AM98" s="614"/>
      <c r="AN98" s="614"/>
      <c r="AO98" s="614"/>
      <c r="AP98" s="614"/>
      <c r="AQ98" s="614"/>
      <c r="AR98" s="614"/>
      <c r="AS98" s="614"/>
      <c r="AT98" s="614"/>
      <c r="AU98" s="614"/>
      <c r="AV98" s="614"/>
      <c r="AW98" s="614"/>
      <c r="AX98" s="614"/>
      <c r="AY98" s="614"/>
      <c r="AZ98" s="614"/>
      <c r="BA98" s="614"/>
      <c r="BB98" s="614"/>
      <c r="BC98" s="614"/>
      <c r="BD98" s="614"/>
      <c r="BE98" s="614"/>
      <c r="BF98" s="614"/>
      <c r="BG98" s="614"/>
      <c r="BH98" s="614"/>
    </row>
    <row r="99" spans="1:60" ht="12.75">
      <c r="A99"/>
      <c r="C99" s="614"/>
      <c r="D99" s="613"/>
      <c r="E99" s="613"/>
      <c r="F99" s="613"/>
      <c r="G99" s="613"/>
      <c r="H99" s="614"/>
      <c r="I99" s="614"/>
      <c r="J99" s="614"/>
      <c r="K99" s="614"/>
      <c r="L99" s="614"/>
      <c r="M99" s="614"/>
      <c r="N99" s="614"/>
      <c r="O99" s="614"/>
      <c r="P99" s="614"/>
      <c r="Q99" s="614"/>
      <c r="R99" s="614"/>
      <c r="S99" s="614"/>
      <c r="T99" s="614"/>
      <c r="U99" s="614"/>
      <c r="V99" s="614"/>
      <c r="W99" s="614"/>
      <c r="X99" s="614"/>
      <c r="Y99" s="614"/>
      <c r="Z99" s="614"/>
      <c r="AA99" s="614"/>
      <c r="AB99" s="614"/>
      <c r="AC99" s="614"/>
      <c r="AD99" s="614"/>
      <c r="AE99" s="614"/>
      <c r="AF99" s="614"/>
      <c r="AG99" s="614"/>
      <c r="AH99" s="614"/>
      <c r="AI99" s="614"/>
      <c r="AJ99" s="614"/>
      <c r="AK99" s="614"/>
      <c r="AL99" s="614"/>
      <c r="AM99" s="614"/>
      <c r="AN99" s="614"/>
      <c r="AO99" s="614"/>
      <c r="AP99" s="614"/>
      <c r="AQ99" s="614"/>
      <c r="AR99" s="614"/>
      <c r="AS99" s="614"/>
      <c r="AT99" s="614"/>
      <c r="AU99" s="614"/>
      <c r="AV99" s="614"/>
      <c r="AW99" s="614"/>
      <c r="AX99" s="614"/>
      <c r="AY99" s="614"/>
      <c r="AZ99" s="614"/>
      <c r="BA99" s="614"/>
      <c r="BB99" s="614"/>
      <c r="BC99" s="614"/>
      <c r="BD99" s="614"/>
      <c r="BE99" s="614"/>
      <c r="BF99" s="614"/>
      <c r="BG99" s="614"/>
      <c r="BH99" s="614"/>
    </row>
    <row r="100" spans="1:60" ht="12.75">
      <c r="A100"/>
      <c r="C100" s="614"/>
      <c r="D100" s="613"/>
      <c r="E100" s="613"/>
      <c r="F100" s="613"/>
      <c r="G100" s="613"/>
      <c r="H100" s="614"/>
      <c r="I100" s="614"/>
      <c r="J100" s="614"/>
      <c r="K100" s="614"/>
      <c r="L100" s="614"/>
      <c r="M100" s="614"/>
      <c r="N100" s="614"/>
      <c r="O100" s="614"/>
      <c r="P100" s="614"/>
      <c r="Q100" s="614"/>
      <c r="R100" s="614"/>
      <c r="S100" s="614"/>
      <c r="T100" s="614"/>
      <c r="U100" s="614"/>
      <c r="V100" s="614"/>
      <c r="W100" s="614"/>
      <c r="X100" s="614"/>
      <c r="Y100" s="614"/>
      <c r="Z100" s="614"/>
      <c r="AA100" s="614"/>
      <c r="AB100" s="614"/>
      <c r="AC100" s="614"/>
      <c r="AD100" s="614"/>
      <c r="AE100" s="614"/>
      <c r="AF100" s="614"/>
      <c r="AG100" s="614"/>
      <c r="AH100" s="614"/>
      <c r="AI100" s="614"/>
      <c r="AJ100" s="614"/>
      <c r="AK100" s="614"/>
      <c r="AL100" s="614"/>
      <c r="AM100" s="614"/>
      <c r="AN100" s="614"/>
      <c r="AO100" s="614"/>
      <c r="AP100" s="614"/>
      <c r="AQ100" s="614"/>
      <c r="AR100" s="614"/>
      <c r="AS100" s="614"/>
      <c r="AT100" s="614"/>
      <c r="AU100" s="614"/>
      <c r="AV100" s="614"/>
      <c r="AW100" s="614"/>
      <c r="AX100" s="614"/>
      <c r="AY100" s="614"/>
      <c r="AZ100" s="614"/>
      <c r="BA100" s="614"/>
      <c r="BB100" s="614"/>
      <c r="BC100" s="614"/>
      <c r="BD100" s="614"/>
      <c r="BE100" s="614"/>
      <c r="BF100" s="614"/>
      <c r="BG100" s="614"/>
      <c r="BH100" s="614"/>
    </row>
    <row r="101" spans="1:60" ht="12.75">
      <c r="A101"/>
      <c r="C101" s="614"/>
      <c r="D101" s="613"/>
      <c r="E101" s="613"/>
      <c r="F101" s="613"/>
      <c r="G101" s="613"/>
      <c r="H101" s="614"/>
      <c r="I101" s="614"/>
      <c r="J101" s="614"/>
      <c r="K101" s="614"/>
      <c r="L101" s="614"/>
      <c r="M101" s="614"/>
      <c r="N101" s="614"/>
      <c r="O101" s="614"/>
      <c r="P101" s="614"/>
      <c r="Q101" s="614"/>
      <c r="R101" s="614"/>
      <c r="S101" s="614"/>
      <c r="T101" s="614"/>
      <c r="U101" s="614"/>
      <c r="V101" s="614"/>
      <c r="W101" s="614"/>
      <c r="X101" s="614"/>
      <c r="Y101" s="614"/>
      <c r="Z101" s="614"/>
      <c r="AA101" s="614"/>
      <c r="AB101" s="614"/>
      <c r="AC101" s="614"/>
      <c r="AD101" s="614"/>
      <c r="AE101" s="614"/>
      <c r="AF101" s="614"/>
      <c r="AG101" s="614"/>
      <c r="AH101" s="614"/>
      <c r="AI101" s="614"/>
      <c r="AJ101" s="614"/>
      <c r="AK101" s="614"/>
      <c r="AL101" s="614"/>
      <c r="AM101" s="614"/>
      <c r="AN101" s="614"/>
      <c r="AO101" s="614"/>
      <c r="AP101" s="614"/>
      <c r="AQ101" s="614"/>
      <c r="AR101" s="614"/>
      <c r="AS101" s="614"/>
      <c r="AT101" s="614"/>
      <c r="AU101" s="614"/>
      <c r="AV101" s="614"/>
      <c r="AW101" s="614"/>
      <c r="AX101" s="614"/>
      <c r="AY101" s="614"/>
      <c r="AZ101" s="614"/>
      <c r="BA101" s="614"/>
      <c r="BB101" s="614"/>
      <c r="BC101" s="614"/>
      <c r="BD101" s="614"/>
      <c r="BE101" s="614"/>
      <c r="BF101" s="614"/>
      <c r="BG101" s="614"/>
      <c r="BH101" s="614"/>
    </row>
    <row r="102" spans="1:60" ht="12.75">
      <c r="A102"/>
      <c r="C102" s="614"/>
      <c r="D102" s="613"/>
      <c r="E102" s="613"/>
      <c r="F102" s="613"/>
      <c r="G102" s="613"/>
      <c r="H102" s="614"/>
      <c r="I102" s="614"/>
      <c r="J102" s="614"/>
      <c r="K102" s="614"/>
      <c r="L102" s="614"/>
      <c r="M102" s="614"/>
      <c r="N102" s="614"/>
      <c r="O102" s="614"/>
      <c r="P102" s="614"/>
      <c r="Q102" s="614"/>
      <c r="R102" s="614"/>
      <c r="S102" s="614"/>
      <c r="T102" s="614"/>
      <c r="U102" s="614"/>
      <c r="V102" s="614"/>
      <c r="W102" s="614"/>
      <c r="X102" s="614"/>
      <c r="Y102" s="614"/>
      <c r="Z102" s="614"/>
      <c r="AA102" s="614"/>
      <c r="AB102" s="614"/>
      <c r="AC102" s="614"/>
      <c r="AD102" s="614"/>
      <c r="AE102" s="614"/>
      <c r="AF102" s="614"/>
      <c r="AG102" s="614"/>
      <c r="AH102" s="614"/>
      <c r="AI102" s="614"/>
      <c r="AJ102" s="614"/>
      <c r="AK102" s="614"/>
      <c r="AL102" s="614"/>
      <c r="AM102" s="614"/>
      <c r="AN102" s="614"/>
      <c r="AO102" s="614"/>
      <c r="AP102" s="614"/>
      <c r="AQ102" s="614"/>
      <c r="AR102" s="614"/>
      <c r="AS102" s="614"/>
      <c r="AT102" s="614"/>
      <c r="AU102" s="614"/>
      <c r="AV102" s="614"/>
      <c r="AW102" s="614"/>
      <c r="AX102" s="614"/>
      <c r="AY102" s="614"/>
      <c r="AZ102" s="614"/>
      <c r="BA102" s="614"/>
      <c r="BB102" s="614"/>
      <c r="BC102" s="614"/>
      <c r="BD102" s="614"/>
      <c r="BE102" s="614"/>
      <c r="BF102" s="614"/>
      <c r="BG102" s="614"/>
      <c r="BH102" s="614"/>
    </row>
    <row r="103" spans="1:60" ht="12.75">
      <c r="A103"/>
      <c r="C103" s="614"/>
      <c r="D103" s="613"/>
      <c r="E103" s="613"/>
      <c r="F103" s="613"/>
      <c r="G103" s="613"/>
      <c r="H103" s="614"/>
      <c r="I103" s="614"/>
      <c r="J103" s="614"/>
      <c r="K103" s="614"/>
      <c r="L103" s="614"/>
      <c r="M103" s="614"/>
      <c r="N103" s="614"/>
      <c r="O103" s="614"/>
      <c r="P103" s="614"/>
      <c r="Q103" s="614"/>
      <c r="R103" s="614"/>
      <c r="S103" s="614"/>
      <c r="T103" s="614"/>
      <c r="U103" s="614"/>
      <c r="V103" s="614"/>
      <c r="W103" s="614"/>
      <c r="X103" s="614"/>
      <c r="Y103" s="614"/>
      <c r="Z103" s="614"/>
      <c r="AA103" s="614"/>
      <c r="AB103" s="614"/>
      <c r="AC103" s="614"/>
      <c r="AD103" s="614"/>
      <c r="AE103" s="614"/>
      <c r="AF103" s="614"/>
      <c r="AG103" s="614"/>
      <c r="AH103" s="614"/>
      <c r="AI103" s="614"/>
      <c r="AJ103" s="614"/>
      <c r="AK103" s="614"/>
      <c r="AL103" s="614"/>
      <c r="AM103" s="614"/>
      <c r="AN103" s="614"/>
      <c r="AO103" s="614"/>
      <c r="AP103" s="614"/>
      <c r="AQ103" s="614"/>
      <c r="AR103" s="614"/>
      <c r="AS103" s="614"/>
      <c r="AT103" s="614"/>
      <c r="AU103" s="614"/>
      <c r="AV103" s="614"/>
      <c r="AW103" s="614"/>
      <c r="AX103" s="614"/>
      <c r="AY103" s="614"/>
      <c r="AZ103" s="614"/>
      <c r="BA103" s="614"/>
      <c r="BB103" s="614"/>
      <c r="BC103" s="614"/>
      <c r="BD103" s="614"/>
      <c r="BE103" s="614"/>
      <c r="BF103" s="614"/>
      <c r="BG103" s="614"/>
      <c r="BH103" s="614"/>
    </row>
    <row r="104" spans="1:60" ht="12.75">
      <c r="A104"/>
      <c r="C104" s="614"/>
      <c r="D104" s="613"/>
      <c r="E104" s="613"/>
      <c r="F104" s="613"/>
      <c r="G104" s="613"/>
      <c r="H104" s="614"/>
      <c r="I104" s="614"/>
      <c r="J104" s="614"/>
      <c r="K104" s="614"/>
      <c r="L104" s="614"/>
      <c r="M104" s="614"/>
      <c r="N104" s="614"/>
      <c r="O104" s="614"/>
      <c r="P104" s="614"/>
      <c r="Q104" s="614"/>
      <c r="R104" s="614"/>
      <c r="S104" s="614"/>
      <c r="T104" s="614"/>
      <c r="U104" s="614"/>
      <c r="V104" s="614"/>
      <c r="W104" s="614"/>
      <c r="X104" s="614"/>
      <c r="Y104" s="614"/>
      <c r="Z104" s="614"/>
      <c r="AA104" s="614"/>
      <c r="AB104" s="614"/>
      <c r="AC104" s="614"/>
      <c r="AD104" s="614"/>
      <c r="AE104" s="614"/>
      <c r="AF104" s="614"/>
      <c r="AG104" s="614"/>
      <c r="AH104" s="614"/>
      <c r="AI104" s="614"/>
      <c r="AJ104" s="614"/>
      <c r="AK104" s="614"/>
      <c r="AL104" s="614"/>
      <c r="AM104" s="614"/>
      <c r="AN104" s="614"/>
      <c r="AO104" s="614"/>
      <c r="AP104" s="614"/>
      <c r="AQ104" s="614"/>
      <c r="AR104" s="614"/>
      <c r="AS104" s="614"/>
      <c r="AT104" s="614"/>
      <c r="AU104" s="614"/>
      <c r="AV104" s="614"/>
      <c r="AW104" s="614"/>
      <c r="AX104" s="614"/>
      <c r="AY104" s="614"/>
      <c r="AZ104" s="614"/>
      <c r="BA104" s="614"/>
      <c r="BB104" s="614"/>
      <c r="BC104" s="614"/>
      <c r="BD104" s="614"/>
      <c r="BE104" s="614"/>
      <c r="BF104" s="614"/>
      <c r="BG104" s="614"/>
      <c r="BH104" s="614"/>
    </row>
    <row r="105" spans="1:60" ht="12.75">
      <c r="A105"/>
      <c r="C105" s="614"/>
      <c r="D105" s="613"/>
      <c r="E105" s="613"/>
      <c r="F105" s="613"/>
      <c r="G105" s="613"/>
      <c r="H105" s="614"/>
      <c r="I105" s="614"/>
      <c r="J105" s="614"/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  <c r="U105" s="614"/>
      <c r="V105" s="614"/>
      <c r="W105" s="614"/>
      <c r="X105" s="614"/>
      <c r="Y105" s="614"/>
      <c r="Z105" s="614"/>
      <c r="AA105" s="614"/>
      <c r="AB105" s="614"/>
      <c r="AC105" s="614"/>
      <c r="AD105" s="614"/>
      <c r="AE105" s="614"/>
      <c r="AF105" s="614"/>
      <c r="AG105" s="614"/>
      <c r="AH105" s="614"/>
      <c r="AI105" s="614"/>
      <c r="AJ105" s="614"/>
      <c r="AK105" s="614"/>
      <c r="AL105" s="614"/>
      <c r="AM105" s="614"/>
      <c r="AN105" s="614"/>
      <c r="AO105" s="614"/>
      <c r="AP105" s="614"/>
      <c r="AQ105" s="614"/>
      <c r="AR105" s="614"/>
      <c r="AS105" s="614"/>
      <c r="AT105" s="614"/>
      <c r="AU105" s="614"/>
      <c r="AV105" s="614"/>
      <c r="AW105" s="614"/>
      <c r="AX105" s="614"/>
      <c r="AY105" s="614"/>
      <c r="AZ105" s="614"/>
      <c r="BA105" s="614"/>
      <c r="BB105" s="614"/>
      <c r="BC105" s="614"/>
      <c r="BD105" s="614"/>
      <c r="BE105" s="614"/>
      <c r="BF105" s="614"/>
      <c r="BG105" s="614"/>
      <c r="BH105" s="614"/>
    </row>
    <row r="106" spans="1:60" ht="12.75">
      <c r="A106"/>
      <c r="C106" s="614"/>
      <c r="D106" s="613"/>
      <c r="E106" s="613"/>
      <c r="F106" s="613"/>
      <c r="G106" s="613"/>
      <c r="H106" s="614"/>
      <c r="I106" s="614"/>
      <c r="J106" s="614"/>
      <c r="K106" s="614"/>
      <c r="L106" s="614"/>
      <c r="M106" s="614"/>
      <c r="N106" s="614"/>
      <c r="O106" s="614"/>
      <c r="P106" s="614"/>
      <c r="Q106" s="614"/>
      <c r="R106" s="614"/>
      <c r="S106" s="614"/>
      <c r="T106" s="614"/>
      <c r="U106" s="614"/>
      <c r="V106" s="614"/>
      <c r="W106" s="614"/>
      <c r="X106" s="614"/>
      <c r="Y106" s="614"/>
      <c r="Z106" s="614"/>
      <c r="AA106" s="614"/>
      <c r="AB106" s="614"/>
      <c r="AC106" s="614"/>
      <c r="AD106" s="614"/>
      <c r="AE106" s="614"/>
      <c r="AF106" s="614"/>
      <c r="AG106" s="614"/>
      <c r="AH106" s="614"/>
      <c r="AI106" s="614"/>
      <c r="AJ106" s="614"/>
      <c r="AK106" s="614"/>
      <c r="AL106" s="614"/>
      <c r="AM106" s="614"/>
      <c r="AN106" s="614"/>
      <c r="AO106" s="614"/>
      <c r="AP106" s="614"/>
      <c r="AQ106" s="614"/>
      <c r="AR106" s="614"/>
      <c r="AS106" s="614"/>
      <c r="AT106" s="614"/>
      <c r="AU106" s="614"/>
      <c r="AV106" s="614"/>
      <c r="AW106" s="614"/>
      <c r="AX106" s="614"/>
      <c r="AY106" s="614"/>
      <c r="AZ106" s="614"/>
      <c r="BA106" s="614"/>
      <c r="BB106" s="614"/>
      <c r="BC106" s="614"/>
      <c r="BD106" s="614"/>
      <c r="BE106" s="614"/>
      <c r="BF106" s="614"/>
      <c r="BG106" s="614"/>
      <c r="BH106" s="614"/>
    </row>
    <row r="107" spans="1:60" ht="12.75">
      <c r="A107"/>
      <c r="C107" s="614"/>
      <c r="D107" s="613"/>
      <c r="E107" s="613"/>
      <c r="F107" s="613"/>
      <c r="G107" s="613"/>
      <c r="H107" s="614"/>
      <c r="I107" s="614"/>
      <c r="J107" s="614"/>
      <c r="K107" s="614"/>
      <c r="L107" s="614"/>
      <c r="M107" s="614"/>
      <c r="N107" s="614"/>
      <c r="O107" s="614"/>
      <c r="P107" s="614"/>
      <c r="Q107" s="614"/>
      <c r="R107" s="614"/>
      <c r="S107" s="614"/>
      <c r="T107" s="614"/>
      <c r="U107" s="614"/>
      <c r="V107" s="614"/>
      <c r="W107" s="614"/>
      <c r="X107" s="614"/>
      <c r="Y107" s="614"/>
      <c r="Z107" s="614"/>
      <c r="AA107" s="614"/>
      <c r="AB107" s="614"/>
      <c r="AC107" s="614"/>
      <c r="AD107" s="614"/>
      <c r="AE107" s="614"/>
      <c r="AF107" s="614"/>
      <c r="AG107" s="614"/>
      <c r="AH107" s="614"/>
      <c r="AI107" s="614"/>
      <c r="AJ107" s="614"/>
      <c r="AK107" s="614"/>
      <c r="AL107" s="614"/>
      <c r="AM107" s="614"/>
      <c r="AN107" s="614"/>
      <c r="AO107" s="614"/>
      <c r="AP107" s="614"/>
      <c r="AQ107" s="614"/>
      <c r="AR107" s="614"/>
      <c r="AS107" s="614"/>
      <c r="AT107" s="614"/>
      <c r="AU107" s="614"/>
      <c r="AV107" s="614"/>
      <c r="AW107" s="614"/>
      <c r="AX107" s="614"/>
      <c r="AY107" s="614"/>
      <c r="AZ107" s="614"/>
      <c r="BA107" s="614"/>
      <c r="BB107" s="614"/>
      <c r="BC107" s="614"/>
      <c r="BD107" s="614"/>
      <c r="BE107" s="614"/>
      <c r="BF107" s="614"/>
      <c r="BG107" s="614"/>
      <c r="BH107" s="614"/>
    </row>
    <row r="108" spans="1:60" ht="12.75">
      <c r="A108"/>
      <c r="C108" s="614"/>
      <c r="D108" s="613"/>
      <c r="E108" s="613"/>
      <c r="F108" s="613"/>
      <c r="G108" s="613"/>
      <c r="H108" s="614"/>
      <c r="I108" s="614"/>
      <c r="J108" s="614"/>
      <c r="K108" s="614"/>
      <c r="L108" s="614"/>
      <c r="M108" s="614"/>
      <c r="N108" s="614"/>
      <c r="O108" s="614"/>
      <c r="P108" s="614"/>
      <c r="Q108" s="614"/>
      <c r="R108" s="614"/>
      <c r="S108" s="614"/>
      <c r="T108" s="614"/>
      <c r="U108" s="614"/>
      <c r="V108" s="614"/>
      <c r="W108" s="614"/>
      <c r="X108" s="614"/>
      <c r="Y108" s="614"/>
      <c r="Z108" s="614"/>
      <c r="AA108" s="614"/>
      <c r="AB108" s="614"/>
      <c r="AC108" s="614"/>
      <c r="AD108" s="614"/>
      <c r="AE108" s="614"/>
      <c r="AF108" s="614"/>
      <c r="AG108" s="614"/>
      <c r="AH108" s="614"/>
      <c r="AI108" s="614"/>
      <c r="AJ108" s="614"/>
      <c r="AK108" s="614"/>
      <c r="AL108" s="614"/>
      <c r="AM108" s="614"/>
      <c r="AN108" s="614"/>
      <c r="AO108" s="614"/>
      <c r="AP108" s="614"/>
      <c r="AQ108" s="614"/>
      <c r="AR108" s="614"/>
      <c r="AS108" s="614"/>
      <c r="AT108" s="614"/>
      <c r="AU108" s="614"/>
      <c r="AV108" s="614"/>
      <c r="AW108" s="614"/>
      <c r="AX108" s="614"/>
      <c r="AY108" s="614"/>
      <c r="AZ108" s="614"/>
      <c r="BA108" s="614"/>
      <c r="BB108" s="614"/>
      <c r="BC108" s="614"/>
      <c r="BD108" s="614"/>
      <c r="BE108" s="614"/>
      <c r="BF108" s="614"/>
      <c r="BG108" s="614"/>
      <c r="BH108" s="614"/>
    </row>
    <row r="109" spans="1:60" ht="12.75">
      <c r="A109"/>
      <c r="C109" s="614"/>
      <c r="D109" s="613"/>
      <c r="E109" s="613"/>
      <c r="F109" s="613"/>
      <c r="G109" s="613"/>
      <c r="H109" s="614"/>
      <c r="I109" s="614"/>
      <c r="J109" s="614"/>
      <c r="K109" s="614"/>
      <c r="L109" s="614"/>
      <c r="M109" s="614"/>
      <c r="N109" s="614"/>
      <c r="O109" s="614"/>
      <c r="P109" s="614"/>
      <c r="Q109" s="614"/>
      <c r="R109" s="614"/>
      <c r="S109" s="614"/>
      <c r="T109" s="614"/>
      <c r="U109" s="614"/>
      <c r="V109" s="614"/>
      <c r="W109" s="614"/>
      <c r="X109" s="614"/>
      <c r="Y109" s="614"/>
      <c r="Z109" s="614"/>
      <c r="AA109" s="614"/>
      <c r="AB109" s="614"/>
      <c r="AC109" s="614"/>
      <c r="AD109" s="614"/>
      <c r="AE109" s="614"/>
      <c r="AF109" s="614"/>
      <c r="AG109" s="614"/>
      <c r="AH109" s="614"/>
      <c r="AI109" s="614"/>
      <c r="AJ109" s="614"/>
      <c r="AK109" s="614"/>
      <c r="AL109" s="614"/>
      <c r="AM109" s="614"/>
      <c r="AN109" s="614"/>
      <c r="AO109" s="614"/>
      <c r="AP109" s="614"/>
      <c r="AQ109" s="614"/>
      <c r="AR109" s="614"/>
      <c r="AS109" s="614"/>
      <c r="AT109" s="614"/>
      <c r="AU109" s="614"/>
      <c r="AV109" s="614"/>
      <c r="AW109" s="614"/>
      <c r="AX109" s="614"/>
      <c r="AY109" s="614"/>
      <c r="AZ109" s="614"/>
      <c r="BA109" s="614"/>
      <c r="BB109" s="614"/>
      <c r="BC109" s="614"/>
      <c r="BD109" s="614"/>
      <c r="BE109" s="614"/>
      <c r="BF109" s="614"/>
      <c r="BG109" s="614"/>
      <c r="BH109" s="614"/>
    </row>
    <row r="110" spans="1:60" ht="12.75">
      <c r="A110"/>
      <c r="C110" s="614"/>
      <c r="D110" s="613"/>
      <c r="E110" s="613"/>
      <c r="F110" s="613"/>
      <c r="G110" s="613"/>
      <c r="H110" s="614"/>
      <c r="I110" s="614"/>
      <c r="J110" s="614"/>
      <c r="K110" s="614"/>
      <c r="L110" s="614"/>
      <c r="M110" s="614"/>
      <c r="N110" s="614"/>
      <c r="O110" s="614"/>
      <c r="P110" s="614"/>
      <c r="Q110" s="614"/>
      <c r="R110" s="614"/>
      <c r="S110" s="614"/>
      <c r="T110" s="614"/>
      <c r="U110" s="614"/>
      <c r="V110" s="614"/>
      <c r="W110" s="614"/>
      <c r="X110" s="614"/>
      <c r="Y110" s="614"/>
      <c r="Z110" s="614"/>
      <c r="AA110" s="614"/>
      <c r="AB110" s="614"/>
      <c r="AC110" s="614"/>
      <c r="AD110" s="614"/>
      <c r="AE110" s="614"/>
      <c r="AF110" s="614"/>
      <c r="AG110" s="614"/>
      <c r="AH110" s="614"/>
      <c r="AI110" s="614"/>
      <c r="AJ110" s="614"/>
      <c r="AK110" s="614"/>
      <c r="AL110" s="614"/>
      <c r="AM110" s="614"/>
      <c r="AN110" s="614"/>
      <c r="AO110" s="614"/>
      <c r="AP110" s="614"/>
      <c r="AQ110" s="614"/>
      <c r="AR110" s="614"/>
      <c r="AS110" s="614"/>
      <c r="AT110" s="614"/>
      <c r="AU110" s="614"/>
      <c r="AV110" s="614"/>
      <c r="AW110" s="614"/>
      <c r="AX110" s="614"/>
      <c r="AY110" s="614"/>
      <c r="AZ110" s="614"/>
      <c r="BA110" s="614"/>
      <c r="BB110" s="614"/>
      <c r="BC110" s="614"/>
      <c r="BD110" s="614"/>
      <c r="BE110" s="614"/>
      <c r="BF110" s="614"/>
      <c r="BG110" s="614"/>
      <c r="BH110" s="614"/>
    </row>
    <row r="111" spans="1:60" ht="12.75">
      <c r="A111"/>
      <c r="C111" s="614"/>
      <c r="D111" s="613"/>
      <c r="E111" s="613"/>
      <c r="F111" s="613"/>
      <c r="G111" s="613"/>
      <c r="H111" s="614"/>
      <c r="I111" s="614"/>
      <c r="J111" s="614"/>
      <c r="K111" s="614"/>
      <c r="L111" s="614"/>
      <c r="M111" s="614"/>
      <c r="N111" s="614"/>
      <c r="O111" s="614"/>
      <c r="P111" s="614"/>
      <c r="Q111" s="614"/>
      <c r="R111" s="614"/>
      <c r="S111" s="614"/>
      <c r="T111" s="614"/>
      <c r="U111" s="614"/>
      <c r="V111" s="614"/>
      <c r="W111" s="614"/>
      <c r="X111" s="614"/>
      <c r="Y111" s="614"/>
      <c r="Z111" s="614"/>
      <c r="AA111" s="614"/>
      <c r="AB111" s="614"/>
      <c r="AC111" s="614"/>
      <c r="AD111" s="614"/>
      <c r="AE111" s="614"/>
      <c r="AF111" s="614"/>
      <c r="AG111" s="614"/>
      <c r="AH111" s="614"/>
      <c r="AI111" s="614"/>
      <c r="AJ111" s="614"/>
      <c r="AK111" s="614"/>
      <c r="AL111" s="614"/>
      <c r="AM111" s="614"/>
      <c r="AN111" s="614"/>
      <c r="AO111" s="614"/>
      <c r="AP111" s="614"/>
      <c r="AQ111" s="614"/>
      <c r="AR111" s="614"/>
      <c r="AS111" s="614"/>
      <c r="AT111" s="614"/>
      <c r="AU111" s="614"/>
      <c r="AV111" s="614"/>
      <c r="AW111" s="614"/>
      <c r="AX111" s="614"/>
      <c r="AY111" s="614"/>
      <c r="AZ111" s="614"/>
      <c r="BA111" s="614"/>
      <c r="BB111" s="614"/>
      <c r="BC111" s="614"/>
      <c r="BD111" s="614"/>
      <c r="BE111" s="614"/>
      <c r="BF111" s="614"/>
      <c r="BG111" s="614"/>
      <c r="BH111" s="614"/>
    </row>
    <row r="112" spans="1:60" ht="12.75">
      <c r="A112"/>
      <c r="C112" s="614"/>
      <c r="D112" s="613"/>
      <c r="E112" s="613"/>
      <c r="F112" s="613"/>
      <c r="G112" s="613"/>
      <c r="H112" s="614"/>
      <c r="I112" s="614"/>
      <c r="J112" s="614"/>
      <c r="K112" s="614"/>
      <c r="L112" s="614"/>
      <c r="M112" s="614"/>
      <c r="N112" s="614"/>
      <c r="O112" s="614"/>
      <c r="P112" s="614"/>
      <c r="Q112" s="614"/>
      <c r="R112" s="614"/>
      <c r="S112" s="614"/>
      <c r="T112" s="614"/>
      <c r="U112" s="614"/>
      <c r="V112" s="614"/>
      <c r="W112" s="614"/>
      <c r="X112" s="614"/>
      <c r="Y112" s="614"/>
      <c r="Z112" s="614"/>
      <c r="AA112" s="614"/>
      <c r="AB112" s="614"/>
      <c r="AC112" s="614"/>
      <c r="AD112" s="614"/>
      <c r="AE112" s="614"/>
      <c r="AF112" s="614"/>
      <c r="AG112" s="614"/>
      <c r="AH112" s="614"/>
      <c r="AI112" s="614"/>
      <c r="AJ112" s="614"/>
      <c r="AK112" s="614"/>
      <c r="AL112" s="614"/>
      <c r="AM112" s="614"/>
      <c r="AN112" s="614"/>
      <c r="AO112" s="614"/>
      <c r="AP112" s="614"/>
      <c r="AQ112" s="614"/>
      <c r="AR112" s="614"/>
      <c r="AS112" s="614"/>
      <c r="AT112" s="614"/>
      <c r="AU112" s="614"/>
      <c r="AV112" s="614"/>
      <c r="AW112" s="614"/>
      <c r="AX112" s="614"/>
      <c r="AY112" s="614"/>
      <c r="AZ112" s="614"/>
      <c r="BA112" s="614"/>
      <c r="BB112" s="614"/>
      <c r="BC112" s="614"/>
      <c r="BD112" s="614"/>
      <c r="BE112" s="614"/>
      <c r="BF112" s="614"/>
      <c r="BG112" s="614"/>
      <c r="BH112" s="614"/>
    </row>
    <row r="113" spans="1:60" ht="12.75">
      <c r="A113"/>
      <c r="C113" s="614"/>
      <c r="D113" s="613"/>
      <c r="E113" s="613"/>
      <c r="F113" s="613"/>
      <c r="G113" s="613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J113" s="614"/>
      <c r="AK113" s="614"/>
      <c r="AL113" s="614"/>
      <c r="AM113" s="614"/>
      <c r="AN113" s="614"/>
      <c r="AO113" s="614"/>
      <c r="AP113" s="614"/>
      <c r="AQ113" s="614"/>
      <c r="AR113" s="614"/>
      <c r="AS113" s="614"/>
      <c r="AT113" s="614"/>
      <c r="AU113" s="614"/>
      <c r="AV113" s="614"/>
      <c r="AW113" s="614"/>
      <c r="AX113" s="614"/>
      <c r="AY113" s="614"/>
      <c r="AZ113" s="614"/>
      <c r="BA113" s="614"/>
      <c r="BB113" s="614"/>
      <c r="BC113" s="614"/>
      <c r="BD113" s="614"/>
      <c r="BE113" s="614"/>
      <c r="BF113" s="614"/>
      <c r="BG113" s="614"/>
      <c r="BH113" s="614"/>
    </row>
    <row r="114" spans="1:60" ht="12.75">
      <c r="A114"/>
      <c r="C114" s="614"/>
      <c r="D114" s="613"/>
      <c r="E114" s="613"/>
      <c r="F114" s="613"/>
      <c r="G114" s="613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4"/>
      <c r="AC114" s="614"/>
      <c r="AD114" s="614"/>
      <c r="AE114" s="614"/>
      <c r="AF114" s="614"/>
      <c r="AG114" s="614"/>
      <c r="AH114" s="614"/>
      <c r="AI114" s="614"/>
      <c r="AJ114" s="614"/>
      <c r="AK114" s="614"/>
      <c r="AL114" s="614"/>
      <c r="AM114" s="614"/>
      <c r="AN114" s="614"/>
      <c r="AO114" s="614"/>
      <c r="AP114" s="614"/>
      <c r="AQ114" s="614"/>
      <c r="AR114" s="614"/>
      <c r="AS114" s="614"/>
      <c r="AT114" s="614"/>
      <c r="AU114" s="614"/>
      <c r="AV114" s="614"/>
      <c r="AW114" s="614"/>
      <c r="AX114" s="614"/>
      <c r="AY114" s="614"/>
      <c r="AZ114" s="614"/>
      <c r="BA114" s="614"/>
      <c r="BB114" s="614"/>
      <c r="BC114" s="614"/>
      <c r="BD114" s="614"/>
      <c r="BE114" s="614"/>
      <c r="BF114" s="614"/>
      <c r="BG114" s="614"/>
      <c r="BH114" s="614"/>
    </row>
    <row r="115" spans="1:60" ht="12.75">
      <c r="A115"/>
      <c r="C115" s="614"/>
      <c r="D115" s="613"/>
      <c r="E115" s="613"/>
      <c r="F115" s="613"/>
      <c r="G115" s="613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4"/>
      <c r="AC115" s="614"/>
      <c r="AD115" s="614"/>
      <c r="AE115" s="614"/>
      <c r="AF115" s="614"/>
      <c r="AG115" s="614"/>
      <c r="AH115" s="614"/>
      <c r="AI115" s="614"/>
      <c r="AJ115" s="614"/>
      <c r="AK115" s="614"/>
      <c r="AL115" s="614"/>
      <c r="AM115" s="614"/>
      <c r="AN115" s="614"/>
      <c r="AO115" s="614"/>
      <c r="AP115" s="614"/>
      <c r="AQ115" s="614"/>
      <c r="AR115" s="614"/>
      <c r="AS115" s="614"/>
      <c r="AT115" s="614"/>
      <c r="AU115" s="614"/>
      <c r="AV115" s="614"/>
      <c r="AW115" s="614"/>
      <c r="AX115" s="614"/>
      <c r="AY115" s="614"/>
      <c r="AZ115" s="614"/>
      <c r="BA115" s="614"/>
      <c r="BB115" s="614"/>
      <c r="BC115" s="614"/>
      <c r="BD115" s="614"/>
      <c r="BE115" s="614"/>
      <c r="BF115" s="614"/>
      <c r="BG115" s="614"/>
      <c r="BH115" s="614"/>
    </row>
    <row r="116" spans="1:60" ht="12.75">
      <c r="A116"/>
      <c r="C116" s="614"/>
      <c r="D116" s="613"/>
      <c r="E116" s="613"/>
      <c r="F116" s="613"/>
      <c r="G116" s="613"/>
      <c r="H116" s="614"/>
      <c r="I116" s="614"/>
      <c r="J116" s="614"/>
      <c r="K116" s="614"/>
      <c r="L116" s="614"/>
      <c r="M116" s="614"/>
      <c r="N116" s="614"/>
      <c r="O116" s="614"/>
      <c r="P116" s="614"/>
      <c r="Q116" s="614"/>
      <c r="R116" s="614"/>
      <c r="S116" s="614"/>
      <c r="T116" s="614"/>
      <c r="U116" s="614"/>
      <c r="V116" s="614"/>
      <c r="W116" s="614"/>
      <c r="X116" s="614"/>
      <c r="Y116" s="614"/>
      <c r="Z116" s="614"/>
      <c r="AA116" s="614"/>
      <c r="AB116" s="614"/>
      <c r="AC116" s="614"/>
      <c r="AD116" s="614"/>
      <c r="AE116" s="614"/>
      <c r="AF116" s="614"/>
      <c r="AG116" s="614"/>
      <c r="AH116" s="614"/>
      <c r="AI116" s="614"/>
      <c r="AJ116" s="614"/>
      <c r="AK116" s="614"/>
      <c r="AL116" s="614"/>
      <c r="AM116" s="614"/>
      <c r="AN116" s="614"/>
      <c r="AO116" s="614"/>
      <c r="AP116" s="614"/>
      <c r="AQ116" s="614"/>
      <c r="AR116" s="614"/>
      <c r="AS116" s="614"/>
      <c r="AT116" s="614"/>
      <c r="AU116" s="614"/>
      <c r="AV116" s="614"/>
      <c r="AW116" s="614"/>
      <c r="AX116" s="614"/>
      <c r="AY116" s="614"/>
      <c r="AZ116" s="614"/>
      <c r="BA116" s="614"/>
      <c r="BB116" s="614"/>
      <c r="BC116" s="614"/>
      <c r="BD116" s="614"/>
      <c r="BE116" s="614"/>
      <c r="BF116" s="614"/>
      <c r="BG116" s="614"/>
      <c r="BH116" s="614"/>
    </row>
    <row r="117" spans="1:60" ht="12.75">
      <c r="A117"/>
      <c r="C117" s="614"/>
      <c r="D117" s="613"/>
      <c r="E117" s="613"/>
      <c r="F117" s="613"/>
      <c r="G117" s="613"/>
      <c r="H117" s="614"/>
      <c r="I117" s="614"/>
      <c r="J117" s="614"/>
      <c r="K117" s="614"/>
      <c r="L117" s="614"/>
      <c r="M117" s="614"/>
      <c r="N117" s="614"/>
      <c r="O117" s="614"/>
      <c r="P117" s="614"/>
      <c r="Q117" s="614"/>
      <c r="R117" s="614"/>
      <c r="S117" s="614"/>
      <c r="T117" s="614"/>
      <c r="U117" s="614"/>
      <c r="V117" s="614"/>
      <c r="W117" s="614"/>
      <c r="X117" s="614"/>
      <c r="Y117" s="614"/>
      <c r="Z117" s="614"/>
      <c r="AA117" s="614"/>
      <c r="AB117" s="614"/>
      <c r="AC117" s="614"/>
      <c r="AD117" s="614"/>
      <c r="AE117" s="614"/>
      <c r="AF117" s="614"/>
      <c r="AG117" s="614"/>
      <c r="AH117" s="614"/>
      <c r="AI117" s="614"/>
      <c r="AJ117" s="614"/>
      <c r="AK117" s="614"/>
      <c r="AL117" s="614"/>
      <c r="AM117" s="614"/>
      <c r="AN117" s="614"/>
      <c r="AO117" s="614"/>
      <c r="AP117" s="614"/>
      <c r="AQ117" s="614"/>
      <c r="AR117" s="614"/>
      <c r="AS117" s="614"/>
      <c r="AT117" s="614"/>
      <c r="AU117" s="614"/>
      <c r="AV117" s="614"/>
      <c r="AW117" s="614"/>
      <c r="AX117" s="614"/>
      <c r="AY117" s="614"/>
      <c r="AZ117" s="614"/>
      <c r="BA117" s="614"/>
      <c r="BB117" s="614"/>
      <c r="BC117" s="614"/>
      <c r="BD117" s="614"/>
      <c r="BE117" s="614"/>
      <c r="BF117" s="614"/>
      <c r="BG117" s="614"/>
      <c r="BH117" s="614"/>
    </row>
    <row r="118" spans="1:60" ht="12.75">
      <c r="A118"/>
      <c r="C118" s="614"/>
      <c r="D118" s="613"/>
      <c r="E118" s="613"/>
      <c r="F118" s="613"/>
      <c r="G118" s="613"/>
      <c r="H118" s="614"/>
      <c r="I118" s="614"/>
      <c r="J118" s="614"/>
      <c r="K118" s="614"/>
      <c r="L118" s="614"/>
      <c r="M118" s="614"/>
      <c r="N118" s="614"/>
      <c r="O118" s="614"/>
      <c r="P118" s="614"/>
      <c r="Q118" s="614"/>
      <c r="R118" s="614"/>
      <c r="S118" s="614"/>
      <c r="T118" s="614"/>
      <c r="U118" s="614"/>
      <c r="V118" s="614"/>
      <c r="W118" s="614"/>
      <c r="X118" s="614"/>
      <c r="Y118" s="614"/>
      <c r="Z118" s="614"/>
      <c r="AA118" s="614"/>
      <c r="AB118" s="614"/>
      <c r="AC118" s="614"/>
      <c r="AD118" s="614"/>
      <c r="AE118" s="614"/>
      <c r="AF118" s="614"/>
      <c r="AG118" s="614"/>
      <c r="AH118" s="614"/>
      <c r="AI118" s="614"/>
      <c r="AJ118" s="614"/>
      <c r="AK118" s="614"/>
      <c r="AL118" s="614"/>
      <c r="AM118" s="614"/>
      <c r="AN118" s="614"/>
      <c r="AO118" s="614"/>
      <c r="AP118" s="614"/>
      <c r="AQ118" s="614"/>
      <c r="AR118" s="614"/>
      <c r="AS118" s="614"/>
      <c r="AT118" s="614"/>
      <c r="AU118" s="614"/>
      <c r="AV118" s="614"/>
      <c r="AW118" s="614"/>
      <c r="AX118" s="614"/>
      <c r="AY118" s="614"/>
      <c r="AZ118" s="614"/>
      <c r="BA118" s="614"/>
      <c r="BB118" s="614"/>
      <c r="BC118" s="614"/>
      <c r="BD118" s="614"/>
      <c r="BE118" s="614"/>
      <c r="BF118" s="614"/>
      <c r="BG118" s="614"/>
      <c r="BH118" s="614"/>
    </row>
    <row r="119" spans="1:60" ht="12.75">
      <c r="A119"/>
      <c r="C119" s="614"/>
      <c r="D119" s="613"/>
      <c r="E119" s="613"/>
      <c r="F119" s="613"/>
      <c r="G119" s="613"/>
      <c r="H119" s="614"/>
      <c r="I119" s="614"/>
      <c r="J119" s="614"/>
      <c r="K119" s="614"/>
      <c r="L119" s="614"/>
      <c r="M119" s="614"/>
      <c r="N119" s="614"/>
      <c r="O119" s="614"/>
      <c r="P119" s="614"/>
      <c r="Q119" s="614"/>
      <c r="R119" s="614"/>
      <c r="S119" s="614"/>
      <c r="T119" s="614"/>
      <c r="U119" s="614"/>
      <c r="V119" s="614"/>
      <c r="W119" s="614"/>
      <c r="X119" s="614"/>
      <c r="Y119" s="614"/>
      <c r="Z119" s="614"/>
      <c r="AA119" s="614"/>
      <c r="AB119" s="614"/>
      <c r="AC119" s="614"/>
      <c r="AD119" s="614"/>
      <c r="AE119" s="614"/>
      <c r="AF119" s="614"/>
      <c r="AG119" s="614"/>
      <c r="AH119" s="614"/>
      <c r="AI119" s="614"/>
      <c r="AJ119" s="614"/>
      <c r="AK119" s="614"/>
      <c r="AL119" s="614"/>
      <c r="AM119" s="614"/>
      <c r="AN119" s="614"/>
      <c r="AO119" s="614"/>
      <c r="AP119" s="614"/>
      <c r="AQ119" s="614"/>
      <c r="AR119" s="614"/>
      <c r="AS119" s="614"/>
      <c r="AT119" s="614"/>
      <c r="AU119" s="614"/>
      <c r="AV119" s="614"/>
      <c r="AW119" s="614"/>
      <c r="AX119" s="614"/>
      <c r="AY119" s="614"/>
      <c r="AZ119" s="614"/>
      <c r="BA119" s="614"/>
      <c r="BB119" s="614"/>
      <c r="BC119" s="614"/>
      <c r="BD119" s="614"/>
      <c r="BE119" s="614"/>
      <c r="BF119" s="614"/>
      <c r="BG119" s="614"/>
      <c r="BH119" s="614"/>
    </row>
    <row r="120" spans="1:60" ht="12.75">
      <c r="A120"/>
      <c r="C120" s="614"/>
      <c r="D120" s="613"/>
      <c r="E120" s="613"/>
      <c r="F120" s="613"/>
      <c r="G120" s="613"/>
      <c r="H120" s="614"/>
      <c r="I120" s="614"/>
      <c r="J120" s="614"/>
      <c r="K120" s="614"/>
      <c r="L120" s="614"/>
      <c r="M120" s="614"/>
      <c r="N120" s="614"/>
      <c r="O120" s="614"/>
      <c r="P120" s="614"/>
      <c r="Q120" s="614"/>
      <c r="R120" s="614"/>
      <c r="S120" s="614"/>
      <c r="T120" s="614"/>
      <c r="U120" s="614"/>
      <c r="V120" s="614"/>
      <c r="W120" s="614"/>
      <c r="X120" s="614"/>
      <c r="Y120" s="614"/>
      <c r="Z120" s="614"/>
      <c r="AA120" s="614"/>
      <c r="AB120" s="614"/>
      <c r="AC120" s="614"/>
      <c r="AD120" s="614"/>
      <c r="AE120" s="614"/>
      <c r="AF120" s="614"/>
      <c r="AG120" s="614"/>
      <c r="AH120" s="614"/>
      <c r="AI120" s="614"/>
      <c r="AJ120" s="614"/>
      <c r="AK120" s="614"/>
      <c r="AL120" s="614"/>
      <c r="AM120" s="614"/>
      <c r="AN120" s="614"/>
      <c r="AO120" s="614"/>
      <c r="AP120" s="614"/>
      <c r="AQ120" s="614"/>
      <c r="AR120" s="614"/>
      <c r="AS120" s="614"/>
      <c r="AT120" s="614"/>
      <c r="AU120" s="614"/>
      <c r="AV120" s="614"/>
      <c r="AW120" s="614"/>
      <c r="AX120" s="614"/>
      <c r="AY120" s="614"/>
      <c r="AZ120" s="614"/>
      <c r="BA120" s="614"/>
      <c r="BB120" s="614"/>
      <c r="BC120" s="614"/>
      <c r="BD120" s="614"/>
      <c r="BE120" s="614"/>
      <c r="BF120" s="614"/>
      <c r="BG120" s="614"/>
      <c r="BH120" s="614"/>
    </row>
    <row r="121" spans="1:60" ht="12.75">
      <c r="A121"/>
      <c r="C121" s="614"/>
      <c r="D121" s="613"/>
      <c r="E121" s="613"/>
      <c r="F121" s="613"/>
      <c r="G121" s="613"/>
      <c r="H121" s="614"/>
      <c r="I121" s="614"/>
      <c r="J121" s="614"/>
      <c r="K121" s="614"/>
      <c r="L121" s="614"/>
      <c r="M121" s="614"/>
      <c r="N121" s="614"/>
      <c r="O121" s="614"/>
      <c r="P121" s="614"/>
      <c r="Q121" s="614"/>
      <c r="R121" s="614"/>
      <c r="S121" s="614"/>
      <c r="T121" s="614"/>
      <c r="U121" s="614"/>
      <c r="V121" s="614"/>
      <c r="W121" s="614"/>
      <c r="X121" s="614"/>
      <c r="Y121" s="614"/>
      <c r="Z121" s="614"/>
      <c r="AA121" s="614"/>
      <c r="AB121" s="614"/>
      <c r="AC121" s="614"/>
      <c r="AD121" s="614"/>
      <c r="AE121" s="614"/>
      <c r="AF121" s="614"/>
      <c r="AG121" s="614"/>
      <c r="AH121" s="614"/>
      <c r="AI121" s="614"/>
      <c r="AJ121" s="614"/>
      <c r="AK121" s="614"/>
      <c r="AL121" s="614"/>
      <c r="AM121" s="614"/>
      <c r="AN121" s="614"/>
      <c r="AO121" s="614"/>
      <c r="AP121" s="614"/>
      <c r="AQ121" s="614"/>
      <c r="AR121" s="614"/>
      <c r="AS121" s="614"/>
      <c r="AT121" s="614"/>
      <c r="AU121" s="614"/>
      <c r="AV121" s="614"/>
      <c r="AW121" s="614"/>
      <c r="AX121" s="614"/>
      <c r="AY121" s="614"/>
      <c r="AZ121" s="614"/>
      <c r="BA121" s="614"/>
      <c r="BB121" s="614"/>
      <c r="BC121" s="614"/>
      <c r="BD121" s="614"/>
      <c r="BE121" s="614"/>
      <c r="BF121" s="614"/>
      <c r="BG121" s="614"/>
      <c r="BH121" s="614"/>
    </row>
    <row r="122" spans="1:60" ht="12.75">
      <c r="A122"/>
      <c r="C122" s="614"/>
      <c r="D122" s="613"/>
      <c r="E122" s="613"/>
      <c r="F122" s="613"/>
      <c r="G122" s="613"/>
      <c r="H122" s="614"/>
      <c r="I122" s="614"/>
      <c r="J122" s="614"/>
      <c r="K122" s="614"/>
      <c r="L122" s="614"/>
      <c r="M122" s="614"/>
      <c r="N122" s="614"/>
      <c r="O122" s="614"/>
      <c r="P122" s="614"/>
      <c r="Q122" s="614"/>
      <c r="R122" s="614"/>
      <c r="S122" s="614"/>
      <c r="T122" s="614"/>
      <c r="U122" s="614"/>
      <c r="V122" s="614"/>
      <c r="W122" s="614"/>
      <c r="X122" s="614"/>
      <c r="Y122" s="614"/>
      <c r="Z122" s="614"/>
      <c r="AA122" s="614"/>
      <c r="AB122" s="614"/>
      <c r="AC122" s="614"/>
      <c r="AD122" s="614"/>
      <c r="AE122" s="614"/>
      <c r="AF122" s="614"/>
      <c r="AG122" s="614"/>
      <c r="AH122" s="614"/>
      <c r="AI122" s="614"/>
      <c r="AJ122" s="614"/>
      <c r="AK122" s="614"/>
      <c r="AL122" s="614"/>
      <c r="AM122" s="614"/>
      <c r="AN122" s="614"/>
      <c r="AO122" s="614"/>
      <c r="AP122" s="614"/>
      <c r="AQ122" s="614"/>
      <c r="AR122" s="614"/>
      <c r="AS122" s="614"/>
      <c r="AT122" s="614"/>
      <c r="AU122" s="614"/>
      <c r="AV122" s="614"/>
      <c r="AW122" s="614"/>
      <c r="AX122" s="614"/>
      <c r="AY122" s="614"/>
      <c r="AZ122" s="614"/>
      <c r="BA122" s="614"/>
      <c r="BB122" s="614"/>
      <c r="BC122" s="614"/>
      <c r="BD122" s="614"/>
      <c r="BE122" s="614"/>
      <c r="BF122" s="614"/>
      <c r="BG122" s="614"/>
      <c r="BH122" s="614"/>
    </row>
    <row r="123" spans="1:60" ht="12.75">
      <c r="A123"/>
      <c r="C123" s="614"/>
      <c r="D123" s="613"/>
      <c r="E123" s="613"/>
      <c r="F123" s="613"/>
      <c r="G123" s="613"/>
      <c r="H123" s="614"/>
      <c r="I123" s="614"/>
      <c r="J123" s="614"/>
      <c r="K123" s="614"/>
      <c r="L123" s="614"/>
      <c r="M123" s="614"/>
      <c r="N123" s="614"/>
      <c r="O123" s="614"/>
      <c r="P123" s="614"/>
      <c r="Q123" s="614"/>
      <c r="R123" s="614"/>
      <c r="S123" s="614"/>
      <c r="T123" s="614"/>
      <c r="U123" s="614"/>
      <c r="V123" s="614"/>
      <c r="W123" s="614"/>
      <c r="X123" s="614"/>
      <c r="Y123" s="614"/>
      <c r="Z123" s="614"/>
      <c r="AA123" s="614"/>
      <c r="AB123" s="614"/>
      <c r="AC123" s="614"/>
      <c r="AD123" s="614"/>
      <c r="AE123" s="614"/>
      <c r="AF123" s="614"/>
      <c r="AG123" s="614"/>
      <c r="AH123" s="614"/>
      <c r="AI123" s="614"/>
      <c r="AJ123" s="614"/>
      <c r="AK123" s="614"/>
      <c r="AL123" s="614"/>
      <c r="AM123" s="614"/>
      <c r="AN123" s="614"/>
      <c r="AO123" s="614"/>
      <c r="AP123" s="614"/>
      <c r="AQ123" s="614"/>
      <c r="AR123" s="614"/>
      <c r="AS123" s="614"/>
      <c r="AT123" s="614"/>
      <c r="AU123" s="614"/>
      <c r="AV123" s="614"/>
      <c r="AW123" s="614"/>
      <c r="AX123" s="614"/>
      <c r="AY123" s="614"/>
      <c r="AZ123" s="614"/>
      <c r="BA123" s="614"/>
      <c r="BB123" s="614"/>
      <c r="BC123" s="614"/>
      <c r="BD123" s="614"/>
      <c r="BE123" s="614"/>
      <c r="BF123" s="614"/>
      <c r="BG123" s="614"/>
      <c r="BH123" s="614"/>
    </row>
    <row r="124" spans="1:60" ht="12.75">
      <c r="A124"/>
      <c r="C124" s="614"/>
      <c r="D124" s="613"/>
      <c r="E124" s="613"/>
      <c r="F124" s="613"/>
      <c r="G124" s="613"/>
      <c r="H124" s="614"/>
      <c r="I124" s="614"/>
      <c r="J124" s="614"/>
      <c r="K124" s="614"/>
      <c r="L124" s="614"/>
      <c r="M124" s="614"/>
      <c r="N124" s="614"/>
      <c r="O124" s="614"/>
      <c r="P124" s="614"/>
      <c r="Q124" s="614"/>
      <c r="R124" s="614"/>
      <c r="S124" s="614"/>
      <c r="T124" s="614"/>
      <c r="U124" s="614"/>
      <c r="V124" s="614"/>
      <c r="W124" s="614"/>
      <c r="X124" s="614"/>
      <c r="Y124" s="614"/>
      <c r="Z124" s="614"/>
      <c r="AA124" s="614"/>
      <c r="AB124" s="614"/>
      <c r="AC124" s="614"/>
      <c r="AD124" s="614"/>
      <c r="AE124" s="614"/>
      <c r="AF124" s="614"/>
      <c r="AG124" s="614"/>
      <c r="AH124" s="614"/>
      <c r="AI124" s="614"/>
      <c r="AJ124" s="614"/>
      <c r="AK124" s="614"/>
      <c r="AL124" s="614"/>
      <c r="AM124" s="614"/>
      <c r="AN124" s="614"/>
      <c r="AO124" s="614"/>
      <c r="AP124" s="614"/>
      <c r="AQ124" s="614"/>
      <c r="AR124" s="614"/>
      <c r="AS124" s="614"/>
      <c r="AT124" s="614"/>
      <c r="AU124" s="614"/>
      <c r="AV124" s="614"/>
      <c r="AW124" s="614"/>
      <c r="AX124" s="614"/>
      <c r="AY124" s="614"/>
      <c r="AZ124" s="614"/>
      <c r="BA124" s="614"/>
      <c r="BB124" s="614"/>
      <c r="BC124" s="614"/>
      <c r="BD124" s="614"/>
      <c r="BE124" s="614"/>
      <c r="BF124" s="614"/>
      <c r="BG124" s="614"/>
      <c r="BH124" s="614"/>
    </row>
    <row r="125" spans="1:60" ht="12.75">
      <c r="A125"/>
      <c r="C125" s="614"/>
      <c r="D125" s="613"/>
      <c r="E125" s="613"/>
      <c r="F125" s="613"/>
      <c r="G125" s="613"/>
      <c r="H125" s="614"/>
      <c r="I125" s="614"/>
      <c r="J125" s="614"/>
      <c r="K125" s="614"/>
      <c r="L125" s="614"/>
      <c r="M125" s="614"/>
      <c r="N125" s="614"/>
      <c r="O125" s="614"/>
      <c r="P125" s="614"/>
      <c r="Q125" s="614"/>
      <c r="R125" s="614"/>
      <c r="S125" s="614"/>
      <c r="T125" s="614"/>
      <c r="U125" s="614"/>
      <c r="V125" s="614"/>
      <c r="W125" s="614"/>
      <c r="X125" s="614"/>
      <c r="Y125" s="614"/>
      <c r="Z125" s="614"/>
      <c r="AA125" s="614"/>
      <c r="AB125" s="614"/>
      <c r="AC125" s="614"/>
      <c r="AD125" s="614"/>
      <c r="AE125" s="614"/>
      <c r="AF125" s="614"/>
      <c r="AG125" s="614"/>
      <c r="AH125" s="614"/>
      <c r="AI125" s="614"/>
      <c r="AJ125" s="614"/>
      <c r="AK125" s="614"/>
      <c r="AL125" s="614"/>
      <c r="AM125" s="614"/>
      <c r="AN125" s="614"/>
      <c r="AO125" s="614"/>
      <c r="AP125" s="614"/>
      <c r="AQ125" s="614"/>
      <c r="AR125" s="614"/>
      <c r="AS125" s="614"/>
      <c r="AT125" s="614"/>
      <c r="AU125" s="614"/>
      <c r="AV125" s="614"/>
      <c r="AW125" s="614"/>
      <c r="AX125" s="614"/>
      <c r="AY125" s="614"/>
      <c r="AZ125" s="614"/>
      <c r="BA125" s="614"/>
      <c r="BB125" s="614"/>
      <c r="BC125" s="614"/>
      <c r="BD125" s="614"/>
      <c r="BE125" s="614"/>
      <c r="BF125" s="614"/>
      <c r="BG125" s="614"/>
      <c r="BH125" s="614"/>
    </row>
    <row r="126" spans="1:60" ht="12.75">
      <c r="A126"/>
      <c r="C126" s="614"/>
      <c r="D126" s="613"/>
      <c r="E126" s="613"/>
      <c r="F126" s="613"/>
      <c r="G126" s="613"/>
      <c r="H126" s="614"/>
      <c r="I126" s="614"/>
      <c r="J126" s="614"/>
      <c r="K126" s="614"/>
      <c r="L126" s="614"/>
      <c r="M126" s="614"/>
      <c r="N126" s="614"/>
      <c r="O126" s="614"/>
      <c r="P126" s="614"/>
      <c r="Q126" s="614"/>
      <c r="R126" s="614"/>
      <c r="S126" s="614"/>
      <c r="T126" s="614"/>
      <c r="U126" s="614"/>
      <c r="V126" s="614"/>
      <c r="W126" s="614"/>
      <c r="X126" s="614"/>
      <c r="Y126" s="614"/>
      <c r="Z126" s="614"/>
      <c r="AA126" s="614"/>
      <c r="AB126" s="614"/>
      <c r="AC126" s="614"/>
      <c r="AD126" s="614"/>
      <c r="AE126" s="614"/>
      <c r="AF126" s="614"/>
      <c r="AG126" s="614"/>
      <c r="AH126" s="614"/>
      <c r="AI126" s="614"/>
      <c r="AJ126" s="614"/>
      <c r="AK126" s="614"/>
      <c r="AL126" s="614"/>
      <c r="AM126" s="614"/>
      <c r="AN126" s="614"/>
      <c r="AO126" s="614"/>
      <c r="AP126" s="614"/>
      <c r="AQ126" s="614"/>
      <c r="AR126" s="614"/>
      <c r="AS126" s="614"/>
      <c r="AT126" s="614"/>
      <c r="AU126" s="614"/>
      <c r="AV126" s="614"/>
      <c r="AW126" s="614"/>
      <c r="AX126" s="614"/>
      <c r="AY126" s="614"/>
      <c r="AZ126" s="614"/>
      <c r="BA126" s="614"/>
      <c r="BB126" s="614"/>
      <c r="BC126" s="614"/>
      <c r="BD126" s="614"/>
      <c r="BE126" s="614"/>
      <c r="BF126" s="614"/>
      <c r="BG126" s="614"/>
      <c r="BH126" s="614"/>
    </row>
    <row r="127" spans="1:60" ht="12.75">
      <c r="A127"/>
      <c r="C127" s="614"/>
      <c r="D127" s="613"/>
      <c r="E127" s="613"/>
      <c r="F127" s="613"/>
      <c r="G127" s="613"/>
      <c r="H127" s="614"/>
      <c r="I127" s="614"/>
      <c r="J127" s="614"/>
      <c r="K127" s="614"/>
      <c r="L127" s="614"/>
      <c r="M127" s="614"/>
      <c r="N127" s="614"/>
      <c r="O127" s="614"/>
      <c r="P127" s="614"/>
      <c r="Q127" s="614"/>
      <c r="R127" s="614"/>
      <c r="S127" s="614"/>
      <c r="T127" s="614"/>
      <c r="U127" s="614"/>
      <c r="V127" s="614"/>
      <c r="W127" s="614"/>
      <c r="X127" s="614"/>
      <c r="Y127" s="614"/>
      <c r="Z127" s="614"/>
      <c r="AA127" s="614"/>
      <c r="AB127" s="614"/>
      <c r="AC127" s="614"/>
      <c r="AD127" s="614"/>
      <c r="AE127" s="614"/>
      <c r="AF127" s="614"/>
      <c r="AG127" s="614"/>
      <c r="AH127" s="614"/>
      <c r="AI127" s="614"/>
      <c r="AJ127" s="614"/>
      <c r="AK127" s="614"/>
      <c r="AL127" s="614"/>
      <c r="AM127" s="614"/>
      <c r="AN127" s="614"/>
      <c r="AO127" s="614"/>
      <c r="AP127" s="614"/>
      <c r="AQ127" s="614"/>
      <c r="AR127" s="614"/>
      <c r="AS127" s="614"/>
      <c r="AT127" s="614"/>
      <c r="AU127" s="614"/>
      <c r="AV127" s="614"/>
      <c r="AW127" s="614"/>
      <c r="AX127" s="614"/>
      <c r="AY127" s="614"/>
      <c r="AZ127" s="614"/>
      <c r="BA127" s="614"/>
      <c r="BB127" s="614"/>
      <c r="BC127" s="614"/>
      <c r="BD127" s="614"/>
      <c r="BE127" s="614"/>
      <c r="BF127" s="614"/>
      <c r="BG127" s="614"/>
      <c r="BH127" s="614"/>
    </row>
    <row r="128" spans="1:60" ht="12.75">
      <c r="A128"/>
      <c r="C128" s="614"/>
      <c r="D128" s="613"/>
      <c r="E128" s="613"/>
      <c r="F128" s="613"/>
      <c r="G128" s="613"/>
      <c r="H128" s="614"/>
      <c r="I128" s="614"/>
      <c r="J128" s="614"/>
      <c r="K128" s="614"/>
      <c r="L128" s="614"/>
      <c r="M128" s="614"/>
      <c r="N128" s="614"/>
      <c r="O128" s="614"/>
      <c r="P128" s="614"/>
      <c r="Q128" s="614"/>
      <c r="R128" s="614"/>
      <c r="S128" s="614"/>
      <c r="T128" s="614"/>
      <c r="U128" s="614"/>
      <c r="V128" s="614"/>
      <c r="W128" s="614"/>
      <c r="X128" s="614"/>
      <c r="Y128" s="614"/>
      <c r="Z128" s="614"/>
      <c r="AA128" s="614"/>
      <c r="AB128" s="614"/>
      <c r="AC128" s="614"/>
      <c r="AD128" s="614"/>
      <c r="AE128" s="614"/>
      <c r="AF128" s="614"/>
      <c r="AG128" s="614"/>
      <c r="AH128" s="614"/>
      <c r="AI128" s="614"/>
      <c r="AJ128" s="614"/>
      <c r="AK128" s="614"/>
      <c r="AL128" s="614"/>
      <c r="AM128" s="614"/>
      <c r="AN128" s="614"/>
      <c r="AO128" s="614"/>
      <c r="AP128" s="614"/>
      <c r="AQ128" s="614"/>
      <c r="AR128" s="614"/>
      <c r="AS128" s="614"/>
      <c r="AT128" s="614"/>
      <c r="AU128" s="614"/>
      <c r="AV128" s="614"/>
      <c r="AW128" s="614"/>
      <c r="AX128" s="614"/>
      <c r="AY128" s="614"/>
      <c r="AZ128" s="614"/>
      <c r="BA128" s="614"/>
      <c r="BB128" s="614"/>
      <c r="BC128" s="614"/>
      <c r="BD128" s="614"/>
      <c r="BE128" s="614"/>
      <c r="BF128" s="614"/>
      <c r="BG128" s="614"/>
      <c r="BH128" s="614"/>
    </row>
    <row r="129" spans="1:60" ht="12.75">
      <c r="A129"/>
      <c r="C129" s="614"/>
      <c r="D129" s="613"/>
      <c r="E129" s="613"/>
      <c r="F129" s="613"/>
      <c r="G129" s="613"/>
      <c r="H129" s="614"/>
      <c r="I129" s="614"/>
      <c r="J129" s="614"/>
      <c r="K129" s="614"/>
      <c r="L129" s="614"/>
      <c r="M129" s="614"/>
      <c r="N129" s="614"/>
      <c r="O129" s="614"/>
      <c r="P129" s="614"/>
      <c r="Q129" s="614"/>
      <c r="R129" s="614"/>
      <c r="S129" s="614"/>
      <c r="T129" s="614"/>
      <c r="U129" s="614"/>
      <c r="V129" s="614"/>
      <c r="W129" s="614"/>
      <c r="X129" s="614"/>
      <c r="Y129" s="614"/>
      <c r="Z129" s="614"/>
      <c r="AA129" s="614"/>
      <c r="AB129" s="614"/>
      <c r="AC129" s="614"/>
      <c r="AD129" s="614"/>
      <c r="AE129" s="614"/>
      <c r="AF129" s="614"/>
      <c r="AG129" s="614"/>
      <c r="AH129" s="614"/>
      <c r="AI129" s="614"/>
      <c r="AJ129" s="614"/>
      <c r="AK129" s="614"/>
      <c r="AL129" s="614"/>
      <c r="AM129" s="614"/>
      <c r="AN129" s="614"/>
      <c r="AO129" s="614"/>
      <c r="AP129" s="614"/>
      <c r="AQ129" s="614"/>
      <c r="AR129" s="614"/>
      <c r="AS129" s="614"/>
      <c r="AT129" s="614"/>
      <c r="AU129" s="614"/>
      <c r="AV129" s="614"/>
      <c r="AW129" s="614"/>
      <c r="AX129" s="614"/>
      <c r="AY129" s="614"/>
      <c r="AZ129" s="614"/>
      <c r="BA129" s="614"/>
      <c r="BB129" s="614"/>
      <c r="BC129" s="614"/>
      <c r="BD129" s="614"/>
      <c r="BE129" s="614"/>
      <c r="BF129" s="614"/>
      <c r="BG129" s="614"/>
      <c r="BH129" s="614"/>
    </row>
    <row r="130" spans="1:60" ht="12.75">
      <c r="A130"/>
      <c r="C130" s="614"/>
      <c r="D130" s="613"/>
      <c r="E130" s="613"/>
      <c r="F130" s="613"/>
      <c r="G130" s="613"/>
      <c r="H130" s="614"/>
      <c r="I130" s="614"/>
      <c r="J130" s="614"/>
      <c r="K130" s="614"/>
      <c r="L130" s="614"/>
      <c r="M130" s="614"/>
      <c r="N130" s="614"/>
      <c r="O130" s="614"/>
      <c r="P130" s="614"/>
      <c r="Q130" s="614"/>
      <c r="R130" s="614"/>
      <c r="S130" s="614"/>
      <c r="T130" s="614"/>
      <c r="U130" s="614"/>
      <c r="V130" s="614"/>
      <c r="W130" s="614"/>
      <c r="X130" s="614"/>
      <c r="Y130" s="614"/>
      <c r="Z130" s="614"/>
      <c r="AA130" s="614"/>
      <c r="AB130" s="614"/>
      <c r="AC130" s="614"/>
      <c r="AD130" s="614"/>
      <c r="AE130" s="614"/>
      <c r="AF130" s="614"/>
      <c r="AG130" s="614"/>
      <c r="AH130" s="614"/>
      <c r="AI130" s="614"/>
      <c r="AJ130" s="614"/>
      <c r="AK130" s="614"/>
      <c r="AL130" s="614"/>
      <c r="AM130" s="614"/>
      <c r="AN130" s="614"/>
      <c r="AO130" s="614"/>
      <c r="AP130" s="614"/>
      <c r="AQ130" s="614"/>
      <c r="AR130" s="614"/>
      <c r="AS130" s="614"/>
      <c r="AT130" s="614"/>
      <c r="AU130" s="614"/>
      <c r="AV130" s="614"/>
      <c r="AW130" s="614"/>
      <c r="AX130" s="614"/>
      <c r="AY130" s="614"/>
      <c r="AZ130" s="614"/>
      <c r="BA130" s="614"/>
      <c r="BB130" s="614"/>
      <c r="BC130" s="614"/>
      <c r="BD130" s="614"/>
      <c r="BE130" s="614"/>
      <c r="BF130" s="614"/>
      <c r="BG130" s="614"/>
      <c r="BH130" s="614"/>
    </row>
    <row r="131" spans="1:60" ht="12.75">
      <c r="A131"/>
      <c r="C131" s="614"/>
      <c r="D131" s="613"/>
      <c r="E131" s="613"/>
      <c r="F131" s="613"/>
      <c r="G131" s="613"/>
      <c r="H131" s="614"/>
      <c r="I131" s="614"/>
      <c r="J131" s="614"/>
      <c r="K131" s="614"/>
      <c r="L131" s="614"/>
      <c r="M131" s="614"/>
      <c r="N131" s="614"/>
      <c r="O131" s="614"/>
      <c r="P131" s="614"/>
      <c r="Q131" s="614"/>
      <c r="R131" s="614"/>
      <c r="S131" s="614"/>
      <c r="T131" s="614"/>
      <c r="U131" s="614"/>
      <c r="V131" s="614"/>
      <c r="W131" s="614"/>
      <c r="X131" s="614"/>
      <c r="Y131" s="614"/>
      <c r="Z131" s="614"/>
      <c r="AA131" s="614"/>
      <c r="AB131" s="614"/>
      <c r="AC131" s="614"/>
      <c r="AD131" s="614"/>
      <c r="AE131" s="614"/>
      <c r="AF131" s="614"/>
      <c r="AG131" s="614"/>
      <c r="AH131" s="614"/>
      <c r="AI131" s="614"/>
      <c r="AJ131" s="614"/>
      <c r="AK131" s="614"/>
      <c r="AL131" s="614"/>
      <c r="AM131" s="614"/>
      <c r="AN131" s="614"/>
      <c r="AO131" s="614"/>
      <c r="AP131" s="614"/>
      <c r="AQ131" s="614"/>
      <c r="AR131" s="614"/>
      <c r="AS131" s="614"/>
      <c r="AT131" s="614"/>
      <c r="AU131" s="614"/>
      <c r="AV131" s="614"/>
      <c r="AW131" s="614"/>
      <c r="AX131" s="614"/>
      <c r="AY131" s="614"/>
      <c r="AZ131" s="614"/>
      <c r="BA131" s="614"/>
      <c r="BB131" s="614"/>
      <c r="BC131" s="614"/>
      <c r="BD131" s="614"/>
      <c r="BE131" s="614"/>
      <c r="BF131" s="614"/>
      <c r="BG131" s="614"/>
      <c r="BH131" s="614"/>
    </row>
    <row r="132" spans="1:60" ht="12.75">
      <c r="A132"/>
      <c r="C132" s="614"/>
      <c r="D132" s="613"/>
      <c r="E132" s="613"/>
      <c r="F132" s="613"/>
      <c r="G132" s="613"/>
      <c r="H132" s="614"/>
      <c r="I132" s="614"/>
      <c r="J132" s="614"/>
      <c r="K132" s="614"/>
      <c r="L132" s="614"/>
      <c r="M132" s="614"/>
      <c r="N132" s="614"/>
      <c r="O132" s="614"/>
      <c r="P132" s="614"/>
      <c r="Q132" s="614"/>
      <c r="R132" s="614"/>
      <c r="S132" s="614"/>
      <c r="T132" s="614"/>
      <c r="U132" s="614"/>
      <c r="V132" s="614"/>
      <c r="W132" s="614"/>
      <c r="X132" s="614"/>
      <c r="Y132" s="614"/>
      <c r="Z132" s="614"/>
      <c r="AA132" s="614"/>
      <c r="AB132" s="614"/>
      <c r="AC132" s="614"/>
      <c r="AD132" s="614"/>
      <c r="AE132" s="614"/>
      <c r="AF132" s="614"/>
      <c r="AG132" s="614"/>
      <c r="AH132" s="614"/>
      <c r="AI132" s="614"/>
      <c r="AJ132" s="614"/>
      <c r="AK132" s="614"/>
      <c r="AL132" s="614"/>
      <c r="AM132" s="614"/>
      <c r="AN132" s="614"/>
      <c r="AO132" s="614"/>
      <c r="AP132" s="614"/>
      <c r="AQ132" s="614"/>
      <c r="AR132" s="614"/>
      <c r="AS132" s="614"/>
      <c r="AT132" s="614"/>
      <c r="AU132" s="614"/>
      <c r="AV132" s="614"/>
      <c r="AW132" s="614"/>
      <c r="AX132" s="614"/>
      <c r="AY132" s="614"/>
      <c r="AZ132" s="614"/>
      <c r="BA132" s="614"/>
      <c r="BB132" s="614"/>
      <c r="BC132" s="614"/>
      <c r="BD132" s="614"/>
      <c r="BE132" s="614"/>
      <c r="BF132" s="614"/>
      <c r="BG132" s="614"/>
      <c r="BH132" s="614"/>
    </row>
    <row r="133" spans="1:60" ht="12.75">
      <c r="A133"/>
      <c r="C133" s="614"/>
      <c r="D133" s="613"/>
      <c r="E133" s="613"/>
      <c r="F133" s="613"/>
      <c r="G133" s="613"/>
      <c r="H133" s="614"/>
      <c r="I133" s="614"/>
      <c r="J133" s="614"/>
      <c r="K133" s="614"/>
      <c r="L133" s="614"/>
      <c r="M133" s="614"/>
      <c r="N133" s="614"/>
      <c r="O133" s="614"/>
      <c r="P133" s="614"/>
      <c r="Q133" s="614"/>
      <c r="R133" s="614"/>
      <c r="S133" s="614"/>
      <c r="T133" s="614"/>
      <c r="U133" s="614"/>
      <c r="V133" s="614"/>
      <c r="W133" s="614"/>
      <c r="X133" s="614"/>
      <c r="Y133" s="614"/>
      <c r="Z133" s="614"/>
      <c r="AA133" s="614"/>
      <c r="AB133" s="614"/>
      <c r="AC133" s="614"/>
      <c r="AD133" s="614"/>
      <c r="AE133" s="614"/>
      <c r="AF133" s="614"/>
      <c r="AG133" s="614"/>
      <c r="AH133" s="614"/>
      <c r="AI133" s="614"/>
      <c r="AJ133" s="614"/>
      <c r="AK133" s="614"/>
      <c r="AL133" s="614"/>
      <c r="AM133" s="614"/>
      <c r="AN133" s="614"/>
      <c r="AO133" s="614"/>
      <c r="AP133" s="614"/>
      <c r="AQ133" s="614"/>
      <c r="AR133" s="614"/>
      <c r="AS133" s="614"/>
      <c r="AT133" s="614"/>
      <c r="AU133" s="614"/>
      <c r="AV133" s="614"/>
      <c r="AW133" s="614"/>
      <c r="AX133" s="614"/>
      <c r="AY133" s="614"/>
      <c r="AZ133" s="614"/>
      <c r="BA133" s="614"/>
      <c r="BB133" s="614"/>
      <c r="BC133" s="614"/>
      <c r="BD133" s="614"/>
      <c r="BE133" s="614"/>
      <c r="BF133" s="614"/>
      <c r="BG133" s="614"/>
      <c r="BH133" s="614"/>
    </row>
    <row r="134" spans="1:60" ht="12.75">
      <c r="A134"/>
      <c r="C134" s="614"/>
      <c r="D134" s="613"/>
      <c r="E134" s="613"/>
      <c r="F134" s="613"/>
      <c r="G134" s="613"/>
      <c r="H134" s="614"/>
      <c r="I134" s="614"/>
      <c r="J134" s="614"/>
      <c r="K134" s="614"/>
      <c r="L134" s="614"/>
      <c r="M134" s="614"/>
      <c r="N134" s="614"/>
      <c r="O134" s="614"/>
      <c r="P134" s="614"/>
      <c r="Q134" s="614"/>
      <c r="R134" s="614"/>
      <c r="S134" s="614"/>
      <c r="T134" s="614"/>
      <c r="U134" s="614"/>
      <c r="V134" s="614"/>
      <c r="W134" s="614"/>
      <c r="X134" s="614"/>
      <c r="Y134" s="614"/>
      <c r="Z134" s="614"/>
      <c r="AA134" s="614"/>
      <c r="AB134" s="614"/>
      <c r="AC134" s="614"/>
      <c r="AD134" s="614"/>
      <c r="AE134" s="614"/>
      <c r="AF134" s="614"/>
      <c r="AG134" s="614"/>
      <c r="AH134" s="614"/>
      <c r="AI134" s="614"/>
      <c r="AJ134" s="614"/>
      <c r="AK134" s="614"/>
      <c r="AL134" s="614"/>
      <c r="AM134" s="614"/>
      <c r="AN134" s="614"/>
      <c r="AO134" s="614"/>
      <c r="AP134" s="614"/>
      <c r="AQ134" s="614"/>
      <c r="AR134" s="614"/>
      <c r="AS134" s="614"/>
      <c r="AT134" s="614"/>
      <c r="AU134" s="614"/>
      <c r="AV134" s="614"/>
      <c r="AW134" s="614"/>
      <c r="AX134" s="614"/>
      <c r="AY134" s="614"/>
      <c r="AZ134" s="614"/>
      <c r="BA134" s="614"/>
      <c r="BB134" s="614"/>
      <c r="BC134" s="614"/>
      <c r="BD134" s="614"/>
      <c r="BE134" s="614"/>
      <c r="BF134" s="614"/>
      <c r="BG134" s="614"/>
      <c r="BH134" s="614"/>
    </row>
    <row r="135" spans="1:60" ht="12.75">
      <c r="A135"/>
      <c r="C135" s="614"/>
      <c r="D135" s="613"/>
      <c r="E135" s="613"/>
      <c r="F135" s="613"/>
      <c r="G135" s="613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614"/>
      <c r="AL135" s="614"/>
      <c r="AM135" s="614"/>
      <c r="AN135" s="614"/>
      <c r="AO135" s="614"/>
      <c r="AP135" s="614"/>
      <c r="AQ135" s="614"/>
      <c r="AR135" s="614"/>
      <c r="AS135" s="614"/>
      <c r="AT135" s="614"/>
      <c r="AU135" s="614"/>
      <c r="AV135" s="614"/>
      <c r="AW135" s="614"/>
      <c r="AX135" s="614"/>
      <c r="AY135" s="614"/>
      <c r="AZ135" s="614"/>
      <c r="BA135" s="614"/>
      <c r="BB135" s="614"/>
      <c r="BC135" s="614"/>
      <c r="BD135" s="614"/>
      <c r="BE135" s="614"/>
      <c r="BF135" s="614"/>
      <c r="BG135" s="614"/>
      <c r="BH135" s="614"/>
    </row>
    <row r="136" spans="1:60" ht="12.75">
      <c r="A136"/>
      <c r="C136" s="614"/>
      <c r="D136" s="613"/>
      <c r="E136" s="613"/>
      <c r="F136" s="613"/>
      <c r="G136" s="613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614"/>
      <c r="AL136" s="614"/>
      <c r="AM136" s="614"/>
      <c r="AN136" s="614"/>
      <c r="AO136" s="614"/>
      <c r="AP136" s="614"/>
      <c r="AQ136" s="614"/>
      <c r="AR136" s="614"/>
      <c r="AS136" s="614"/>
      <c r="AT136" s="614"/>
      <c r="AU136" s="614"/>
      <c r="AV136" s="614"/>
      <c r="AW136" s="614"/>
      <c r="AX136" s="614"/>
      <c r="AY136" s="614"/>
      <c r="AZ136" s="614"/>
      <c r="BA136" s="614"/>
      <c r="BB136" s="614"/>
      <c r="BC136" s="614"/>
      <c r="BD136" s="614"/>
      <c r="BE136" s="614"/>
      <c r="BF136" s="614"/>
      <c r="BG136" s="614"/>
      <c r="BH136" s="614"/>
    </row>
    <row r="137" spans="1:60" ht="12.75">
      <c r="A137"/>
      <c r="C137" s="614"/>
      <c r="D137" s="613"/>
      <c r="E137" s="613"/>
      <c r="F137" s="613"/>
      <c r="G137" s="613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614"/>
      <c r="AL137" s="614"/>
      <c r="AM137" s="614"/>
      <c r="AN137" s="614"/>
      <c r="AO137" s="614"/>
      <c r="AP137" s="614"/>
      <c r="AQ137" s="614"/>
      <c r="AR137" s="614"/>
      <c r="AS137" s="614"/>
      <c r="AT137" s="614"/>
      <c r="AU137" s="614"/>
      <c r="AV137" s="614"/>
      <c r="AW137" s="614"/>
      <c r="AX137" s="614"/>
      <c r="AY137" s="614"/>
      <c r="AZ137" s="614"/>
      <c r="BA137" s="614"/>
      <c r="BB137" s="614"/>
      <c r="BC137" s="614"/>
      <c r="BD137" s="614"/>
      <c r="BE137" s="614"/>
      <c r="BF137" s="614"/>
      <c r="BG137" s="614"/>
      <c r="BH137" s="614"/>
    </row>
    <row r="138" spans="1:60" ht="12.75">
      <c r="A138"/>
      <c r="C138" s="614"/>
      <c r="D138" s="613"/>
      <c r="E138" s="613"/>
      <c r="F138" s="613"/>
      <c r="G138" s="613"/>
      <c r="H138" s="614"/>
      <c r="I138" s="614"/>
      <c r="J138" s="614"/>
      <c r="K138" s="614"/>
      <c r="L138" s="614"/>
      <c r="M138" s="614"/>
      <c r="N138" s="614"/>
      <c r="O138" s="614"/>
      <c r="P138" s="614"/>
      <c r="Q138" s="614"/>
      <c r="R138" s="614"/>
      <c r="S138" s="614"/>
      <c r="T138" s="614"/>
      <c r="U138" s="614"/>
      <c r="V138" s="614"/>
      <c r="W138" s="614"/>
      <c r="X138" s="614"/>
      <c r="Y138" s="614"/>
      <c r="Z138" s="614"/>
      <c r="AA138" s="614"/>
      <c r="AB138" s="614"/>
      <c r="AC138" s="614"/>
      <c r="AD138" s="614"/>
      <c r="AE138" s="614"/>
      <c r="AF138" s="614"/>
      <c r="AG138" s="614"/>
      <c r="AH138" s="614"/>
      <c r="AI138" s="614"/>
      <c r="AJ138" s="614"/>
      <c r="AK138" s="614"/>
      <c r="AL138" s="614"/>
      <c r="AM138" s="614"/>
      <c r="AN138" s="614"/>
      <c r="AO138" s="614"/>
      <c r="AP138" s="614"/>
      <c r="AQ138" s="614"/>
      <c r="AR138" s="614"/>
      <c r="AS138" s="614"/>
      <c r="AT138" s="614"/>
      <c r="AU138" s="614"/>
      <c r="AV138" s="614"/>
      <c r="AW138" s="614"/>
      <c r="AX138" s="614"/>
      <c r="AY138" s="614"/>
      <c r="AZ138" s="614"/>
      <c r="BA138" s="614"/>
      <c r="BB138" s="614"/>
      <c r="BC138" s="614"/>
      <c r="BD138" s="614"/>
      <c r="BE138" s="614"/>
      <c r="BF138" s="614"/>
      <c r="BG138" s="614"/>
      <c r="BH138" s="614"/>
    </row>
    <row r="139" spans="1:60" ht="12.75">
      <c r="A139"/>
      <c r="C139" s="614"/>
      <c r="D139" s="613"/>
      <c r="E139" s="613"/>
      <c r="F139" s="613"/>
      <c r="G139" s="613"/>
      <c r="H139" s="614"/>
      <c r="I139" s="614"/>
      <c r="J139" s="614"/>
      <c r="K139" s="614"/>
      <c r="L139" s="614"/>
      <c r="M139" s="614"/>
      <c r="N139" s="614"/>
      <c r="O139" s="614"/>
      <c r="P139" s="614"/>
      <c r="Q139" s="614"/>
      <c r="R139" s="614"/>
      <c r="S139" s="614"/>
      <c r="T139" s="614"/>
      <c r="U139" s="614"/>
      <c r="V139" s="614"/>
      <c r="W139" s="614"/>
      <c r="X139" s="614"/>
      <c r="Y139" s="614"/>
      <c r="Z139" s="614"/>
      <c r="AA139" s="614"/>
      <c r="AB139" s="614"/>
      <c r="AC139" s="614"/>
      <c r="AD139" s="614"/>
      <c r="AE139" s="614"/>
      <c r="AF139" s="614"/>
      <c r="AG139" s="614"/>
      <c r="AH139" s="614"/>
      <c r="AI139" s="614"/>
      <c r="AJ139" s="614"/>
      <c r="AK139" s="614"/>
      <c r="AL139" s="614"/>
      <c r="AM139" s="614"/>
      <c r="AN139" s="614"/>
      <c r="AO139" s="614"/>
      <c r="AP139" s="614"/>
      <c r="AQ139" s="614"/>
      <c r="AR139" s="614"/>
      <c r="AS139" s="614"/>
      <c r="AT139" s="614"/>
      <c r="AU139" s="614"/>
      <c r="AV139" s="614"/>
      <c r="AW139" s="614"/>
      <c r="AX139" s="614"/>
      <c r="AY139" s="614"/>
      <c r="AZ139" s="614"/>
      <c r="BA139" s="614"/>
      <c r="BB139" s="614"/>
      <c r="BC139" s="614"/>
      <c r="BD139" s="614"/>
      <c r="BE139" s="614"/>
      <c r="BF139" s="614"/>
      <c r="BG139" s="614"/>
      <c r="BH139" s="614"/>
    </row>
    <row r="140" spans="1:60" ht="12.75">
      <c r="A140"/>
      <c r="C140" s="614"/>
      <c r="D140" s="613"/>
      <c r="E140" s="613"/>
      <c r="F140" s="613"/>
      <c r="G140" s="613"/>
      <c r="H140" s="614"/>
      <c r="I140" s="614"/>
      <c r="J140" s="614"/>
      <c r="K140" s="614"/>
      <c r="L140" s="614"/>
      <c r="M140" s="614"/>
      <c r="N140" s="614"/>
      <c r="O140" s="614"/>
      <c r="P140" s="614"/>
      <c r="Q140" s="614"/>
      <c r="R140" s="614"/>
      <c r="S140" s="614"/>
      <c r="T140" s="614"/>
      <c r="U140" s="614"/>
      <c r="V140" s="614"/>
      <c r="W140" s="614"/>
      <c r="X140" s="614"/>
      <c r="Y140" s="614"/>
      <c r="Z140" s="614"/>
      <c r="AA140" s="614"/>
      <c r="AB140" s="614"/>
      <c r="AC140" s="614"/>
      <c r="AD140" s="614"/>
      <c r="AE140" s="614"/>
      <c r="AF140" s="614"/>
      <c r="AG140" s="614"/>
      <c r="AH140" s="614"/>
      <c r="AI140" s="614"/>
      <c r="AJ140" s="614"/>
      <c r="AK140" s="614"/>
      <c r="AL140" s="614"/>
      <c r="AM140" s="614"/>
      <c r="AN140" s="614"/>
      <c r="AO140" s="614"/>
      <c r="AP140" s="614"/>
      <c r="AQ140" s="614"/>
      <c r="AR140" s="614"/>
      <c r="AS140" s="614"/>
      <c r="AT140" s="614"/>
      <c r="AU140" s="614"/>
      <c r="AV140" s="614"/>
      <c r="AW140" s="614"/>
      <c r="AX140" s="614"/>
      <c r="AY140" s="614"/>
      <c r="AZ140" s="614"/>
      <c r="BA140" s="614"/>
      <c r="BB140" s="614"/>
      <c r="BC140" s="614"/>
      <c r="BD140" s="614"/>
      <c r="BE140" s="614"/>
      <c r="BF140" s="614"/>
      <c r="BG140" s="614"/>
      <c r="BH140" s="614"/>
    </row>
    <row r="141" spans="1:60" ht="12.75">
      <c r="A141"/>
      <c r="C141" s="614"/>
      <c r="D141" s="613"/>
      <c r="E141" s="613"/>
      <c r="F141" s="613"/>
      <c r="G141" s="613"/>
      <c r="H141" s="614"/>
      <c r="I141" s="614"/>
      <c r="J141" s="614"/>
      <c r="K141" s="614"/>
      <c r="L141" s="614"/>
      <c r="M141" s="614"/>
      <c r="N141" s="614"/>
      <c r="O141" s="614"/>
      <c r="P141" s="614"/>
      <c r="Q141" s="614"/>
      <c r="R141" s="614"/>
      <c r="S141" s="614"/>
      <c r="T141" s="614"/>
      <c r="U141" s="614"/>
      <c r="V141" s="614"/>
      <c r="W141" s="614"/>
      <c r="X141" s="614"/>
      <c r="Y141" s="614"/>
      <c r="Z141" s="614"/>
      <c r="AA141" s="614"/>
      <c r="AB141" s="614"/>
      <c r="AC141" s="614"/>
      <c r="AD141" s="614"/>
      <c r="AE141" s="614"/>
      <c r="AF141" s="614"/>
      <c r="AG141" s="614"/>
      <c r="AH141" s="614"/>
      <c r="AI141" s="614"/>
      <c r="AJ141" s="614"/>
      <c r="AK141" s="614"/>
      <c r="AL141" s="614"/>
      <c r="AM141" s="614"/>
      <c r="AN141" s="614"/>
      <c r="AO141" s="614"/>
      <c r="AP141" s="614"/>
      <c r="AQ141" s="614"/>
      <c r="AR141" s="614"/>
      <c r="AS141" s="614"/>
      <c r="AT141" s="614"/>
      <c r="AU141" s="614"/>
      <c r="AV141" s="614"/>
      <c r="AW141" s="614"/>
      <c r="AX141" s="614"/>
      <c r="AY141" s="614"/>
      <c r="AZ141" s="614"/>
      <c r="BA141" s="614"/>
      <c r="BB141" s="614"/>
      <c r="BC141" s="614"/>
      <c r="BD141" s="614"/>
      <c r="BE141" s="614"/>
      <c r="BF141" s="614"/>
      <c r="BG141" s="614"/>
      <c r="BH141" s="614"/>
    </row>
    <row r="142" spans="1:60" ht="12.75">
      <c r="A142"/>
      <c r="C142" s="614"/>
      <c r="D142" s="613"/>
      <c r="E142" s="613"/>
      <c r="F142" s="613"/>
      <c r="G142" s="613"/>
      <c r="H142" s="614"/>
      <c r="I142" s="614"/>
      <c r="J142" s="614"/>
      <c r="K142" s="614"/>
      <c r="L142" s="614"/>
      <c r="M142" s="614"/>
      <c r="N142" s="614"/>
      <c r="O142" s="614"/>
      <c r="P142" s="614"/>
      <c r="Q142" s="614"/>
      <c r="R142" s="614"/>
      <c r="S142" s="614"/>
      <c r="T142" s="614"/>
      <c r="U142" s="614"/>
      <c r="V142" s="614"/>
      <c r="W142" s="614"/>
      <c r="X142" s="614"/>
      <c r="Y142" s="614"/>
      <c r="Z142" s="614"/>
      <c r="AA142" s="614"/>
      <c r="AB142" s="614"/>
      <c r="AC142" s="614"/>
      <c r="AD142" s="614"/>
      <c r="AE142" s="614"/>
      <c r="AF142" s="614"/>
      <c r="AG142" s="614"/>
      <c r="AH142" s="614"/>
      <c r="AI142" s="614"/>
      <c r="AJ142" s="614"/>
      <c r="AK142" s="614"/>
      <c r="AL142" s="614"/>
      <c r="AM142" s="614"/>
      <c r="AN142" s="614"/>
      <c r="AO142" s="614"/>
      <c r="AP142" s="614"/>
      <c r="AQ142" s="614"/>
      <c r="AR142" s="614"/>
      <c r="AS142" s="614"/>
      <c r="AT142" s="614"/>
      <c r="AU142" s="614"/>
      <c r="AV142" s="614"/>
      <c r="AW142" s="614"/>
      <c r="AX142" s="614"/>
      <c r="AY142" s="614"/>
      <c r="AZ142" s="614"/>
      <c r="BA142" s="614"/>
      <c r="BB142" s="614"/>
      <c r="BC142" s="614"/>
      <c r="BD142" s="614"/>
      <c r="BE142" s="614"/>
      <c r="BF142" s="614"/>
      <c r="BG142" s="614"/>
      <c r="BH142" s="614"/>
    </row>
    <row r="143" spans="1:60" ht="12.75">
      <c r="A143"/>
      <c r="C143" s="614"/>
      <c r="D143" s="613"/>
      <c r="E143" s="613"/>
      <c r="F143" s="613"/>
      <c r="G143" s="613"/>
      <c r="H143" s="614"/>
      <c r="I143" s="614"/>
      <c r="J143" s="614"/>
      <c r="K143" s="614"/>
      <c r="L143" s="614"/>
      <c r="M143" s="614"/>
      <c r="N143" s="614"/>
      <c r="O143" s="614"/>
      <c r="P143" s="614"/>
      <c r="Q143" s="614"/>
      <c r="R143" s="614"/>
      <c r="S143" s="614"/>
      <c r="T143" s="614"/>
      <c r="U143" s="614"/>
      <c r="V143" s="614"/>
      <c r="W143" s="614"/>
      <c r="X143" s="614"/>
      <c r="Y143" s="614"/>
      <c r="Z143" s="614"/>
      <c r="AA143" s="614"/>
      <c r="AB143" s="614"/>
      <c r="AC143" s="614"/>
      <c r="AD143" s="614"/>
      <c r="AE143" s="614"/>
      <c r="AF143" s="614"/>
      <c r="AG143" s="614"/>
      <c r="AH143" s="614"/>
      <c r="AI143" s="614"/>
      <c r="AJ143" s="614"/>
      <c r="AK143" s="614"/>
      <c r="AL143" s="614"/>
      <c r="AM143" s="614"/>
      <c r="AN143" s="614"/>
      <c r="AO143" s="614"/>
      <c r="AP143" s="614"/>
      <c r="AQ143" s="614"/>
      <c r="AR143" s="614"/>
      <c r="AS143" s="614"/>
      <c r="AT143" s="614"/>
      <c r="AU143" s="614"/>
      <c r="AV143" s="614"/>
      <c r="AW143" s="614"/>
      <c r="AX143" s="614"/>
      <c r="AY143" s="614"/>
      <c r="AZ143" s="614"/>
      <c r="BA143" s="614"/>
      <c r="BB143" s="614"/>
      <c r="BC143" s="614"/>
      <c r="BD143" s="614"/>
      <c r="BE143" s="614"/>
      <c r="BF143" s="614"/>
      <c r="BG143" s="614"/>
      <c r="BH143" s="614"/>
    </row>
    <row r="144" spans="1:60" ht="12.75">
      <c r="A144"/>
      <c r="C144" s="614"/>
      <c r="D144" s="613"/>
      <c r="E144" s="613"/>
      <c r="F144" s="613"/>
      <c r="G144" s="613"/>
      <c r="H144" s="614"/>
      <c r="I144" s="614"/>
      <c r="J144" s="614"/>
      <c r="K144" s="614"/>
      <c r="L144" s="614"/>
      <c r="M144" s="614"/>
      <c r="N144" s="614"/>
      <c r="O144" s="614"/>
      <c r="P144" s="614"/>
      <c r="Q144" s="614"/>
      <c r="R144" s="614"/>
      <c r="S144" s="614"/>
      <c r="T144" s="614"/>
      <c r="U144" s="614"/>
      <c r="V144" s="614"/>
      <c r="W144" s="614"/>
      <c r="X144" s="614"/>
      <c r="Y144" s="614"/>
      <c r="Z144" s="614"/>
      <c r="AA144" s="614"/>
      <c r="AB144" s="614"/>
      <c r="AC144" s="614"/>
      <c r="AD144" s="614"/>
      <c r="AE144" s="614"/>
      <c r="AF144" s="614"/>
      <c r="AG144" s="614"/>
      <c r="AH144" s="614"/>
      <c r="AI144" s="614"/>
      <c r="AJ144" s="614"/>
      <c r="AK144" s="614"/>
      <c r="AL144" s="614"/>
      <c r="AM144" s="614"/>
      <c r="AN144" s="614"/>
      <c r="AO144" s="614"/>
      <c r="AP144" s="614"/>
      <c r="AQ144" s="614"/>
      <c r="AR144" s="614"/>
      <c r="AS144" s="614"/>
      <c r="AT144" s="614"/>
      <c r="AU144" s="614"/>
      <c r="AV144" s="614"/>
      <c r="AW144" s="614"/>
      <c r="AX144" s="614"/>
      <c r="AY144" s="614"/>
      <c r="AZ144" s="614"/>
      <c r="BA144" s="614"/>
      <c r="BB144" s="614"/>
      <c r="BC144" s="614"/>
      <c r="BD144" s="614"/>
      <c r="BE144" s="614"/>
      <c r="BF144" s="614"/>
      <c r="BG144" s="614"/>
      <c r="BH144" s="614"/>
    </row>
    <row r="145" spans="1:60" ht="12.75">
      <c r="A145"/>
      <c r="C145" s="614"/>
      <c r="D145" s="613"/>
      <c r="E145" s="613"/>
      <c r="F145" s="613"/>
      <c r="G145" s="613"/>
      <c r="H145" s="614"/>
      <c r="I145" s="614"/>
      <c r="J145" s="614"/>
      <c r="K145" s="614"/>
      <c r="L145" s="614"/>
      <c r="M145" s="614"/>
      <c r="N145" s="614"/>
      <c r="O145" s="614"/>
      <c r="P145" s="614"/>
      <c r="Q145" s="614"/>
      <c r="R145" s="614"/>
      <c r="S145" s="614"/>
      <c r="T145" s="614"/>
      <c r="U145" s="614"/>
      <c r="V145" s="614"/>
      <c r="W145" s="614"/>
      <c r="X145" s="614"/>
      <c r="Y145" s="614"/>
      <c r="Z145" s="614"/>
      <c r="AA145" s="614"/>
      <c r="AB145" s="614"/>
      <c r="AC145" s="614"/>
      <c r="AD145" s="614"/>
      <c r="AE145" s="614"/>
      <c r="AF145" s="614"/>
      <c r="AG145" s="614"/>
      <c r="AH145" s="614"/>
      <c r="AI145" s="614"/>
      <c r="AJ145" s="614"/>
      <c r="AK145" s="614"/>
      <c r="AL145" s="614"/>
      <c r="AM145" s="614"/>
      <c r="AN145" s="614"/>
      <c r="AO145" s="614"/>
      <c r="AP145" s="614"/>
      <c r="AQ145" s="614"/>
      <c r="AR145" s="614"/>
      <c r="AS145" s="614"/>
      <c r="AT145" s="614"/>
      <c r="AU145" s="614"/>
      <c r="AV145" s="614"/>
      <c r="AW145" s="614"/>
      <c r="AX145" s="614"/>
      <c r="AY145" s="614"/>
      <c r="AZ145" s="614"/>
      <c r="BA145" s="614"/>
      <c r="BB145" s="614"/>
      <c r="BC145" s="614"/>
      <c r="BD145" s="614"/>
      <c r="BE145" s="614"/>
      <c r="BF145" s="614"/>
      <c r="BG145" s="614"/>
      <c r="BH145" s="614"/>
    </row>
    <row r="146" spans="1:60" ht="12.75">
      <c r="A146"/>
      <c r="C146" s="614"/>
      <c r="D146" s="613"/>
      <c r="E146" s="613"/>
      <c r="F146" s="613"/>
      <c r="G146" s="613"/>
      <c r="H146" s="614"/>
      <c r="I146" s="614"/>
      <c r="J146" s="614"/>
      <c r="K146" s="614"/>
      <c r="L146" s="614"/>
      <c r="M146" s="614"/>
      <c r="N146" s="614"/>
      <c r="O146" s="614"/>
      <c r="P146" s="614"/>
      <c r="Q146" s="614"/>
      <c r="R146" s="614"/>
      <c r="S146" s="614"/>
      <c r="T146" s="614"/>
      <c r="U146" s="614"/>
      <c r="V146" s="614"/>
      <c r="W146" s="614"/>
      <c r="X146" s="614"/>
      <c r="Y146" s="614"/>
      <c r="Z146" s="614"/>
      <c r="AA146" s="614"/>
      <c r="AB146" s="614"/>
      <c r="AC146" s="614"/>
      <c r="AD146" s="614"/>
      <c r="AE146" s="614"/>
      <c r="AF146" s="614"/>
      <c r="AG146" s="614"/>
      <c r="AH146" s="614"/>
      <c r="AI146" s="614"/>
      <c r="AJ146" s="614"/>
      <c r="AK146" s="614"/>
      <c r="AL146" s="614"/>
      <c r="AM146" s="614"/>
      <c r="AN146" s="614"/>
      <c r="AO146" s="614"/>
      <c r="AP146" s="614"/>
      <c r="AQ146" s="614"/>
      <c r="AR146" s="614"/>
      <c r="AS146" s="614"/>
      <c r="AT146" s="614"/>
      <c r="AU146" s="614"/>
      <c r="AV146" s="614"/>
      <c r="AW146" s="614"/>
      <c r="AX146" s="614"/>
      <c r="AY146" s="614"/>
      <c r="AZ146" s="614"/>
      <c r="BA146" s="614"/>
      <c r="BB146" s="614"/>
      <c r="BC146" s="614"/>
      <c r="BD146" s="614"/>
      <c r="BE146" s="614"/>
      <c r="BF146" s="614"/>
      <c r="BG146" s="614"/>
      <c r="BH146" s="614"/>
    </row>
    <row r="147" spans="1:60" ht="12.75">
      <c r="A147"/>
      <c r="C147" s="614"/>
      <c r="D147" s="613"/>
      <c r="E147" s="613"/>
      <c r="F147" s="613"/>
      <c r="G147" s="613"/>
      <c r="H147" s="614"/>
      <c r="I147" s="614"/>
      <c r="J147" s="614"/>
      <c r="K147" s="614"/>
      <c r="L147" s="614"/>
      <c r="M147" s="614"/>
      <c r="N147" s="614"/>
      <c r="O147" s="614"/>
      <c r="P147" s="614"/>
      <c r="Q147" s="614"/>
      <c r="R147" s="614"/>
      <c r="S147" s="614"/>
      <c r="T147" s="614"/>
      <c r="U147" s="614"/>
      <c r="V147" s="614"/>
      <c r="W147" s="614"/>
      <c r="X147" s="614"/>
      <c r="Y147" s="614"/>
      <c r="Z147" s="614"/>
      <c r="AA147" s="614"/>
      <c r="AB147" s="614"/>
      <c r="AC147" s="614"/>
      <c r="AD147" s="614"/>
      <c r="AE147" s="614"/>
      <c r="AF147" s="614"/>
      <c r="AG147" s="614"/>
      <c r="AH147" s="614"/>
      <c r="AI147" s="614"/>
      <c r="AJ147" s="614"/>
      <c r="AK147" s="614"/>
      <c r="AL147" s="614"/>
      <c r="AM147" s="614"/>
      <c r="AN147" s="614"/>
      <c r="AO147" s="614"/>
      <c r="AP147" s="614"/>
      <c r="AQ147" s="614"/>
      <c r="AR147" s="614"/>
      <c r="AS147" s="614"/>
      <c r="AT147" s="614"/>
      <c r="AU147" s="614"/>
      <c r="AV147" s="614"/>
      <c r="AW147" s="614"/>
      <c r="AX147" s="614"/>
      <c r="AY147" s="614"/>
      <c r="AZ147" s="614"/>
      <c r="BA147" s="614"/>
      <c r="BB147" s="614"/>
      <c r="BC147" s="614"/>
      <c r="BD147" s="614"/>
      <c r="BE147" s="614"/>
      <c r="BF147" s="614"/>
      <c r="BG147" s="614"/>
      <c r="BH147" s="614"/>
    </row>
    <row r="148" spans="1:60" ht="12.75">
      <c r="A148"/>
      <c r="C148" s="614"/>
      <c r="D148" s="613"/>
      <c r="E148" s="613"/>
      <c r="F148" s="613"/>
      <c r="G148" s="613"/>
      <c r="H148" s="614"/>
      <c r="I148" s="614"/>
      <c r="J148" s="614"/>
      <c r="K148" s="614"/>
      <c r="L148" s="614"/>
      <c r="M148" s="614"/>
      <c r="N148" s="614"/>
      <c r="O148" s="614"/>
      <c r="P148" s="614"/>
      <c r="Q148" s="614"/>
      <c r="R148" s="614"/>
      <c r="S148" s="614"/>
      <c r="T148" s="614"/>
      <c r="U148" s="614"/>
      <c r="V148" s="614"/>
      <c r="W148" s="614"/>
      <c r="X148" s="614"/>
      <c r="Y148" s="614"/>
      <c r="Z148" s="614"/>
      <c r="AA148" s="614"/>
      <c r="AB148" s="614"/>
      <c r="AC148" s="614"/>
      <c r="AD148" s="614"/>
      <c r="AE148" s="614"/>
      <c r="AF148" s="614"/>
      <c r="AG148" s="614"/>
      <c r="AH148" s="614"/>
      <c r="AI148" s="614"/>
      <c r="AJ148" s="614"/>
      <c r="AK148" s="614"/>
      <c r="AL148" s="614"/>
      <c r="AM148" s="614"/>
      <c r="AN148" s="614"/>
      <c r="AO148" s="614"/>
      <c r="AP148" s="614"/>
      <c r="AQ148" s="614"/>
      <c r="AR148" s="614"/>
      <c r="AS148" s="614"/>
      <c r="AT148" s="614"/>
      <c r="AU148" s="614"/>
      <c r="AV148" s="614"/>
      <c r="AW148" s="614"/>
      <c r="AX148" s="614"/>
      <c r="AY148" s="614"/>
      <c r="AZ148" s="614"/>
      <c r="BA148" s="614"/>
      <c r="BB148" s="614"/>
      <c r="BC148" s="614"/>
      <c r="BD148" s="614"/>
      <c r="BE148" s="614"/>
      <c r="BF148" s="614"/>
      <c r="BG148" s="614"/>
      <c r="BH148" s="614"/>
    </row>
    <row r="149" spans="1:60" ht="12.75">
      <c r="A149"/>
      <c r="C149" s="614"/>
      <c r="D149" s="613"/>
      <c r="E149" s="613"/>
      <c r="F149" s="613"/>
      <c r="G149" s="613"/>
      <c r="H149" s="614"/>
      <c r="I149" s="614"/>
      <c r="J149" s="614"/>
      <c r="K149" s="614"/>
      <c r="L149" s="614"/>
      <c r="M149" s="614"/>
      <c r="N149" s="614"/>
      <c r="O149" s="614"/>
      <c r="P149" s="614"/>
      <c r="Q149" s="614"/>
      <c r="R149" s="614"/>
      <c r="S149" s="614"/>
      <c r="T149" s="614"/>
      <c r="U149" s="614"/>
      <c r="V149" s="614"/>
      <c r="W149" s="614"/>
      <c r="X149" s="614"/>
      <c r="Y149" s="614"/>
      <c r="Z149" s="614"/>
      <c r="AA149" s="614"/>
      <c r="AB149" s="614"/>
      <c r="AC149" s="614"/>
      <c r="AD149" s="614"/>
      <c r="AE149" s="614"/>
      <c r="AF149" s="614"/>
      <c r="AG149" s="614"/>
      <c r="AH149" s="614"/>
      <c r="AI149" s="614"/>
      <c r="AJ149" s="614"/>
      <c r="AK149" s="614"/>
      <c r="AL149" s="614"/>
      <c r="AM149" s="614"/>
      <c r="AN149" s="614"/>
      <c r="AO149" s="614"/>
      <c r="AP149" s="614"/>
      <c r="AQ149" s="614"/>
      <c r="AR149" s="614"/>
      <c r="AS149" s="614"/>
      <c r="AT149" s="614"/>
      <c r="AU149" s="614"/>
      <c r="AV149" s="614"/>
      <c r="AW149" s="614"/>
      <c r="AX149" s="614"/>
      <c r="AY149" s="614"/>
      <c r="AZ149" s="614"/>
      <c r="BA149" s="614"/>
      <c r="BB149" s="614"/>
      <c r="BC149" s="614"/>
      <c r="BD149" s="614"/>
      <c r="BE149" s="614"/>
      <c r="BF149" s="614"/>
      <c r="BG149" s="614"/>
      <c r="BH149" s="614"/>
    </row>
    <row r="150" spans="1:60" ht="12.75">
      <c r="A150"/>
      <c r="C150" s="614"/>
      <c r="D150" s="613"/>
      <c r="E150" s="613"/>
      <c r="F150" s="613"/>
      <c r="G150" s="613"/>
      <c r="H150" s="614"/>
      <c r="I150" s="614"/>
      <c r="J150" s="614"/>
      <c r="K150" s="614"/>
      <c r="L150" s="614"/>
      <c r="M150" s="614"/>
      <c r="N150" s="614"/>
      <c r="O150" s="614"/>
      <c r="P150" s="614"/>
      <c r="Q150" s="614"/>
      <c r="R150" s="614"/>
      <c r="S150" s="614"/>
      <c r="T150" s="614"/>
      <c r="U150" s="614"/>
      <c r="V150" s="614"/>
      <c r="W150" s="614"/>
      <c r="X150" s="614"/>
      <c r="Y150" s="614"/>
      <c r="Z150" s="614"/>
      <c r="AA150" s="614"/>
      <c r="AB150" s="614"/>
      <c r="AC150" s="614"/>
      <c r="AD150" s="614"/>
      <c r="AE150" s="614"/>
      <c r="AF150" s="614"/>
      <c r="AG150" s="614"/>
      <c r="AH150" s="614"/>
      <c r="AI150" s="614"/>
      <c r="AJ150" s="614"/>
      <c r="AK150" s="614"/>
      <c r="AL150" s="614"/>
      <c r="AM150" s="614"/>
      <c r="AN150" s="614"/>
      <c r="AO150" s="614"/>
      <c r="AP150" s="614"/>
      <c r="AQ150" s="614"/>
      <c r="AR150" s="614"/>
      <c r="AS150" s="614"/>
      <c r="AT150" s="614"/>
      <c r="AU150" s="614"/>
      <c r="AV150" s="614"/>
      <c r="AW150" s="614"/>
      <c r="AX150" s="614"/>
      <c r="AY150" s="614"/>
      <c r="AZ150" s="614"/>
      <c r="BA150" s="614"/>
      <c r="BB150" s="614"/>
      <c r="BC150" s="614"/>
      <c r="BD150" s="614"/>
      <c r="BE150" s="614"/>
      <c r="BF150" s="614"/>
      <c r="BG150" s="614"/>
      <c r="BH150" s="614"/>
    </row>
    <row r="151" spans="1:60" ht="12.75">
      <c r="A151"/>
      <c r="C151" s="614"/>
      <c r="D151" s="613"/>
      <c r="E151" s="613"/>
      <c r="F151" s="613"/>
      <c r="G151" s="613"/>
      <c r="H151" s="614"/>
      <c r="I151" s="614"/>
      <c r="J151" s="614"/>
      <c r="K151" s="614"/>
      <c r="L151" s="614"/>
      <c r="M151" s="614"/>
      <c r="N151" s="614"/>
      <c r="O151" s="614"/>
      <c r="P151" s="614"/>
      <c r="Q151" s="614"/>
      <c r="R151" s="614"/>
      <c r="S151" s="614"/>
      <c r="T151" s="614"/>
      <c r="U151" s="614"/>
      <c r="V151" s="614"/>
      <c r="W151" s="614"/>
      <c r="X151" s="614"/>
      <c r="Y151" s="614"/>
      <c r="Z151" s="614"/>
      <c r="AA151" s="614"/>
      <c r="AB151" s="614"/>
      <c r="AC151" s="614"/>
      <c r="AD151" s="614"/>
      <c r="AE151" s="614"/>
      <c r="AF151" s="614"/>
      <c r="AG151" s="614"/>
      <c r="AH151" s="614"/>
      <c r="AI151" s="614"/>
      <c r="AJ151" s="614"/>
      <c r="AK151" s="614"/>
      <c r="AL151" s="614"/>
      <c r="AM151" s="614"/>
      <c r="AN151" s="614"/>
      <c r="AO151" s="614"/>
      <c r="AP151" s="614"/>
      <c r="AQ151" s="614"/>
      <c r="AR151" s="614"/>
      <c r="AS151" s="614"/>
      <c r="AT151" s="614"/>
      <c r="AU151" s="614"/>
      <c r="AV151" s="614"/>
      <c r="AW151" s="614"/>
      <c r="AX151" s="614"/>
      <c r="AY151" s="614"/>
      <c r="AZ151" s="614"/>
      <c r="BA151" s="614"/>
      <c r="BB151" s="614"/>
      <c r="BC151" s="614"/>
      <c r="BD151" s="614"/>
      <c r="BE151" s="614"/>
      <c r="BF151" s="614"/>
      <c r="BG151" s="614"/>
      <c r="BH151" s="614"/>
    </row>
    <row r="152" spans="1:60" ht="12.75">
      <c r="A152"/>
      <c r="C152" s="614"/>
      <c r="D152" s="613"/>
      <c r="E152" s="613"/>
      <c r="F152" s="613"/>
      <c r="G152" s="613"/>
      <c r="H152" s="614"/>
      <c r="I152" s="614"/>
      <c r="J152" s="614"/>
      <c r="K152" s="614"/>
      <c r="L152" s="614"/>
      <c r="M152" s="614"/>
      <c r="N152" s="614"/>
      <c r="O152" s="614"/>
      <c r="P152" s="614"/>
      <c r="Q152" s="614"/>
      <c r="R152" s="614"/>
      <c r="S152" s="614"/>
      <c r="T152" s="614"/>
      <c r="U152" s="614"/>
      <c r="V152" s="614"/>
      <c r="W152" s="614"/>
      <c r="X152" s="614"/>
      <c r="Y152" s="614"/>
      <c r="Z152" s="614"/>
      <c r="AA152" s="614"/>
      <c r="AB152" s="614"/>
      <c r="AC152" s="614"/>
      <c r="AD152" s="614"/>
      <c r="AE152" s="614"/>
      <c r="AF152" s="614"/>
      <c r="AG152" s="614"/>
      <c r="AH152" s="614"/>
      <c r="AI152" s="614"/>
      <c r="AJ152" s="614"/>
      <c r="AK152" s="614"/>
      <c r="AL152" s="614"/>
      <c r="AM152" s="614"/>
      <c r="AN152" s="614"/>
      <c r="AO152" s="614"/>
      <c r="AP152" s="614"/>
      <c r="AQ152" s="614"/>
      <c r="AR152" s="614"/>
      <c r="AS152" s="614"/>
      <c r="AT152" s="614"/>
      <c r="AU152" s="614"/>
      <c r="AV152" s="614"/>
      <c r="AW152" s="614"/>
      <c r="AX152" s="614"/>
      <c r="AY152" s="614"/>
      <c r="AZ152" s="614"/>
      <c r="BA152" s="614"/>
      <c r="BB152" s="614"/>
      <c r="BC152" s="614"/>
      <c r="BD152" s="614"/>
      <c r="BE152" s="614"/>
      <c r="BF152" s="614"/>
      <c r="BG152" s="614"/>
      <c r="BH152" s="614"/>
    </row>
    <row r="153" spans="1:60" ht="12.75">
      <c r="A153"/>
      <c r="C153" s="614"/>
      <c r="D153" s="613"/>
      <c r="E153" s="613"/>
      <c r="F153" s="613"/>
      <c r="G153" s="613"/>
      <c r="H153" s="614"/>
      <c r="I153" s="614"/>
      <c r="J153" s="614"/>
      <c r="K153" s="614"/>
      <c r="L153" s="614"/>
      <c r="M153" s="614"/>
      <c r="N153" s="614"/>
      <c r="O153" s="614"/>
      <c r="P153" s="614"/>
      <c r="Q153" s="614"/>
      <c r="R153" s="614"/>
      <c r="S153" s="614"/>
      <c r="T153" s="614"/>
      <c r="U153" s="614"/>
      <c r="V153" s="614"/>
      <c r="W153" s="614"/>
      <c r="X153" s="614"/>
      <c r="Y153" s="614"/>
      <c r="Z153" s="614"/>
      <c r="AA153" s="614"/>
      <c r="AB153" s="614"/>
      <c r="AC153" s="614"/>
      <c r="AD153" s="614"/>
      <c r="AE153" s="614"/>
      <c r="AF153" s="614"/>
      <c r="AG153" s="614"/>
      <c r="AH153" s="614"/>
      <c r="AI153" s="614"/>
      <c r="AJ153" s="614"/>
      <c r="AK153" s="614"/>
      <c r="AL153" s="614"/>
      <c r="AM153" s="614"/>
      <c r="AN153" s="614"/>
      <c r="AO153" s="614"/>
      <c r="AP153" s="614"/>
      <c r="AQ153" s="614"/>
      <c r="AR153" s="614"/>
      <c r="AS153" s="614"/>
      <c r="AT153" s="614"/>
      <c r="AU153" s="614"/>
      <c r="AV153" s="614"/>
      <c r="AW153" s="614"/>
      <c r="AX153" s="614"/>
      <c r="AY153" s="614"/>
      <c r="AZ153" s="614"/>
      <c r="BA153" s="614"/>
      <c r="BB153" s="614"/>
      <c r="BC153" s="614"/>
      <c r="BD153" s="614"/>
      <c r="BE153" s="614"/>
      <c r="BF153" s="614"/>
      <c r="BG153" s="614"/>
      <c r="BH153" s="614"/>
    </row>
    <row r="154" spans="1:60" ht="12.75">
      <c r="A154"/>
      <c r="C154" s="614"/>
      <c r="D154" s="613"/>
      <c r="E154" s="613"/>
      <c r="F154" s="613"/>
      <c r="G154" s="613"/>
      <c r="H154" s="614"/>
      <c r="I154" s="614"/>
      <c r="J154" s="614"/>
      <c r="K154" s="614"/>
      <c r="L154" s="614"/>
      <c r="M154" s="614"/>
      <c r="N154" s="614"/>
      <c r="O154" s="614"/>
      <c r="P154" s="614"/>
      <c r="Q154" s="614"/>
      <c r="R154" s="614"/>
      <c r="S154" s="614"/>
      <c r="T154" s="614"/>
      <c r="U154" s="614"/>
      <c r="V154" s="614"/>
      <c r="W154" s="614"/>
      <c r="X154" s="614"/>
      <c r="Y154" s="614"/>
      <c r="Z154" s="614"/>
      <c r="AA154" s="614"/>
      <c r="AB154" s="614"/>
      <c r="AC154" s="614"/>
      <c r="AD154" s="614"/>
      <c r="AE154" s="614"/>
      <c r="AF154" s="614"/>
      <c r="AG154" s="614"/>
      <c r="AH154" s="614"/>
      <c r="AI154" s="614"/>
      <c r="AJ154" s="614"/>
      <c r="AK154" s="614"/>
      <c r="AL154" s="614"/>
      <c r="AM154" s="614"/>
      <c r="AN154" s="614"/>
      <c r="AO154" s="614"/>
      <c r="AP154" s="614"/>
      <c r="AQ154" s="614"/>
      <c r="AR154" s="614"/>
      <c r="AS154" s="614"/>
      <c r="AT154" s="614"/>
      <c r="AU154" s="614"/>
      <c r="AV154" s="614"/>
      <c r="AW154" s="614"/>
      <c r="AX154" s="614"/>
      <c r="AY154" s="614"/>
      <c r="AZ154" s="614"/>
      <c r="BA154" s="614"/>
      <c r="BB154" s="614"/>
      <c r="BC154" s="614"/>
      <c r="BD154" s="614"/>
      <c r="BE154" s="614"/>
      <c r="BF154" s="614"/>
      <c r="BG154" s="614"/>
      <c r="BH154" s="614"/>
    </row>
    <row r="155" spans="1:60" ht="12.75">
      <c r="A155"/>
      <c r="C155" s="614"/>
      <c r="D155" s="613"/>
      <c r="E155" s="613"/>
      <c r="F155" s="613"/>
      <c r="G155" s="613"/>
      <c r="H155" s="614"/>
      <c r="I155" s="614"/>
      <c r="J155" s="614"/>
      <c r="K155" s="614"/>
      <c r="L155" s="614"/>
      <c r="M155" s="614"/>
      <c r="N155" s="614"/>
      <c r="O155" s="614"/>
      <c r="P155" s="614"/>
      <c r="Q155" s="614"/>
      <c r="R155" s="614"/>
      <c r="S155" s="614"/>
      <c r="T155" s="614"/>
      <c r="U155" s="614"/>
      <c r="V155" s="614"/>
      <c r="W155" s="614"/>
      <c r="X155" s="614"/>
      <c r="Y155" s="614"/>
      <c r="Z155" s="614"/>
      <c r="AA155" s="614"/>
      <c r="AB155" s="614"/>
      <c r="AC155" s="614"/>
      <c r="AD155" s="614"/>
      <c r="AE155" s="614"/>
      <c r="AF155" s="614"/>
      <c r="AG155" s="614"/>
      <c r="AH155" s="614"/>
      <c r="AI155" s="614"/>
      <c r="AJ155" s="614"/>
      <c r="AK155" s="614"/>
      <c r="AL155" s="614"/>
      <c r="AM155" s="614"/>
      <c r="AN155" s="614"/>
      <c r="AO155" s="614"/>
      <c r="AP155" s="614"/>
      <c r="AQ155" s="614"/>
      <c r="AR155" s="614"/>
      <c r="AS155" s="614"/>
      <c r="AT155" s="614"/>
      <c r="AU155" s="614"/>
      <c r="AV155" s="614"/>
      <c r="AW155" s="614"/>
      <c r="AX155" s="614"/>
      <c r="AY155" s="614"/>
      <c r="AZ155" s="614"/>
      <c r="BA155" s="614"/>
      <c r="BB155" s="614"/>
      <c r="BC155" s="614"/>
      <c r="BD155" s="614"/>
      <c r="BE155" s="614"/>
      <c r="BF155" s="614"/>
      <c r="BG155" s="614"/>
      <c r="BH155" s="614"/>
    </row>
    <row r="156" spans="1:60" ht="12.75">
      <c r="A156"/>
      <c r="C156" s="614"/>
      <c r="D156" s="613"/>
      <c r="E156" s="613"/>
      <c r="F156" s="613"/>
      <c r="G156" s="613"/>
      <c r="H156" s="614"/>
      <c r="I156" s="614"/>
      <c r="J156" s="614"/>
      <c r="K156" s="614"/>
      <c r="L156" s="614"/>
      <c r="M156" s="614"/>
      <c r="N156" s="614"/>
      <c r="O156" s="614"/>
      <c r="P156" s="614"/>
      <c r="Q156" s="614"/>
      <c r="R156" s="614"/>
      <c r="S156" s="614"/>
      <c r="T156" s="614"/>
      <c r="U156" s="614"/>
      <c r="V156" s="614"/>
      <c r="W156" s="614"/>
      <c r="X156" s="614"/>
      <c r="Y156" s="614"/>
      <c r="Z156" s="614"/>
      <c r="AA156" s="614"/>
      <c r="AB156" s="614"/>
      <c r="AC156" s="614"/>
      <c r="AD156" s="614"/>
      <c r="AE156" s="614"/>
      <c r="AF156" s="614"/>
      <c r="AG156" s="614"/>
      <c r="AH156" s="614"/>
      <c r="AI156" s="614"/>
      <c r="AJ156" s="614"/>
      <c r="AK156" s="614"/>
      <c r="AL156" s="614"/>
      <c r="AM156" s="614"/>
      <c r="AN156" s="614"/>
      <c r="AO156" s="614"/>
      <c r="AP156" s="614"/>
      <c r="AQ156" s="614"/>
      <c r="AR156" s="614"/>
      <c r="AS156" s="614"/>
      <c r="AT156" s="614"/>
      <c r="AU156" s="614"/>
      <c r="AV156" s="614"/>
      <c r="AW156" s="614"/>
      <c r="AX156" s="614"/>
      <c r="AY156" s="614"/>
      <c r="AZ156" s="614"/>
      <c r="BA156" s="614"/>
      <c r="BB156" s="614"/>
      <c r="BC156" s="614"/>
      <c r="BD156" s="614"/>
      <c r="BE156" s="614"/>
      <c r="BF156" s="614"/>
      <c r="BG156" s="614"/>
      <c r="BH156" s="614"/>
    </row>
    <row r="157" spans="1:60" ht="12.75">
      <c r="A157"/>
      <c r="C157" s="614"/>
      <c r="D157" s="613"/>
      <c r="E157" s="613"/>
      <c r="F157" s="613"/>
      <c r="G157" s="613"/>
      <c r="H157" s="614"/>
      <c r="I157" s="614"/>
      <c r="J157" s="614"/>
      <c r="K157" s="614"/>
      <c r="L157" s="614"/>
      <c r="M157" s="614"/>
      <c r="N157" s="614"/>
      <c r="O157" s="614"/>
      <c r="P157" s="614"/>
      <c r="Q157" s="614"/>
      <c r="R157" s="614"/>
      <c r="S157" s="614"/>
      <c r="T157" s="614"/>
      <c r="U157" s="614"/>
      <c r="V157" s="614"/>
      <c r="W157" s="614"/>
      <c r="X157" s="614"/>
      <c r="Y157" s="614"/>
      <c r="Z157" s="614"/>
      <c r="AA157" s="614"/>
      <c r="AB157" s="614"/>
      <c r="AC157" s="614"/>
      <c r="AD157" s="614"/>
      <c r="AE157" s="614"/>
      <c r="AF157" s="614"/>
      <c r="AG157" s="614"/>
      <c r="AH157" s="614"/>
      <c r="AI157" s="614"/>
      <c r="AJ157" s="614"/>
      <c r="AK157" s="614"/>
      <c r="AL157" s="614"/>
      <c r="AM157" s="614"/>
      <c r="AN157" s="614"/>
      <c r="AO157" s="614"/>
      <c r="AP157" s="614"/>
      <c r="AQ157" s="614"/>
      <c r="AR157" s="614"/>
      <c r="AS157" s="614"/>
      <c r="AT157" s="614"/>
      <c r="AU157" s="614"/>
      <c r="AV157" s="614"/>
      <c r="AW157" s="614"/>
      <c r="AX157" s="614"/>
      <c r="AY157" s="614"/>
      <c r="AZ157" s="614"/>
      <c r="BA157" s="614"/>
      <c r="BB157" s="614"/>
      <c r="BC157" s="614"/>
      <c r="BD157" s="614"/>
      <c r="BE157" s="614"/>
      <c r="BF157" s="614"/>
      <c r="BG157" s="614"/>
      <c r="BH157" s="614"/>
    </row>
    <row r="158" spans="1:60" ht="12.75">
      <c r="A158"/>
      <c r="C158" s="614"/>
      <c r="D158" s="613"/>
      <c r="E158" s="613"/>
      <c r="F158" s="613"/>
      <c r="G158" s="613"/>
      <c r="H158" s="614"/>
      <c r="I158" s="614"/>
      <c r="J158" s="614"/>
      <c r="K158" s="614"/>
      <c r="L158" s="614"/>
      <c r="M158" s="614"/>
      <c r="N158" s="614"/>
      <c r="O158" s="614"/>
      <c r="P158" s="614"/>
      <c r="Q158" s="614"/>
      <c r="R158" s="614"/>
      <c r="S158" s="614"/>
      <c r="T158" s="614"/>
      <c r="U158" s="614"/>
      <c r="V158" s="614"/>
      <c r="W158" s="614"/>
      <c r="X158" s="614"/>
      <c r="Y158" s="614"/>
      <c r="Z158" s="614"/>
      <c r="AA158" s="614"/>
      <c r="AB158" s="614"/>
      <c r="AC158" s="614"/>
      <c r="AD158" s="614"/>
      <c r="AE158" s="614"/>
      <c r="AF158" s="614"/>
      <c r="AG158" s="614"/>
      <c r="AH158" s="614"/>
      <c r="AI158" s="614"/>
      <c r="AJ158" s="614"/>
      <c r="AK158" s="614"/>
      <c r="AL158" s="614"/>
      <c r="AM158" s="614"/>
      <c r="AN158" s="614"/>
      <c r="AO158" s="614"/>
      <c r="AP158" s="614"/>
      <c r="AQ158" s="614"/>
      <c r="AR158" s="614"/>
      <c r="AS158" s="614"/>
      <c r="AT158" s="614"/>
      <c r="AU158" s="614"/>
      <c r="AV158" s="614"/>
      <c r="AW158" s="614"/>
      <c r="AX158" s="614"/>
      <c r="AY158" s="614"/>
      <c r="AZ158" s="614"/>
      <c r="BA158" s="614"/>
      <c r="BB158" s="614"/>
      <c r="BC158" s="614"/>
      <c r="BD158" s="614"/>
      <c r="BE158" s="614"/>
      <c r="BF158" s="614"/>
      <c r="BG158" s="614"/>
      <c r="BH158" s="614"/>
    </row>
    <row r="159" spans="1:60" ht="12.75">
      <c r="A159"/>
      <c r="C159" s="614"/>
      <c r="D159" s="613"/>
      <c r="E159" s="613"/>
      <c r="F159" s="613"/>
      <c r="G159" s="613"/>
      <c r="H159" s="614"/>
      <c r="I159" s="614"/>
      <c r="J159" s="614"/>
      <c r="K159" s="614"/>
      <c r="L159" s="614"/>
      <c r="M159" s="614"/>
      <c r="N159" s="614"/>
      <c r="O159" s="614"/>
      <c r="P159" s="614"/>
      <c r="Q159" s="614"/>
      <c r="R159" s="614"/>
      <c r="S159" s="614"/>
      <c r="T159" s="614"/>
      <c r="U159" s="614"/>
      <c r="V159" s="614"/>
      <c r="W159" s="614"/>
      <c r="X159" s="614"/>
      <c r="Y159" s="614"/>
      <c r="Z159" s="614"/>
      <c r="AA159" s="614"/>
      <c r="AB159" s="614"/>
      <c r="AC159" s="614"/>
      <c r="AD159" s="614"/>
      <c r="AE159" s="614"/>
      <c r="AF159" s="614"/>
      <c r="AG159" s="614"/>
      <c r="AH159" s="614"/>
      <c r="AI159" s="614"/>
      <c r="AJ159" s="614"/>
      <c r="AK159" s="614"/>
      <c r="AL159" s="614"/>
      <c r="AM159" s="614"/>
      <c r="AN159" s="614"/>
      <c r="AO159" s="614"/>
      <c r="AP159" s="614"/>
      <c r="AQ159" s="614"/>
      <c r="AR159" s="614"/>
      <c r="AS159" s="614"/>
      <c r="AT159" s="614"/>
      <c r="AU159" s="614"/>
      <c r="AV159" s="614"/>
      <c r="AW159" s="614"/>
      <c r="AX159" s="614"/>
      <c r="AY159" s="614"/>
      <c r="AZ159" s="614"/>
      <c r="BA159" s="614"/>
      <c r="BB159" s="614"/>
      <c r="BC159" s="614"/>
      <c r="BD159" s="614"/>
      <c r="BE159" s="614"/>
      <c r="BF159" s="614"/>
      <c r="BG159" s="614"/>
      <c r="BH159" s="614"/>
    </row>
    <row r="160" spans="1:60" ht="12.75">
      <c r="A160"/>
      <c r="C160" s="614"/>
      <c r="D160" s="613"/>
      <c r="E160" s="613"/>
      <c r="F160" s="613"/>
      <c r="G160" s="613"/>
      <c r="H160" s="614"/>
      <c r="I160" s="614"/>
      <c r="J160" s="614"/>
      <c r="K160" s="614"/>
      <c r="L160" s="614"/>
      <c r="M160" s="614"/>
      <c r="N160" s="614"/>
      <c r="O160" s="614"/>
      <c r="P160" s="614"/>
      <c r="Q160" s="614"/>
      <c r="R160" s="614"/>
      <c r="S160" s="614"/>
      <c r="T160" s="614"/>
      <c r="U160" s="614"/>
      <c r="V160" s="614"/>
      <c r="W160" s="614"/>
      <c r="X160" s="614"/>
      <c r="Y160" s="614"/>
      <c r="Z160" s="614"/>
      <c r="AA160" s="614"/>
      <c r="AB160" s="614"/>
      <c r="AC160" s="614"/>
      <c r="AD160" s="614"/>
      <c r="AE160" s="614"/>
      <c r="AF160" s="614"/>
      <c r="AG160" s="614"/>
      <c r="AH160" s="614"/>
      <c r="AI160" s="614"/>
      <c r="AJ160" s="614"/>
      <c r="AK160" s="614"/>
      <c r="AL160" s="614"/>
      <c r="AM160" s="614"/>
      <c r="AN160" s="614"/>
      <c r="AO160" s="614"/>
      <c r="AP160" s="614"/>
      <c r="AQ160" s="614"/>
      <c r="AR160" s="614"/>
      <c r="AS160" s="614"/>
      <c r="AT160" s="614"/>
      <c r="AU160" s="614"/>
      <c r="AV160" s="614"/>
      <c r="AW160" s="614"/>
      <c r="AX160" s="614"/>
      <c r="AY160" s="614"/>
      <c r="AZ160" s="614"/>
      <c r="BA160" s="614"/>
      <c r="BB160" s="614"/>
      <c r="BC160" s="614"/>
      <c r="BD160" s="614"/>
      <c r="BE160" s="614"/>
      <c r="BF160" s="614"/>
      <c r="BG160" s="614"/>
      <c r="BH160" s="614"/>
    </row>
    <row r="161" spans="1:60" ht="12.75">
      <c r="A161"/>
      <c r="C161" s="614"/>
      <c r="D161" s="613"/>
      <c r="E161" s="613"/>
      <c r="F161" s="613"/>
      <c r="G161" s="613"/>
      <c r="H161" s="614"/>
      <c r="I161" s="614"/>
      <c r="J161" s="614"/>
      <c r="K161" s="614"/>
      <c r="L161" s="614"/>
      <c r="M161" s="614"/>
      <c r="N161" s="614"/>
      <c r="O161" s="614"/>
      <c r="P161" s="614"/>
      <c r="Q161" s="614"/>
      <c r="R161" s="614"/>
      <c r="S161" s="614"/>
      <c r="T161" s="614"/>
      <c r="U161" s="614"/>
      <c r="V161" s="614"/>
      <c r="W161" s="614"/>
      <c r="X161" s="614"/>
      <c r="Y161" s="614"/>
      <c r="Z161" s="614"/>
      <c r="AA161" s="614"/>
      <c r="AB161" s="614"/>
      <c r="AC161" s="614"/>
      <c r="AD161" s="614"/>
      <c r="AE161" s="614"/>
      <c r="AF161" s="614"/>
      <c r="AG161" s="614"/>
      <c r="AH161" s="614"/>
      <c r="AI161" s="614"/>
      <c r="AJ161" s="614"/>
      <c r="AK161" s="614"/>
      <c r="AL161" s="614"/>
      <c r="AM161" s="614"/>
      <c r="AN161" s="614"/>
      <c r="AO161" s="614"/>
      <c r="AP161" s="614"/>
      <c r="AQ161" s="614"/>
      <c r="AR161" s="614"/>
      <c r="AS161" s="614"/>
      <c r="AT161" s="614"/>
      <c r="AU161" s="614"/>
      <c r="AV161" s="614"/>
      <c r="AW161" s="614"/>
      <c r="AX161" s="614"/>
      <c r="AY161" s="614"/>
      <c r="AZ161" s="614"/>
      <c r="BA161" s="614"/>
      <c r="BB161" s="614"/>
      <c r="BC161" s="614"/>
      <c r="BD161" s="614"/>
      <c r="BE161" s="614"/>
      <c r="BF161" s="614"/>
      <c r="BG161" s="614"/>
      <c r="BH161" s="614"/>
    </row>
    <row r="162" spans="1:60" ht="12.75">
      <c r="A162"/>
      <c r="C162" s="614"/>
      <c r="D162" s="613"/>
      <c r="E162" s="613"/>
      <c r="F162" s="613"/>
      <c r="G162" s="613"/>
      <c r="H162" s="614"/>
      <c r="I162" s="614"/>
      <c r="J162" s="614"/>
      <c r="K162" s="614"/>
      <c r="L162" s="614"/>
      <c r="M162" s="614"/>
      <c r="N162" s="614"/>
      <c r="O162" s="614"/>
      <c r="P162" s="614"/>
      <c r="Q162" s="614"/>
      <c r="R162" s="614"/>
      <c r="S162" s="614"/>
      <c r="T162" s="614"/>
      <c r="U162" s="614"/>
      <c r="V162" s="614"/>
      <c r="W162" s="614"/>
      <c r="X162" s="614"/>
      <c r="Y162" s="614"/>
      <c r="Z162" s="614"/>
      <c r="AA162" s="614"/>
      <c r="AB162" s="614"/>
      <c r="AC162" s="614"/>
      <c r="AD162" s="614"/>
      <c r="AE162" s="614"/>
      <c r="AF162" s="614"/>
      <c r="AG162" s="614"/>
      <c r="AH162" s="614"/>
      <c r="AI162" s="614"/>
      <c r="AJ162" s="614"/>
      <c r="AK162" s="614"/>
      <c r="AL162" s="614"/>
      <c r="AM162" s="614"/>
      <c r="AN162" s="614"/>
      <c r="AO162" s="614"/>
      <c r="AP162" s="614"/>
      <c r="AQ162" s="614"/>
      <c r="AR162" s="614"/>
      <c r="AS162" s="614"/>
      <c r="AT162" s="614"/>
      <c r="AU162" s="614"/>
      <c r="AV162" s="614"/>
      <c r="AW162" s="614"/>
      <c r="AX162" s="614"/>
      <c r="AY162" s="614"/>
      <c r="AZ162" s="614"/>
      <c r="BA162" s="614"/>
      <c r="BB162" s="614"/>
      <c r="BC162" s="614"/>
      <c r="BD162" s="614"/>
      <c r="BE162" s="614"/>
      <c r="BF162" s="614"/>
      <c r="BG162" s="614"/>
      <c r="BH162" s="614"/>
    </row>
    <row r="163" spans="1:60" ht="12.75">
      <c r="A163"/>
      <c r="C163" s="614"/>
      <c r="D163" s="613"/>
      <c r="E163" s="613"/>
      <c r="F163" s="613"/>
      <c r="G163" s="613"/>
      <c r="H163" s="614"/>
      <c r="I163" s="614"/>
      <c r="J163" s="614"/>
      <c r="K163" s="614"/>
      <c r="L163" s="614"/>
      <c r="M163" s="614"/>
      <c r="N163" s="614"/>
      <c r="O163" s="614"/>
      <c r="P163" s="614"/>
      <c r="Q163" s="614"/>
      <c r="R163" s="614"/>
      <c r="S163" s="614"/>
      <c r="T163" s="614"/>
      <c r="U163" s="614"/>
      <c r="V163" s="614"/>
      <c r="W163" s="614"/>
      <c r="X163" s="614"/>
      <c r="Y163" s="614"/>
      <c r="Z163" s="614"/>
      <c r="AA163" s="614"/>
      <c r="AB163" s="614"/>
      <c r="AC163" s="614"/>
      <c r="AD163" s="614"/>
      <c r="AE163" s="614"/>
      <c r="AF163" s="614"/>
      <c r="AG163" s="614"/>
      <c r="AH163" s="614"/>
      <c r="AI163" s="614"/>
      <c r="AJ163" s="614"/>
      <c r="AK163" s="614"/>
      <c r="AL163" s="614"/>
      <c r="AM163" s="614"/>
      <c r="AN163" s="614"/>
      <c r="AO163" s="614"/>
      <c r="AP163" s="614"/>
      <c r="AQ163" s="614"/>
      <c r="AR163" s="614"/>
      <c r="AS163" s="614"/>
      <c r="AT163" s="614"/>
      <c r="AU163" s="614"/>
      <c r="AV163" s="614"/>
      <c r="AW163" s="614"/>
      <c r="AX163" s="614"/>
      <c r="AY163" s="614"/>
      <c r="AZ163" s="614"/>
      <c r="BA163" s="614"/>
      <c r="BB163" s="614"/>
      <c r="BC163" s="614"/>
      <c r="BD163" s="614"/>
      <c r="BE163" s="614"/>
      <c r="BF163" s="614"/>
      <c r="BG163" s="614"/>
      <c r="BH163" s="614"/>
    </row>
    <row r="164" spans="1:60" ht="12.75">
      <c r="A164"/>
      <c r="C164" s="614"/>
      <c r="D164" s="613"/>
      <c r="E164" s="613"/>
      <c r="F164" s="613"/>
      <c r="G164" s="613"/>
      <c r="H164" s="614"/>
      <c r="I164" s="614"/>
      <c r="J164" s="614"/>
      <c r="K164" s="614"/>
      <c r="L164" s="614"/>
      <c r="M164" s="614"/>
      <c r="N164" s="614"/>
      <c r="O164" s="614"/>
      <c r="P164" s="614"/>
      <c r="Q164" s="614"/>
      <c r="R164" s="614"/>
      <c r="S164" s="614"/>
      <c r="T164" s="614"/>
      <c r="U164" s="614"/>
      <c r="V164" s="614"/>
      <c r="W164" s="614"/>
      <c r="X164" s="614"/>
      <c r="Y164" s="614"/>
      <c r="Z164" s="614"/>
      <c r="AA164" s="614"/>
      <c r="AB164" s="614"/>
      <c r="AC164" s="614"/>
      <c r="AD164" s="614"/>
      <c r="AE164" s="614"/>
      <c r="AF164" s="614"/>
      <c r="AG164" s="614"/>
      <c r="AH164" s="614"/>
      <c r="AI164" s="614"/>
      <c r="AJ164" s="614"/>
      <c r="AK164" s="614"/>
      <c r="AL164" s="614"/>
      <c r="AM164" s="614"/>
      <c r="AN164" s="614"/>
      <c r="AO164" s="614"/>
      <c r="AP164" s="614"/>
      <c r="AQ164" s="614"/>
      <c r="AR164" s="614"/>
      <c r="AS164" s="614"/>
      <c r="AT164" s="614"/>
      <c r="AU164" s="614"/>
      <c r="AV164" s="614"/>
      <c r="AW164" s="614"/>
      <c r="AX164" s="614"/>
      <c r="AY164" s="614"/>
      <c r="AZ164" s="614"/>
      <c r="BA164" s="614"/>
      <c r="BB164" s="614"/>
      <c r="BC164" s="614"/>
      <c r="BD164" s="614"/>
      <c r="BE164" s="614"/>
      <c r="BF164" s="614"/>
      <c r="BG164" s="614"/>
      <c r="BH164" s="614"/>
    </row>
    <row r="165" spans="1:60" ht="12.75">
      <c r="A165"/>
      <c r="C165" s="614"/>
      <c r="D165" s="613"/>
      <c r="E165" s="613"/>
      <c r="F165" s="613"/>
      <c r="G165" s="613"/>
      <c r="H165" s="614"/>
      <c r="I165" s="614"/>
      <c r="J165" s="614"/>
      <c r="K165" s="614"/>
      <c r="L165" s="614"/>
      <c r="M165" s="614"/>
      <c r="N165" s="614"/>
      <c r="O165" s="614"/>
      <c r="P165" s="614"/>
      <c r="Q165" s="614"/>
      <c r="R165" s="614"/>
      <c r="S165" s="614"/>
      <c r="T165" s="614"/>
      <c r="U165" s="614"/>
      <c r="V165" s="614"/>
      <c r="W165" s="614"/>
      <c r="X165" s="614"/>
      <c r="Y165" s="614"/>
      <c r="Z165" s="614"/>
      <c r="AA165" s="614"/>
      <c r="AB165" s="614"/>
      <c r="AC165" s="614"/>
      <c r="AD165" s="614"/>
      <c r="AE165" s="614"/>
      <c r="AF165" s="614"/>
      <c r="AG165" s="614"/>
      <c r="AH165" s="614"/>
      <c r="AI165" s="614"/>
      <c r="AJ165" s="614"/>
      <c r="AK165" s="614"/>
      <c r="AL165" s="614"/>
      <c r="AM165" s="614"/>
      <c r="AN165" s="614"/>
      <c r="AO165" s="614"/>
      <c r="AP165" s="614"/>
      <c r="AQ165" s="614"/>
      <c r="AR165" s="614"/>
      <c r="AS165" s="614"/>
      <c r="AT165" s="614"/>
      <c r="AU165" s="614"/>
      <c r="AV165" s="614"/>
      <c r="AW165" s="614"/>
      <c r="AX165" s="614"/>
      <c r="AY165" s="614"/>
      <c r="AZ165" s="614"/>
      <c r="BA165" s="614"/>
      <c r="BB165" s="614"/>
      <c r="BC165" s="614"/>
      <c r="BD165" s="614"/>
      <c r="BE165" s="614"/>
      <c r="BF165" s="614"/>
      <c r="BG165" s="614"/>
      <c r="BH165" s="614"/>
    </row>
    <row r="166" spans="1:60" ht="12.75">
      <c r="A166"/>
      <c r="C166" s="614"/>
      <c r="D166" s="613"/>
      <c r="E166" s="613"/>
      <c r="F166" s="613"/>
      <c r="G166" s="613"/>
      <c r="H166" s="614"/>
      <c r="I166" s="614"/>
      <c r="J166" s="614"/>
      <c r="K166" s="614"/>
      <c r="L166" s="614"/>
      <c r="M166" s="614"/>
      <c r="N166" s="614"/>
      <c r="O166" s="614"/>
      <c r="P166" s="614"/>
      <c r="Q166" s="614"/>
      <c r="R166" s="614"/>
      <c r="S166" s="614"/>
      <c r="T166" s="614"/>
      <c r="U166" s="614"/>
      <c r="V166" s="614"/>
      <c r="W166" s="614"/>
      <c r="X166" s="614"/>
      <c r="Y166" s="614"/>
      <c r="Z166" s="614"/>
      <c r="AA166" s="614"/>
      <c r="AB166" s="614"/>
      <c r="AC166" s="614"/>
      <c r="AD166" s="614"/>
      <c r="AE166" s="614"/>
      <c r="AF166" s="614"/>
      <c r="AG166" s="614"/>
      <c r="AH166" s="614"/>
      <c r="AI166" s="614"/>
      <c r="AJ166" s="614"/>
      <c r="AK166" s="614"/>
      <c r="AL166" s="614"/>
      <c r="AM166" s="614"/>
      <c r="AN166" s="614"/>
      <c r="AO166" s="614"/>
      <c r="AP166" s="614"/>
      <c r="AQ166" s="614"/>
      <c r="AR166" s="614"/>
      <c r="AS166" s="614"/>
      <c r="AT166" s="614"/>
      <c r="AU166" s="614"/>
      <c r="AV166" s="614"/>
      <c r="AW166" s="614"/>
      <c r="AX166" s="614"/>
      <c r="AY166" s="614"/>
      <c r="AZ166" s="614"/>
      <c r="BA166" s="614"/>
      <c r="BB166" s="614"/>
      <c r="BC166" s="614"/>
      <c r="BD166" s="614"/>
      <c r="BE166" s="614"/>
      <c r="BF166" s="614"/>
      <c r="BG166" s="614"/>
      <c r="BH166" s="614"/>
    </row>
    <row r="167" spans="1:60" ht="12.75">
      <c r="A167"/>
      <c r="C167" s="614"/>
      <c r="D167" s="613"/>
      <c r="E167" s="613"/>
      <c r="F167" s="613"/>
      <c r="G167" s="613"/>
      <c r="H167" s="614"/>
      <c r="I167" s="614"/>
      <c r="J167" s="614"/>
      <c r="K167" s="614"/>
      <c r="L167" s="614"/>
      <c r="M167" s="614"/>
      <c r="N167" s="614"/>
      <c r="O167" s="614"/>
      <c r="P167" s="614"/>
      <c r="Q167" s="614"/>
      <c r="R167" s="614"/>
      <c r="S167" s="614"/>
      <c r="T167" s="614"/>
      <c r="U167" s="614"/>
      <c r="V167" s="614"/>
      <c r="W167" s="614"/>
      <c r="X167" s="614"/>
      <c r="Y167" s="614"/>
      <c r="Z167" s="614"/>
      <c r="AA167" s="614"/>
      <c r="AB167" s="614"/>
      <c r="AC167" s="614"/>
      <c r="AD167" s="614"/>
      <c r="AE167" s="614"/>
      <c r="AF167" s="614"/>
      <c r="AG167" s="614"/>
      <c r="AH167" s="614"/>
      <c r="AI167" s="614"/>
      <c r="AJ167" s="614"/>
      <c r="AK167" s="614"/>
      <c r="AL167" s="614"/>
      <c r="AM167" s="614"/>
      <c r="AN167" s="614"/>
      <c r="AO167" s="614"/>
      <c r="AP167" s="614"/>
      <c r="AQ167" s="614"/>
      <c r="AR167" s="614"/>
      <c r="AS167" s="614"/>
      <c r="AT167" s="614"/>
      <c r="AU167" s="614"/>
      <c r="AV167" s="614"/>
      <c r="AW167" s="614"/>
      <c r="AX167" s="614"/>
      <c r="AY167" s="614"/>
      <c r="AZ167" s="614"/>
      <c r="BA167" s="614"/>
      <c r="BB167" s="614"/>
      <c r="BC167" s="614"/>
      <c r="BD167" s="614"/>
      <c r="BE167" s="614"/>
      <c r="BF167" s="614"/>
      <c r="BG167" s="614"/>
      <c r="BH167" s="614"/>
    </row>
    <row r="168" spans="1:60" ht="12.75">
      <c r="A168"/>
      <c r="C168" s="614"/>
      <c r="D168" s="613"/>
      <c r="E168" s="613"/>
      <c r="F168" s="613"/>
      <c r="G168" s="613"/>
      <c r="H168" s="614"/>
      <c r="I168" s="614"/>
      <c r="J168" s="614"/>
      <c r="K168" s="614"/>
      <c r="L168" s="614"/>
      <c r="M168" s="614"/>
      <c r="N168" s="614"/>
      <c r="O168" s="614"/>
      <c r="P168" s="614"/>
      <c r="Q168" s="614"/>
      <c r="R168" s="614"/>
      <c r="S168" s="614"/>
      <c r="T168" s="614"/>
      <c r="U168" s="614"/>
      <c r="V168" s="614"/>
      <c r="W168" s="614"/>
      <c r="X168" s="614"/>
      <c r="Y168" s="614"/>
      <c r="Z168" s="614"/>
      <c r="AA168" s="614"/>
      <c r="AB168" s="614"/>
      <c r="AC168" s="614"/>
      <c r="AD168" s="614"/>
      <c r="AE168" s="614"/>
      <c r="AF168" s="614"/>
      <c r="AG168" s="614"/>
      <c r="AH168" s="614"/>
      <c r="AI168" s="614"/>
      <c r="AJ168" s="614"/>
      <c r="AK168" s="614"/>
      <c r="AL168" s="614"/>
      <c r="AM168" s="614"/>
      <c r="AN168" s="614"/>
      <c r="AO168" s="614"/>
      <c r="AP168" s="614"/>
      <c r="AQ168" s="614"/>
      <c r="AR168" s="614"/>
      <c r="AS168" s="614"/>
      <c r="AT168" s="614"/>
      <c r="AU168" s="614"/>
      <c r="AV168" s="614"/>
      <c r="AW168" s="614"/>
      <c r="AX168" s="614"/>
      <c r="AY168" s="614"/>
      <c r="AZ168" s="614"/>
      <c r="BA168" s="614"/>
      <c r="BB168" s="614"/>
      <c r="BC168" s="614"/>
      <c r="BD168" s="614"/>
      <c r="BE168" s="614"/>
      <c r="BF168" s="614"/>
      <c r="BG168" s="614"/>
      <c r="BH168" s="614"/>
    </row>
    <row r="169" spans="1:60" ht="12.75">
      <c r="A169"/>
      <c r="C169" s="614"/>
      <c r="D169" s="613"/>
      <c r="E169" s="613"/>
      <c r="F169" s="613"/>
      <c r="G169" s="613"/>
      <c r="H169" s="614"/>
      <c r="I169" s="614"/>
      <c r="J169" s="614"/>
      <c r="K169" s="614"/>
      <c r="L169" s="614"/>
      <c r="M169" s="614"/>
      <c r="N169" s="614"/>
      <c r="O169" s="614"/>
      <c r="P169" s="614"/>
      <c r="Q169" s="614"/>
      <c r="R169" s="614"/>
      <c r="S169" s="614"/>
      <c r="T169" s="614"/>
      <c r="U169" s="614"/>
      <c r="V169" s="614"/>
      <c r="W169" s="614"/>
      <c r="X169" s="614"/>
      <c r="Y169" s="614"/>
      <c r="Z169" s="614"/>
      <c r="AA169" s="614"/>
      <c r="AB169" s="614"/>
      <c r="AC169" s="614"/>
      <c r="AD169" s="614"/>
      <c r="AE169" s="614"/>
      <c r="AF169" s="614"/>
      <c r="AG169" s="614"/>
      <c r="AH169" s="614"/>
      <c r="AI169" s="614"/>
      <c r="AJ169" s="614"/>
      <c r="AK169" s="614"/>
      <c r="AL169" s="614"/>
      <c r="AM169" s="614"/>
      <c r="AN169" s="614"/>
      <c r="AO169" s="614"/>
      <c r="AP169" s="614"/>
      <c r="AQ169" s="614"/>
      <c r="AR169" s="614"/>
      <c r="AS169" s="614"/>
      <c r="AT169" s="614"/>
      <c r="AU169" s="614"/>
      <c r="AV169" s="614"/>
      <c r="AW169" s="614"/>
      <c r="AX169" s="614"/>
      <c r="AY169" s="614"/>
      <c r="AZ169" s="614"/>
      <c r="BA169" s="614"/>
      <c r="BB169" s="614"/>
      <c r="BC169" s="614"/>
      <c r="BD169" s="614"/>
      <c r="BE169" s="614"/>
      <c r="BF169" s="614"/>
      <c r="BG169" s="614"/>
      <c r="BH169" s="614"/>
    </row>
    <row r="170" spans="1:60" ht="12.75">
      <c r="A170"/>
      <c r="C170" s="614"/>
      <c r="D170" s="613"/>
      <c r="E170" s="613"/>
      <c r="F170" s="613"/>
      <c r="G170" s="613"/>
      <c r="H170" s="614"/>
      <c r="I170" s="614"/>
      <c r="J170" s="614"/>
      <c r="K170" s="614"/>
      <c r="L170" s="614"/>
      <c r="M170" s="614"/>
      <c r="N170" s="614"/>
      <c r="O170" s="614"/>
      <c r="P170" s="614"/>
      <c r="Q170" s="614"/>
      <c r="R170" s="614"/>
      <c r="S170" s="614"/>
      <c r="T170" s="614"/>
      <c r="U170" s="614"/>
      <c r="V170" s="614"/>
      <c r="W170" s="614"/>
      <c r="X170" s="614"/>
      <c r="Y170" s="614"/>
      <c r="Z170" s="614"/>
      <c r="AA170" s="614"/>
      <c r="AB170" s="614"/>
      <c r="AC170" s="614"/>
      <c r="AD170" s="614"/>
      <c r="AE170" s="614"/>
      <c r="AF170" s="614"/>
      <c r="AG170" s="614"/>
      <c r="AH170" s="614"/>
      <c r="AI170" s="614"/>
      <c r="AJ170" s="614"/>
      <c r="AK170" s="614"/>
      <c r="AL170" s="614"/>
      <c r="AM170" s="614"/>
      <c r="AN170" s="614"/>
      <c r="AO170" s="614"/>
      <c r="AP170" s="614"/>
      <c r="AQ170" s="614"/>
      <c r="AR170" s="614"/>
      <c r="AS170" s="614"/>
      <c r="AT170" s="614"/>
      <c r="AU170" s="614"/>
      <c r="AV170" s="614"/>
      <c r="AW170" s="614"/>
      <c r="AX170" s="614"/>
      <c r="AY170" s="614"/>
      <c r="AZ170" s="614"/>
      <c r="BA170" s="614"/>
      <c r="BB170" s="614"/>
      <c r="BC170" s="614"/>
      <c r="BD170" s="614"/>
      <c r="BE170" s="614"/>
      <c r="BF170" s="614"/>
      <c r="BG170" s="614"/>
      <c r="BH170" s="614"/>
    </row>
    <row r="171" spans="1:60" ht="12.75">
      <c r="A171"/>
      <c r="C171" s="614"/>
      <c r="D171" s="613"/>
      <c r="E171" s="613"/>
      <c r="F171" s="613"/>
      <c r="G171" s="613"/>
      <c r="H171" s="614"/>
      <c r="I171" s="614"/>
      <c r="J171" s="614"/>
      <c r="K171" s="614"/>
      <c r="L171" s="614"/>
      <c r="M171" s="614"/>
      <c r="N171" s="614"/>
      <c r="O171" s="614"/>
      <c r="P171" s="614"/>
      <c r="Q171" s="614"/>
      <c r="R171" s="614"/>
      <c r="S171" s="614"/>
      <c r="T171" s="614"/>
      <c r="U171" s="614"/>
      <c r="V171" s="614"/>
      <c r="W171" s="614"/>
      <c r="X171" s="614"/>
      <c r="Y171" s="614"/>
      <c r="Z171" s="614"/>
      <c r="AA171" s="614"/>
      <c r="AB171" s="614"/>
      <c r="AC171" s="614"/>
      <c r="AD171" s="614"/>
      <c r="AE171" s="614"/>
      <c r="AF171" s="614"/>
      <c r="AG171" s="614"/>
      <c r="AH171" s="614"/>
      <c r="AI171" s="614"/>
      <c r="AJ171" s="614"/>
      <c r="AK171" s="614"/>
      <c r="AL171" s="614"/>
      <c r="AM171" s="614"/>
      <c r="AN171" s="614"/>
      <c r="AO171" s="614"/>
      <c r="AP171" s="614"/>
      <c r="AQ171" s="614"/>
      <c r="AR171" s="614"/>
      <c r="AS171" s="614"/>
      <c r="AT171" s="614"/>
      <c r="AU171" s="614"/>
      <c r="AV171" s="614"/>
      <c r="AW171" s="614"/>
      <c r="AX171" s="614"/>
      <c r="AY171" s="614"/>
      <c r="AZ171" s="614"/>
      <c r="BA171" s="614"/>
      <c r="BB171" s="614"/>
      <c r="BC171" s="614"/>
      <c r="BD171" s="614"/>
      <c r="BE171" s="614"/>
      <c r="BF171" s="614"/>
      <c r="BG171" s="614"/>
      <c r="BH171" s="614"/>
    </row>
    <row r="172" spans="1:60" ht="12.75">
      <c r="A172"/>
      <c r="C172" s="614"/>
      <c r="D172" s="613"/>
      <c r="E172" s="613"/>
      <c r="F172" s="613"/>
      <c r="G172" s="613"/>
      <c r="H172" s="614"/>
      <c r="I172" s="614"/>
      <c r="J172" s="614"/>
      <c r="K172" s="614"/>
      <c r="L172" s="614"/>
      <c r="M172" s="614"/>
      <c r="N172" s="614"/>
      <c r="O172" s="614"/>
      <c r="P172" s="614"/>
      <c r="Q172" s="614"/>
      <c r="R172" s="614"/>
      <c r="S172" s="614"/>
      <c r="T172" s="614"/>
      <c r="U172" s="614"/>
      <c r="V172" s="614"/>
      <c r="W172" s="614"/>
      <c r="X172" s="614"/>
      <c r="Y172" s="614"/>
      <c r="Z172" s="614"/>
      <c r="AA172" s="614"/>
      <c r="AB172" s="614"/>
      <c r="AC172" s="614"/>
      <c r="AD172" s="614"/>
      <c r="AE172" s="614"/>
      <c r="AF172" s="614"/>
      <c r="AG172" s="614"/>
      <c r="AH172" s="614"/>
      <c r="AI172" s="614"/>
      <c r="AJ172" s="614"/>
      <c r="AK172" s="614"/>
      <c r="AL172" s="614"/>
      <c r="AM172" s="614"/>
      <c r="AN172" s="614"/>
      <c r="AO172" s="614"/>
      <c r="AP172" s="614"/>
      <c r="AQ172" s="614"/>
      <c r="AR172" s="614"/>
      <c r="AS172" s="614"/>
      <c r="AT172" s="614"/>
      <c r="AU172" s="614"/>
      <c r="AV172" s="614"/>
      <c r="AW172" s="614"/>
      <c r="AX172" s="614"/>
      <c r="AY172" s="614"/>
      <c r="AZ172" s="614"/>
      <c r="BA172" s="614"/>
      <c r="BB172" s="614"/>
      <c r="BC172" s="614"/>
      <c r="BD172" s="614"/>
      <c r="BE172" s="614"/>
      <c r="BF172" s="614"/>
      <c r="BG172" s="614"/>
      <c r="BH172" s="614"/>
    </row>
    <row r="173" spans="1:60" ht="12.75">
      <c r="A173"/>
      <c r="C173" s="614"/>
      <c r="D173" s="613"/>
      <c r="E173" s="613"/>
      <c r="F173" s="613"/>
      <c r="G173" s="613"/>
      <c r="H173" s="614"/>
      <c r="I173" s="614"/>
      <c r="J173" s="614"/>
      <c r="K173" s="614"/>
      <c r="L173" s="614"/>
      <c r="M173" s="614"/>
      <c r="N173" s="614"/>
      <c r="O173" s="614"/>
      <c r="P173" s="614"/>
      <c r="Q173" s="614"/>
      <c r="R173" s="614"/>
      <c r="S173" s="614"/>
      <c r="T173" s="614"/>
      <c r="U173" s="614"/>
      <c r="V173" s="614"/>
      <c r="W173" s="614"/>
      <c r="X173" s="614"/>
      <c r="Y173" s="614"/>
      <c r="Z173" s="614"/>
      <c r="AA173" s="614"/>
      <c r="AB173" s="614"/>
      <c r="AC173" s="614"/>
      <c r="AD173" s="614"/>
      <c r="AE173" s="614"/>
      <c r="AF173" s="614"/>
      <c r="AG173" s="614"/>
      <c r="AH173" s="614"/>
      <c r="AI173" s="614"/>
      <c r="AJ173" s="614"/>
      <c r="AK173" s="614"/>
      <c r="AL173" s="614"/>
      <c r="AM173" s="614"/>
      <c r="AN173" s="614"/>
      <c r="AO173" s="614"/>
      <c r="AP173" s="614"/>
      <c r="AQ173" s="614"/>
      <c r="AR173" s="614"/>
      <c r="AS173" s="614"/>
      <c r="AT173" s="614"/>
      <c r="AU173" s="614"/>
      <c r="AV173" s="614"/>
      <c r="AW173" s="614"/>
      <c r="AX173" s="614"/>
      <c r="AY173" s="614"/>
      <c r="AZ173" s="614"/>
      <c r="BA173" s="614"/>
      <c r="BB173" s="614"/>
      <c r="BC173" s="614"/>
      <c r="BD173" s="614"/>
      <c r="BE173" s="614"/>
      <c r="BF173" s="614"/>
      <c r="BG173" s="614"/>
      <c r="BH173" s="614"/>
    </row>
    <row r="174" spans="1:60" ht="12.75">
      <c r="A174"/>
      <c r="C174" s="614"/>
      <c r="D174" s="613"/>
      <c r="E174" s="613"/>
      <c r="F174" s="613"/>
      <c r="G174" s="613"/>
      <c r="H174" s="614"/>
      <c r="I174" s="614"/>
      <c r="J174" s="614"/>
      <c r="K174" s="614"/>
      <c r="L174" s="614"/>
      <c r="M174" s="614"/>
      <c r="N174" s="614"/>
      <c r="O174" s="614"/>
      <c r="P174" s="614"/>
      <c r="Q174" s="614"/>
      <c r="R174" s="614"/>
      <c r="S174" s="614"/>
      <c r="T174" s="614"/>
      <c r="U174" s="614"/>
      <c r="V174" s="614"/>
      <c r="W174" s="614"/>
      <c r="X174" s="614"/>
      <c r="Y174" s="614"/>
      <c r="Z174" s="614"/>
      <c r="AA174" s="614"/>
      <c r="AB174" s="614"/>
      <c r="AC174" s="614"/>
      <c r="AD174" s="614"/>
      <c r="AE174" s="614"/>
      <c r="AF174" s="614"/>
      <c r="AG174" s="614"/>
      <c r="AH174" s="614"/>
      <c r="AI174" s="614"/>
      <c r="AJ174" s="614"/>
      <c r="AK174" s="614"/>
      <c r="AL174" s="614"/>
      <c r="AM174" s="614"/>
      <c r="AN174" s="614"/>
      <c r="AO174" s="614"/>
      <c r="AP174" s="614"/>
      <c r="AQ174" s="614"/>
      <c r="AR174" s="614"/>
      <c r="AS174" s="614"/>
      <c r="AT174" s="614"/>
      <c r="AU174" s="614"/>
      <c r="AV174" s="614"/>
      <c r="AW174" s="614"/>
      <c r="AX174" s="614"/>
      <c r="AY174" s="614"/>
      <c r="AZ174" s="614"/>
      <c r="BA174" s="614"/>
      <c r="BB174" s="614"/>
      <c r="BC174" s="614"/>
      <c r="BD174" s="614"/>
      <c r="BE174" s="614"/>
      <c r="BF174" s="614"/>
      <c r="BG174" s="614"/>
      <c r="BH174" s="614"/>
    </row>
    <row r="175" spans="1:60" ht="12.75">
      <c r="A175"/>
      <c r="C175" s="614"/>
      <c r="D175" s="613"/>
      <c r="E175" s="613"/>
      <c r="F175" s="613"/>
      <c r="G175" s="613"/>
      <c r="H175" s="614"/>
      <c r="I175" s="614"/>
      <c r="J175" s="614"/>
      <c r="K175" s="614"/>
      <c r="L175" s="614"/>
      <c r="M175" s="614"/>
      <c r="N175" s="614"/>
      <c r="O175" s="614"/>
      <c r="P175" s="614"/>
      <c r="Q175" s="614"/>
      <c r="R175" s="614"/>
      <c r="S175" s="614"/>
      <c r="T175" s="614"/>
      <c r="U175" s="614"/>
      <c r="V175" s="614"/>
      <c r="W175" s="614"/>
      <c r="X175" s="614"/>
      <c r="Y175" s="614"/>
      <c r="Z175" s="614"/>
      <c r="AA175" s="614"/>
      <c r="AB175" s="614"/>
      <c r="AC175" s="614"/>
      <c r="AD175" s="614"/>
      <c r="AE175" s="614"/>
      <c r="AF175" s="614"/>
      <c r="AG175" s="614"/>
      <c r="AH175" s="614"/>
      <c r="AI175" s="614"/>
      <c r="AJ175" s="614"/>
      <c r="AK175" s="614"/>
      <c r="AL175" s="614"/>
      <c r="AM175" s="614"/>
      <c r="AN175" s="614"/>
      <c r="AO175" s="614"/>
      <c r="AP175" s="614"/>
      <c r="AQ175" s="614"/>
      <c r="AR175" s="614"/>
      <c r="AS175" s="614"/>
      <c r="AT175" s="614"/>
      <c r="AU175" s="614"/>
      <c r="AV175" s="614"/>
      <c r="AW175" s="614"/>
      <c r="AX175" s="614"/>
      <c r="AY175" s="614"/>
      <c r="AZ175" s="614"/>
      <c r="BA175" s="614"/>
      <c r="BB175" s="614"/>
      <c r="BC175" s="614"/>
      <c r="BD175" s="614"/>
      <c r="BE175" s="614"/>
      <c r="BF175" s="614"/>
      <c r="BG175" s="614"/>
      <c r="BH175" s="614"/>
    </row>
  </sheetData>
  <sheetProtection/>
  <mergeCells count="10">
    <mergeCell ref="C4:F5"/>
    <mergeCell ref="A41:C41"/>
    <mergeCell ref="A47:C47"/>
    <mergeCell ref="D8:G8"/>
    <mergeCell ref="H8:M8"/>
    <mergeCell ref="D9:G9"/>
    <mergeCell ref="D10:G10"/>
    <mergeCell ref="H10:J10"/>
    <mergeCell ref="K10:M10"/>
    <mergeCell ref="A13:C13"/>
  </mergeCells>
  <printOptions horizontalCentered="1"/>
  <pageMargins left="0.7874015748031497" right="0.7874015748031497" top="1" bottom="0.984251968503937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33"/>
  <sheetViews>
    <sheetView zoomScaleSheetLayoutView="130" zoomScalePageLayoutView="0" workbookViewId="0" topLeftCell="A1">
      <selection activeCell="H25" sqref="H25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1432" t="s">
        <v>0</v>
      </c>
      <c r="B1" s="1432"/>
      <c r="C1" s="1432"/>
      <c r="D1" s="1432"/>
      <c r="E1" s="1432"/>
      <c r="F1" s="1432"/>
      <c r="G1" s="1432"/>
      <c r="H1" s="1431" t="s">
        <v>1136</v>
      </c>
    </row>
    <row r="2" spans="1:8" ht="22.5" customHeight="1" thickBot="1">
      <c r="A2" s="25"/>
      <c r="B2" s="9"/>
      <c r="C2" s="9"/>
      <c r="D2" s="9"/>
      <c r="E2" s="9"/>
      <c r="F2" s="1433" t="s">
        <v>643</v>
      </c>
      <c r="G2" s="1433"/>
      <c r="H2" s="1431"/>
    </row>
    <row r="3" spans="1:8" s="6" customFormat="1" ht="50.25" customHeight="1" thickBot="1">
      <c r="A3" s="26" t="s">
        <v>52</v>
      </c>
      <c r="B3" s="27" t="s">
        <v>53</v>
      </c>
      <c r="C3" s="27" t="s">
        <v>54</v>
      </c>
      <c r="D3" s="27" t="s">
        <v>1077</v>
      </c>
      <c r="E3" s="27" t="s">
        <v>658</v>
      </c>
      <c r="F3" s="49" t="s">
        <v>1041</v>
      </c>
      <c r="G3" s="48" t="s">
        <v>1078</v>
      </c>
      <c r="H3" s="1431"/>
    </row>
    <row r="4" spans="1:8" s="9" customFormat="1" ht="12" customHeight="1" thickBot="1">
      <c r="A4" s="237" t="s">
        <v>350</v>
      </c>
      <c r="B4" s="238" t="s">
        <v>351</v>
      </c>
      <c r="C4" s="238" t="s">
        <v>352</v>
      </c>
      <c r="D4" s="238" t="s">
        <v>353</v>
      </c>
      <c r="E4" s="238" t="s">
        <v>354</v>
      </c>
      <c r="F4" s="41" t="s">
        <v>431</v>
      </c>
      <c r="G4" s="239" t="s">
        <v>441</v>
      </c>
      <c r="H4" s="1431"/>
    </row>
    <row r="5" spans="1:8" ht="15.75" customHeight="1">
      <c r="A5" s="336" t="s">
        <v>1080</v>
      </c>
      <c r="B5" s="2">
        <v>4750000</v>
      </c>
      <c r="C5" s="337" t="s">
        <v>1079</v>
      </c>
      <c r="D5" s="2">
        <v>0</v>
      </c>
      <c r="E5" s="2"/>
      <c r="F5" s="42">
        <v>4750000</v>
      </c>
      <c r="G5" s="43">
        <f aca="true" t="shared" si="0" ref="G5:G23">+D5+F5</f>
        <v>4750000</v>
      </c>
      <c r="H5" s="1431"/>
    </row>
    <row r="6" spans="1:8" ht="15.75" customHeight="1">
      <c r="A6" s="336" t="s">
        <v>1081</v>
      </c>
      <c r="B6" s="2">
        <v>778716</v>
      </c>
      <c r="C6" s="337" t="s">
        <v>1079</v>
      </c>
      <c r="D6" s="2">
        <v>0</v>
      </c>
      <c r="E6" s="2"/>
      <c r="F6" s="42">
        <v>778716</v>
      </c>
      <c r="G6" s="43">
        <f t="shared" si="0"/>
        <v>778716</v>
      </c>
      <c r="H6" s="1431"/>
    </row>
    <row r="7" spans="1:8" ht="15.75" customHeight="1">
      <c r="A7" s="336" t="s">
        <v>1082</v>
      </c>
      <c r="B7" s="2">
        <v>14232920</v>
      </c>
      <c r="C7" s="337" t="s">
        <v>1079</v>
      </c>
      <c r="D7" s="2">
        <v>0</v>
      </c>
      <c r="E7" s="2"/>
      <c r="F7" s="42">
        <v>14232920</v>
      </c>
      <c r="G7" s="43">
        <f t="shared" si="0"/>
        <v>14232920</v>
      </c>
      <c r="H7" s="1431"/>
    </row>
    <row r="8" spans="1:8" ht="15.75" customHeight="1">
      <c r="A8" s="379" t="s">
        <v>1083</v>
      </c>
      <c r="B8" s="2">
        <v>6350000</v>
      </c>
      <c r="C8" s="337" t="s">
        <v>1079</v>
      </c>
      <c r="D8" s="2"/>
      <c r="E8" s="2"/>
      <c r="F8" s="42">
        <v>6350000</v>
      </c>
      <c r="G8" s="43">
        <f t="shared" si="0"/>
        <v>6350000</v>
      </c>
      <c r="H8" s="1431"/>
    </row>
    <row r="9" spans="1:8" ht="15.75" customHeight="1">
      <c r="A9" s="105" t="s">
        <v>1084</v>
      </c>
      <c r="B9" s="2">
        <v>4433917</v>
      </c>
      <c r="C9" s="337" t="s">
        <v>1079</v>
      </c>
      <c r="D9" s="2"/>
      <c r="E9" s="2"/>
      <c r="F9" s="42">
        <v>4433917</v>
      </c>
      <c r="G9" s="43">
        <f t="shared" si="0"/>
        <v>4433917</v>
      </c>
      <c r="H9" s="1431"/>
    </row>
    <row r="10" spans="1:8" ht="15.75" customHeight="1">
      <c r="A10" s="105"/>
      <c r="B10" s="2"/>
      <c r="C10" s="337"/>
      <c r="D10" s="2"/>
      <c r="E10" s="2"/>
      <c r="F10" s="42"/>
      <c r="G10" s="43">
        <f t="shared" si="0"/>
        <v>0</v>
      </c>
      <c r="H10" s="1431"/>
    </row>
    <row r="11" spans="1:8" ht="15.75" customHeight="1">
      <c r="A11" s="105"/>
      <c r="B11" s="2"/>
      <c r="C11" s="337"/>
      <c r="D11" s="2"/>
      <c r="E11" s="2"/>
      <c r="F11" s="42"/>
      <c r="G11" s="43">
        <f t="shared" si="0"/>
        <v>0</v>
      </c>
      <c r="H11" s="1431"/>
    </row>
    <row r="12" spans="1:8" ht="15.75" customHeight="1">
      <c r="A12" s="105"/>
      <c r="B12" s="2"/>
      <c r="C12" s="337"/>
      <c r="D12" s="2"/>
      <c r="E12" s="2"/>
      <c r="F12" s="42"/>
      <c r="G12" s="43">
        <f t="shared" si="0"/>
        <v>0</v>
      </c>
      <c r="H12" s="1431"/>
    </row>
    <row r="13" spans="1:8" ht="15.75" customHeight="1">
      <c r="A13" s="7"/>
      <c r="B13" s="2"/>
      <c r="C13" s="10"/>
      <c r="D13" s="2"/>
      <c r="E13" s="2"/>
      <c r="F13" s="42"/>
      <c r="G13" s="43">
        <f t="shared" si="0"/>
        <v>0</v>
      </c>
      <c r="H13" s="1431"/>
    </row>
    <row r="14" spans="1:8" ht="15.75" customHeight="1">
      <c r="A14" s="7"/>
      <c r="B14" s="2"/>
      <c r="C14" s="10"/>
      <c r="D14" s="2"/>
      <c r="E14" s="2"/>
      <c r="F14" s="42"/>
      <c r="G14" s="43">
        <f t="shared" si="0"/>
        <v>0</v>
      </c>
      <c r="H14" s="1431"/>
    </row>
    <row r="15" spans="1:8" ht="15.75" customHeight="1">
      <c r="A15" s="7"/>
      <c r="B15" s="2"/>
      <c r="C15" s="10"/>
      <c r="D15" s="2"/>
      <c r="E15" s="2"/>
      <c r="F15" s="42"/>
      <c r="G15" s="43">
        <f t="shared" si="0"/>
        <v>0</v>
      </c>
      <c r="H15" s="1431"/>
    </row>
    <row r="16" spans="1:8" ht="15.75" customHeight="1">
      <c r="A16" s="7"/>
      <c r="B16" s="2"/>
      <c r="C16" s="10"/>
      <c r="D16" s="2"/>
      <c r="E16" s="2"/>
      <c r="F16" s="42"/>
      <c r="G16" s="43">
        <f t="shared" si="0"/>
        <v>0</v>
      </c>
      <c r="H16" s="1431"/>
    </row>
    <row r="17" spans="1:8" ht="15.75" customHeight="1">
      <c r="A17" s="7"/>
      <c r="B17" s="2"/>
      <c r="C17" s="10"/>
      <c r="D17" s="2"/>
      <c r="E17" s="2"/>
      <c r="F17" s="42"/>
      <c r="G17" s="43">
        <f t="shared" si="0"/>
        <v>0</v>
      </c>
      <c r="H17" s="1431"/>
    </row>
    <row r="18" spans="1:8" ht="15.75" customHeight="1">
      <c r="A18" s="7"/>
      <c r="B18" s="2"/>
      <c r="C18" s="10"/>
      <c r="D18" s="2"/>
      <c r="E18" s="2"/>
      <c r="F18" s="42"/>
      <c r="G18" s="43">
        <f t="shared" si="0"/>
        <v>0</v>
      </c>
      <c r="H18" s="1431"/>
    </row>
    <row r="19" spans="1:8" ht="15.75" customHeight="1">
      <c r="A19" s="7"/>
      <c r="B19" s="2"/>
      <c r="C19" s="10"/>
      <c r="D19" s="2"/>
      <c r="E19" s="2"/>
      <c r="F19" s="42"/>
      <c r="G19" s="43">
        <f t="shared" si="0"/>
        <v>0</v>
      </c>
      <c r="H19" s="1431"/>
    </row>
    <row r="20" spans="1:8" ht="15.75" customHeight="1">
      <c r="A20" s="7"/>
      <c r="B20" s="2"/>
      <c r="C20" s="10"/>
      <c r="D20" s="2"/>
      <c r="E20" s="2"/>
      <c r="F20" s="42"/>
      <c r="G20" s="43">
        <f t="shared" si="0"/>
        <v>0</v>
      </c>
      <c r="H20" s="1431"/>
    </row>
    <row r="21" spans="1:8" ht="15.75" customHeight="1">
      <c r="A21" s="7"/>
      <c r="B21" s="2"/>
      <c r="C21" s="10"/>
      <c r="D21" s="2"/>
      <c r="E21" s="2"/>
      <c r="F21" s="42"/>
      <c r="G21" s="43">
        <f t="shared" si="0"/>
        <v>0</v>
      </c>
      <c r="H21" s="1431"/>
    </row>
    <row r="22" spans="1:8" ht="15.75" customHeight="1">
      <c r="A22" s="7"/>
      <c r="B22" s="2"/>
      <c r="C22" s="10"/>
      <c r="D22" s="2"/>
      <c r="E22" s="2"/>
      <c r="F22" s="42"/>
      <c r="G22" s="43">
        <f t="shared" si="0"/>
        <v>0</v>
      </c>
      <c r="H22" s="1431"/>
    </row>
    <row r="23" spans="1:8" ht="15.75" customHeight="1" thickBot="1">
      <c r="A23" s="11"/>
      <c r="B23" s="3"/>
      <c r="C23" s="12"/>
      <c r="D23" s="3"/>
      <c r="E23" s="3"/>
      <c r="F23" s="44"/>
      <c r="G23" s="43">
        <f t="shared" si="0"/>
        <v>0</v>
      </c>
      <c r="H23" s="1431"/>
    </row>
    <row r="24" spans="1:8" s="15" customFormat="1" ht="18" customHeight="1" thickBot="1">
      <c r="A24" s="28" t="s">
        <v>51</v>
      </c>
      <c r="B24" s="13">
        <f>SUM(B5:B23)</f>
        <v>30545553</v>
      </c>
      <c r="C24" s="20"/>
      <c r="D24" s="13">
        <f>SUM(D5:D23)</f>
        <v>0</v>
      </c>
      <c r="E24" s="13">
        <f>SUM(E5:E23)</f>
        <v>0</v>
      </c>
      <c r="F24" s="13">
        <f>SUM(F5:F23)</f>
        <v>30545553</v>
      </c>
      <c r="G24" s="14">
        <f>SUM(G5:G23)</f>
        <v>30545553</v>
      </c>
      <c r="H24" s="1431"/>
    </row>
    <row r="25" spans="6:8" ht="12.75">
      <c r="F25" s="15"/>
      <c r="G25" s="15"/>
      <c r="H25" s="326"/>
    </row>
    <row r="26" ht="12.75">
      <c r="H26" s="326"/>
    </row>
    <row r="27" ht="12.75">
      <c r="H27" s="326"/>
    </row>
    <row r="28" ht="12.75">
      <c r="H28" s="326"/>
    </row>
    <row r="29" ht="12.75">
      <c r="H29" s="326"/>
    </row>
    <row r="30" ht="12.75">
      <c r="H30" s="326"/>
    </row>
    <row r="31" ht="12.75">
      <c r="H31" s="326"/>
    </row>
    <row r="32" ht="12.75">
      <c r="H32" s="326"/>
    </row>
    <row r="33" ht="12.75">
      <c r="H33" s="326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24"/>
  <sheetViews>
    <sheetView view="pageBreakPreview" zoomScaleNormal="130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0" width="9.375" style="4" customWidth="1"/>
    <col min="11" max="11" width="10.125" style="4" bestFit="1" customWidth="1"/>
    <col min="12" max="12" width="9.375" style="4" customWidth="1"/>
    <col min="13" max="13" width="12.875" style="4" customWidth="1"/>
    <col min="14" max="16384" width="9.375" style="4" customWidth="1"/>
  </cols>
  <sheetData>
    <row r="1" spans="1:8" ht="24.75" customHeight="1">
      <c r="A1" s="1432" t="s">
        <v>1</v>
      </c>
      <c r="B1" s="1432"/>
      <c r="C1" s="1432"/>
      <c r="D1" s="1432"/>
      <c r="E1" s="1432"/>
      <c r="F1" s="1432"/>
      <c r="G1" s="1432"/>
      <c r="H1" s="1434" t="s">
        <v>1137</v>
      </c>
    </row>
    <row r="2" spans="1:8" ht="23.25" customHeight="1" thickBot="1">
      <c r="A2" s="25"/>
      <c r="B2" s="9"/>
      <c r="C2" s="9"/>
      <c r="D2" s="9"/>
      <c r="E2" s="9"/>
      <c r="F2" s="1433" t="s">
        <v>643</v>
      </c>
      <c r="G2" s="1433"/>
      <c r="H2" s="1434"/>
    </row>
    <row r="3" spans="1:8" s="6" customFormat="1" ht="48.75" customHeight="1" thickBot="1">
      <c r="A3" s="26" t="s">
        <v>55</v>
      </c>
      <c r="B3" s="27" t="s">
        <v>53</v>
      </c>
      <c r="C3" s="27" t="s">
        <v>54</v>
      </c>
      <c r="D3" s="27" t="s">
        <v>1077</v>
      </c>
      <c r="E3" s="27" t="s">
        <v>658</v>
      </c>
      <c r="F3" s="49" t="s">
        <v>1041</v>
      </c>
      <c r="G3" s="48" t="s">
        <v>1078</v>
      </c>
      <c r="H3" s="1434"/>
    </row>
    <row r="4" spans="1:8" s="9" customFormat="1" ht="15" customHeight="1" thickBot="1">
      <c r="A4" s="237" t="s">
        <v>350</v>
      </c>
      <c r="B4" s="238" t="s">
        <v>351</v>
      </c>
      <c r="C4" s="238" t="s">
        <v>352</v>
      </c>
      <c r="D4" s="238" t="s">
        <v>353</v>
      </c>
      <c r="E4" s="238" t="s">
        <v>354</v>
      </c>
      <c r="F4" s="41" t="s">
        <v>431</v>
      </c>
      <c r="G4" s="239" t="s">
        <v>441</v>
      </c>
      <c r="H4" s="1434"/>
    </row>
    <row r="5" spans="1:8" ht="15.75" customHeight="1">
      <c r="A5" s="16" t="s">
        <v>1085</v>
      </c>
      <c r="B5" s="338">
        <v>11364949</v>
      </c>
      <c r="C5" s="339" t="s">
        <v>1079</v>
      </c>
      <c r="D5" s="2"/>
      <c r="E5" s="2"/>
      <c r="F5" s="42">
        <v>11364949</v>
      </c>
      <c r="G5" s="43">
        <f aca="true" t="shared" si="0" ref="G5:G23">+D5+F5</f>
        <v>11364949</v>
      </c>
      <c r="H5" s="1434"/>
    </row>
    <row r="6" spans="1:8" ht="15.75" customHeight="1">
      <c r="A6" s="16" t="s">
        <v>1086</v>
      </c>
      <c r="B6" s="338">
        <v>16484880</v>
      </c>
      <c r="C6" s="339" t="s">
        <v>1079</v>
      </c>
      <c r="D6" s="2"/>
      <c r="E6" s="2"/>
      <c r="F6" s="42">
        <v>16484880</v>
      </c>
      <c r="G6" s="43">
        <f t="shared" si="0"/>
        <v>16484880</v>
      </c>
      <c r="H6" s="1434"/>
    </row>
    <row r="7" spans="1:8" ht="15.75" customHeight="1">
      <c r="A7" s="16" t="s">
        <v>1087</v>
      </c>
      <c r="B7" s="2">
        <v>23715900</v>
      </c>
      <c r="C7" s="186">
        <v>2018</v>
      </c>
      <c r="D7" s="2"/>
      <c r="E7" s="2"/>
      <c r="F7" s="42">
        <v>23715900</v>
      </c>
      <c r="G7" s="43">
        <f>+D7+F7</f>
        <v>23715900</v>
      </c>
      <c r="H7" s="1434"/>
    </row>
    <row r="8" spans="1:8" ht="15.75" customHeight="1">
      <c r="A8" s="16" t="s">
        <v>651</v>
      </c>
      <c r="B8" s="2">
        <v>3512185</v>
      </c>
      <c r="C8" s="186">
        <v>2018</v>
      </c>
      <c r="D8" s="2"/>
      <c r="E8" s="2"/>
      <c r="F8" s="42">
        <v>3512185</v>
      </c>
      <c r="G8" s="43">
        <f>+D8+F8</f>
        <v>3512185</v>
      </c>
      <c r="H8" s="1434"/>
    </row>
    <row r="9" spans="1:8" ht="15.75" customHeight="1">
      <c r="A9" s="16" t="s">
        <v>1088</v>
      </c>
      <c r="B9" s="338">
        <v>1841500</v>
      </c>
      <c r="C9" s="339" t="s">
        <v>1079</v>
      </c>
      <c r="D9" s="2"/>
      <c r="E9" s="2"/>
      <c r="F9" s="42">
        <v>1841500</v>
      </c>
      <c r="G9" s="43">
        <f t="shared" si="0"/>
        <v>1841500</v>
      </c>
      <c r="H9" s="1434"/>
    </row>
    <row r="10" spans="1:8" ht="15.75" customHeight="1">
      <c r="A10" s="16" t="s">
        <v>1089</v>
      </c>
      <c r="B10" s="2">
        <v>1250950</v>
      </c>
      <c r="C10" s="186">
        <v>2018</v>
      </c>
      <c r="D10" s="2"/>
      <c r="E10" s="2"/>
      <c r="F10" s="42">
        <v>1250950</v>
      </c>
      <c r="G10" s="43">
        <f t="shared" si="0"/>
        <v>1250950</v>
      </c>
      <c r="H10" s="1434"/>
    </row>
    <row r="11" spans="1:8" ht="15.75" customHeight="1">
      <c r="A11" s="16"/>
      <c r="B11" s="2"/>
      <c r="C11" s="186"/>
      <c r="D11" s="2"/>
      <c r="E11" s="2"/>
      <c r="F11" s="42"/>
      <c r="G11" s="43">
        <f t="shared" si="0"/>
        <v>0</v>
      </c>
      <c r="H11" s="1434"/>
    </row>
    <row r="12" spans="1:8" ht="15.75" customHeight="1">
      <c r="A12" s="16"/>
      <c r="B12" s="2"/>
      <c r="C12" s="186"/>
      <c r="D12" s="2"/>
      <c r="E12" s="2"/>
      <c r="F12" s="42"/>
      <c r="G12" s="43">
        <f t="shared" si="0"/>
        <v>0</v>
      </c>
      <c r="H12" s="1434"/>
    </row>
    <row r="13" spans="1:8" ht="15.75" customHeight="1">
      <c r="A13" s="16"/>
      <c r="B13" s="2"/>
      <c r="C13" s="186"/>
      <c r="D13" s="2"/>
      <c r="E13" s="2"/>
      <c r="F13" s="42"/>
      <c r="G13" s="43">
        <f t="shared" si="0"/>
        <v>0</v>
      </c>
      <c r="H13" s="1434"/>
    </row>
    <row r="14" spans="1:8" ht="15.75" customHeight="1">
      <c r="A14" s="16"/>
      <c r="B14" s="2"/>
      <c r="C14" s="186"/>
      <c r="D14" s="2"/>
      <c r="E14" s="2"/>
      <c r="F14" s="42"/>
      <c r="G14" s="43">
        <f t="shared" si="0"/>
        <v>0</v>
      </c>
      <c r="H14" s="1434"/>
    </row>
    <row r="15" spans="1:8" ht="15.75" customHeight="1">
      <c r="A15" s="16"/>
      <c r="B15" s="2"/>
      <c r="C15" s="186"/>
      <c r="D15" s="2"/>
      <c r="E15" s="2"/>
      <c r="F15" s="42"/>
      <c r="G15" s="43">
        <f t="shared" si="0"/>
        <v>0</v>
      </c>
      <c r="H15" s="1434"/>
    </row>
    <row r="16" spans="1:8" ht="15.75" customHeight="1">
      <c r="A16" s="16"/>
      <c r="B16" s="2"/>
      <c r="C16" s="186"/>
      <c r="D16" s="2"/>
      <c r="E16" s="2"/>
      <c r="F16" s="42"/>
      <c r="G16" s="43">
        <f t="shared" si="0"/>
        <v>0</v>
      </c>
      <c r="H16" s="1434"/>
    </row>
    <row r="17" spans="1:8" ht="15.75" customHeight="1">
      <c r="A17" s="16"/>
      <c r="B17" s="2"/>
      <c r="C17" s="186"/>
      <c r="D17" s="2"/>
      <c r="E17" s="2"/>
      <c r="F17" s="42"/>
      <c r="G17" s="43">
        <f t="shared" si="0"/>
        <v>0</v>
      </c>
      <c r="H17" s="1434"/>
    </row>
    <row r="18" spans="1:8" ht="15.75" customHeight="1">
      <c r="A18" s="16"/>
      <c r="B18" s="2"/>
      <c r="C18" s="186"/>
      <c r="D18" s="2"/>
      <c r="E18" s="2"/>
      <c r="F18" s="42"/>
      <c r="G18" s="43">
        <f t="shared" si="0"/>
        <v>0</v>
      </c>
      <c r="H18" s="1434"/>
    </row>
    <row r="19" spans="1:8" ht="15.75" customHeight="1">
      <c r="A19" s="16"/>
      <c r="B19" s="2"/>
      <c r="C19" s="186"/>
      <c r="D19" s="2"/>
      <c r="E19" s="2"/>
      <c r="F19" s="42"/>
      <c r="G19" s="43">
        <f t="shared" si="0"/>
        <v>0</v>
      </c>
      <c r="H19" s="1434"/>
    </row>
    <row r="20" spans="1:8" ht="15.75" customHeight="1">
      <c r="A20" s="16"/>
      <c r="B20" s="2"/>
      <c r="C20" s="186"/>
      <c r="D20" s="2"/>
      <c r="E20" s="2"/>
      <c r="F20" s="42"/>
      <c r="G20" s="43">
        <f t="shared" si="0"/>
        <v>0</v>
      </c>
      <c r="H20" s="1434"/>
    </row>
    <row r="21" spans="1:8" ht="15.75" customHeight="1">
      <c r="A21" s="16"/>
      <c r="B21" s="2"/>
      <c r="C21" s="186"/>
      <c r="D21" s="2"/>
      <c r="E21" s="2"/>
      <c r="F21" s="42"/>
      <c r="G21" s="43">
        <f t="shared" si="0"/>
        <v>0</v>
      </c>
      <c r="H21" s="1434"/>
    </row>
    <row r="22" spans="1:8" ht="15.75" customHeight="1">
      <c r="A22" s="16"/>
      <c r="B22" s="2"/>
      <c r="C22" s="186"/>
      <c r="D22" s="2"/>
      <c r="E22" s="2"/>
      <c r="F22" s="42"/>
      <c r="G22" s="43">
        <f t="shared" si="0"/>
        <v>0</v>
      </c>
      <c r="H22" s="1434"/>
    </row>
    <row r="23" spans="1:8" ht="15.75" customHeight="1" thickBot="1">
      <c r="A23" s="17"/>
      <c r="B23" s="3"/>
      <c r="C23" s="187"/>
      <c r="D23" s="3"/>
      <c r="E23" s="3"/>
      <c r="F23" s="44"/>
      <c r="G23" s="43">
        <f t="shared" si="0"/>
        <v>0</v>
      </c>
      <c r="H23" s="1434"/>
    </row>
    <row r="24" spans="1:8" s="15" customFormat="1" ht="18" customHeight="1" thickBot="1">
      <c r="A24" s="28" t="s">
        <v>51</v>
      </c>
      <c r="B24" s="13">
        <f>SUM(B5:B23)</f>
        <v>58170364</v>
      </c>
      <c r="C24" s="20"/>
      <c r="D24" s="13">
        <f>SUM(D5:D23)</f>
        <v>0</v>
      </c>
      <c r="E24" s="13">
        <f>SUM(E5:E23)</f>
        <v>0</v>
      </c>
      <c r="F24" s="13">
        <f>SUM(F5:F23)</f>
        <v>58170364</v>
      </c>
      <c r="G24" s="14">
        <f>SUM(G5:G23)</f>
        <v>58170364</v>
      </c>
      <c r="H24" s="1434"/>
    </row>
  </sheetData>
  <sheetProtection/>
  <mergeCells count="3">
    <mergeCell ref="A1:G1"/>
    <mergeCell ref="H1:H24"/>
    <mergeCell ref="F2:G2"/>
  </mergeCells>
  <printOptions horizontalCentered="1"/>
  <pageMargins left="0.7874015748031497" right="0.7874015748031497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CC30"/>
  <sheetViews>
    <sheetView view="pageBreakPreview" zoomScaleSheetLayoutView="100" zoomScalePageLayoutView="0" workbookViewId="0" topLeftCell="A1">
      <selection activeCell="N2" sqref="N2"/>
    </sheetView>
  </sheetViews>
  <sheetFormatPr defaultColWidth="13.625" defaultRowHeight="12.75"/>
  <cols>
    <col min="1" max="1" width="4.625" style="584" customWidth="1"/>
    <col min="2" max="2" width="50.125" style="584" customWidth="1"/>
    <col min="3" max="3" width="18.375" style="584" customWidth="1"/>
    <col min="4" max="7" width="20.625" style="584" customWidth="1"/>
    <col min="8" max="8" width="19.625" style="584" customWidth="1"/>
    <col min="9" max="14" width="20.625" style="584" customWidth="1"/>
    <col min="15" max="16" width="14.875" style="679" customWidth="1"/>
    <col min="17" max="17" width="16.00390625" style="679" customWidth="1"/>
    <col min="18" max="23" width="14.875" style="679" customWidth="1"/>
    <col min="24" max="27" width="13.625" style="679" customWidth="1"/>
    <col min="28" max="31" width="10.125" style="679" customWidth="1"/>
    <col min="32" max="32" width="13.625" style="679" customWidth="1"/>
    <col min="33" max="33" width="10.125" style="679" customWidth="1"/>
    <col min="34" max="36" width="13.625" style="679" customWidth="1"/>
    <col min="37" max="37" width="10.125" style="679" customWidth="1"/>
    <col min="38" max="38" width="14.875" style="679" customWidth="1"/>
    <col min="39" max="40" width="13.625" style="679" customWidth="1"/>
    <col min="41" max="41" width="20.50390625" style="679" customWidth="1"/>
    <col min="42" max="42" width="14.875" style="679" customWidth="1"/>
    <col min="43" max="43" width="16.375" style="679" customWidth="1"/>
    <col min="44" max="46" width="14.875" style="679" customWidth="1"/>
    <col min="47" max="50" width="10.125" style="679" customWidth="1"/>
    <col min="51" max="51" width="14.875" style="679" customWidth="1"/>
    <col min="52" max="53" width="10.125" style="679" customWidth="1"/>
    <col min="54" max="55" width="14.875" style="679" customWidth="1"/>
    <col min="56" max="56" width="10.125" style="679" customWidth="1"/>
    <col min="57" max="62" width="14.875" style="679" customWidth="1"/>
    <col min="63" max="66" width="10.125" style="679" customWidth="1"/>
    <col min="67" max="67" width="14.875" style="679" customWidth="1"/>
    <col min="68" max="68" width="10.125" style="679" customWidth="1"/>
    <col min="69" max="71" width="14.875" style="679" customWidth="1"/>
    <col min="72" max="72" width="11.625" style="679" customWidth="1"/>
    <col min="73" max="16384" width="13.625" style="584" customWidth="1"/>
  </cols>
  <sheetData>
    <row r="1" ht="15">
      <c r="N1" s="1193" t="s">
        <v>1138</v>
      </c>
    </row>
    <row r="3" spans="4:12" ht="12.75">
      <c r="D3" s="1437" t="s">
        <v>1106</v>
      </c>
      <c r="E3" s="1438"/>
      <c r="F3" s="1438"/>
      <c r="G3" s="1438"/>
      <c r="H3" s="1438"/>
      <c r="I3" s="1438"/>
      <c r="J3" s="1438"/>
      <c r="K3" s="1438"/>
      <c r="L3" s="1438"/>
    </row>
    <row r="4" spans="4:12" ht="12.75">
      <c r="D4" s="1438"/>
      <c r="E4" s="1438"/>
      <c r="F4" s="1438"/>
      <c r="G4" s="1438"/>
      <c r="H4" s="1438"/>
      <c r="I4" s="1438"/>
      <c r="J4" s="1438"/>
      <c r="K4" s="1438"/>
      <c r="L4" s="1438"/>
    </row>
    <row r="7" spans="1:72" ht="19.5" customHeight="1">
      <c r="A7" s="653" t="s">
        <v>716</v>
      </c>
      <c r="B7" s="653" t="s">
        <v>716</v>
      </c>
      <c r="C7" s="653" t="s">
        <v>767</v>
      </c>
      <c r="D7" s="653" t="s">
        <v>768</v>
      </c>
      <c r="E7" s="653" t="s">
        <v>769</v>
      </c>
      <c r="F7" s="653" t="s">
        <v>770</v>
      </c>
      <c r="G7" s="653" t="s">
        <v>771</v>
      </c>
      <c r="H7" s="653" t="s">
        <v>772</v>
      </c>
      <c r="I7" s="653" t="s">
        <v>773</v>
      </c>
      <c r="J7" s="653" t="s">
        <v>773</v>
      </c>
      <c r="K7" s="653" t="s">
        <v>773</v>
      </c>
      <c r="L7" s="653" t="s">
        <v>773</v>
      </c>
      <c r="M7" s="653" t="s">
        <v>773</v>
      </c>
      <c r="N7" s="653" t="s">
        <v>773</v>
      </c>
      <c r="O7" s="654"/>
      <c r="P7" s="654"/>
      <c r="Q7" s="654"/>
      <c r="R7" s="654"/>
      <c r="S7" s="654"/>
      <c r="T7" s="654"/>
      <c r="U7" s="1435"/>
      <c r="V7" s="1435"/>
      <c r="W7" s="1435"/>
      <c r="X7" s="654"/>
      <c r="Y7" s="1435"/>
      <c r="Z7" s="1435"/>
      <c r="AA7" s="1435"/>
      <c r="AB7" s="1435"/>
      <c r="AC7" s="1435"/>
      <c r="AD7" s="1435"/>
      <c r="AE7" s="1435"/>
      <c r="AF7" s="1435"/>
      <c r="AG7" s="1435"/>
      <c r="AH7" s="1435"/>
      <c r="AI7" s="1435"/>
      <c r="AJ7" s="1435"/>
      <c r="AK7" s="654"/>
      <c r="AL7" s="655"/>
      <c r="AM7" s="655"/>
      <c r="AN7" s="655"/>
      <c r="AO7" s="654"/>
      <c r="AP7" s="1435"/>
      <c r="AQ7" s="1435"/>
      <c r="AR7" s="656"/>
      <c r="AS7" s="656"/>
      <c r="AT7" s="656"/>
      <c r="AU7" s="656"/>
      <c r="AV7" s="656"/>
      <c r="AW7" s="656"/>
      <c r="AX7" s="656"/>
      <c r="AY7" s="656"/>
      <c r="AZ7" s="656"/>
      <c r="BA7" s="656"/>
      <c r="BB7" s="656"/>
      <c r="BC7" s="656"/>
      <c r="BD7" s="656"/>
      <c r="BE7" s="654"/>
      <c r="BF7" s="1435"/>
      <c r="BG7" s="1435"/>
      <c r="BH7" s="654"/>
      <c r="BI7" s="654"/>
      <c r="BJ7" s="654"/>
      <c r="BK7" s="654"/>
      <c r="BL7" s="654"/>
      <c r="BM7" s="654"/>
      <c r="BN7" s="654"/>
      <c r="BO7" s="654"/>
      <c r="BP7" s="654"/>
      <c r="BQ7" s="654"/>
      <c r="BR7" s="654"/>
      <c r="BS7" s="654"/>
      <c r="BT7" s="654"/>
    </row>
    <row r="8" spans="1:72" ht="19.5" customHeight="1">
      <c r="A8" s="657" t="s">
        <v>718</v>
      </c>
      <c r="B8" s="657" t="s">
        <v>720</v>
      </c>
      <c r="C8" s="657" t="s">
        <v>774</v>
      </c>
      <c r="D8" s="657" t="s">
        <v>775</v>
      </c>
      <c r="E8" s="657" t="s">
        <v>776</v>
      </c>
      <c r="F8" s="657" t="s">
        <v>777</v>
      </c>
      <c r="G8" s="657" t="s">
        <v>778</v>
      </c>
      <c r="H8" s="657" t="s">
        <v>779</v>
      </c>
      <c r="I8" s="657" t="s">
        <v>780</v>
      </c>
      <c r="J8" s="657" t="s">
        <v>780</v>
      </c>
      <c r="K8" s="657" t="s">
        <v>780</v>
      </c>
      <c r="L8" s="657" t="s">
        <v>781</v>
      </c>
      <c r="M8" s="657" t="s">
        <v>781</v>
      </c>
      <c r="N8" s="657" t="s">
        <v>782</v>
      </c>
      <c r="O8" s="654"/>
      <c r="P8" s="654"/>
      <c r="Q8" s="654"/>
      <c r="R8" s="654"/>
      <c r="S8" s="654"/>
      <c r="T8" s="654"/>
      <c r="U8" s="1435"/>
      <c r="V8" s="1435"/>
      <c r="W8" s="654"/>
      <c r="X8" s="654"/>
      <c r="Y8" s="1435"/>
      <c r="Z8" s="1435"/>
      <c r="AA8" s="1435"/>
      <c r="AB8" s="1435"/>
      <c r="AC8" s="1435"/>
      <c r="AD8" s="1435"/>
      <c r="AE8" s="1435"/>
      <c r="AF8" s="1435"/>
      <c r="AG8" s="1435"/>
      <c r="AH8" s="1435"/>
      <c r="AI8" s="1435"/>
      <c r="AJ8" s="1435"/>
      <c r="AK8" s="654"/>
      <c r="AL8" s="1435"/>
      <c r="AM8" s="1435"/>
      <c r="AN8" s="1435"/>
      <c r="AO8" s="654"/>
      <c r="AP8" s="1435"/>
      <c r="AQ8" s="1435"/>
      <c r="AR8" s="1436"/>
      <c r="AS8" s="1436"/>
      <c r="AT8" s="1436"/>
      <c r="AU8" s="1436"/>
      <c r="AV8" s="1436"/>
      <c r="AW8" s="1436"/>
      <c r="AX8" s="1436"/>
      <c r="AY8" s="1436"/>
      <c r="AZ8" s="1436"/>
      <c r="BA8" s="1436"/>
      <c r="BB8" s="1436"/>
      <c r="BC8" s="1436"/>
      <c r="BD8" s="656"/>
      <c r="BE8" s="654"/>
      <c r="BF8" s="1435"/>
      <c r="BG8" s="1435"/>
      <c r="BH8" s="1435"/>
      <c r="BI8" s="1435"/>
      <c r="BJ8" s="1435"/>
      <c r="BK8" s="1435"/>
      <c r="BL8" s="1435"/>
      <c r="BM8" s="1435"/>
      <c r="BN8" s="1435"/>
      <c r="BO8" s="1435"/>
      <c r="BP8" s="1435"/>
      <c r="BQ8" s="1435"/>
      <c r="BR8" s="1435"/>
      <c r="BS8" s="1435"/>
      <c r="BT8" s="658"/>
    </row>
    <row r="9" spans="1:72" ht="19.5" customHeight="1">
      <c r="A9" s="657" t="s">
        <v>721</v>
      </c>
      <c r="B9" s="657" t="s">
        <v>783</v>
      </c>
      <c r="C9" s="657" t="s">
        <v>784</v>
      </c>
      <c r="D9" s="657" t="s">
        <v>785</v>
      </c>
      <c r="E9" s="657" t="s">
        <v>786</v>
      </c>
      <c r="F9" s="657" t="s">
        <v>787</v>
      </c>
      <c r="G9" s="657" t="s">
        <v>788</v>
      </c>
      <c r="H9" s="657"/>
      <c r="I9" s="657" t="s">
        <v>789</v>
      </c>
      <c r="J9" s="657" t="s">
        <v>790</v>
      </c>
      <c r="K9" s="657" t="s">
        <v>791</v>
      </c>
      <c r="L9" s="657" t="s">
        <v>789</v>
      </c>
      <c r="M9" s="657" t="s">
        <v>790</v>
      </c>
      <c r="N9" s="657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1435"/>
      <c r="AC9" s="1435"/>
      <c r="AD9" s="1435"/>
      <c r="AE9" s="1435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1435"/>
      <c r="AV9" s="1435"/>
      <c r="AW9" s="1435"/>
      <c r="AX9" s="1435"/>
      <c r="AY9" s="654"/>
      <c r="AZ9" s="654"/>
      <c r="BA9" s="654"/>
      <c r="BB9" s="654"/>
      <c r="BC9" s="654"/>
      <c r="BD9" s="654"/>
      <c r="BE9" s="654"/>
      <c r="BF9" s="654"/>
      <c r="BG9" s="654"/>
      <c r="BH9" s="654"/>
      <c r="BI9" s="654"/>
      <c r="BJ9" s="654"/>
      <c r="BK9" s="1435"/>
      <c r="BL9" s="1435"/>
      <c r="BM9" s="1435"/>
      <c r="BN9" s="1435"/>
      <c r="BO9" s="654"/>
      <c r="BP9" s="654"/>
      <c r="BQ9" s="654"/>
      <c r="BR9" s="654"/>
      <c r="BS9" s="654"/>
      <c r="BT9" s="654"/>
    </row>
    <row r="10" spans="1:72" ht="19.5" customHeight="1">
      <c r="A10" s="657" t="s">
        <v>716</v>
      </c>
      <c r="B10" s="659"/>
      <c r="C10" s="660"/>
      <c r="D10" s="661" t="s">
        <v>1090</v>
      </c>
      <c r="E10" s="661" t="s">
        <v>1091</v>
      </c>
      <c r="F10" s="661" t="s">
        <v>792</v>
      </c>
      <c r="G10" s="661" t="s">
        <v>793</v>
      </c>
      <c r="H10" s="661"/>
      <c r="I10" s="657"/>
      <c r="J10" s="657"/>
      <c r="K10" s="657"/>
      <c r="L10" s="657"/>
      <c r="M10" s="657"/>
      <c r="N10" s="657"/>
      <c r="O10" s="654"/>
      <c r="P10" s="654"/>
      <c r="Q10" s="654"/>
      <c r="R10" s="654"/>
      <c r="S10" s="654"/>
      <c r="T10" s="654"/>
      <c r="U10" s="654"/>
      <c r="V10" s="654"/>
      <c r="W10" s="654"/>
      <c r="X10" s="654"/>
      <c r="Y10" s="65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  <c r="BD10" s="654"/>
      <c r="BE10" s="654"/>
      <c r="BF10" s="654"/>
      <c r="BG10" s="654"/>
      <c r="BH10" s="654"/>
      <c r="BI10" s="654"/>
      <c r="BJ10" s="654"/>
      <c r="BK10" s="654"/>
      <c r="BL10" s="654"/>
      <c r="BM10" s="654"/>
      <c r="BN10" s="654"/>
      <c r="BO10" s="654"/>
      <c r="BP10" s="654"/>
      <c r="BQ10" s="654"/>
      <c r="BR10" s="654"/>
      <c r="BS10" s="654"/>
      <c r="BT10" s="654"/>
    </row>
    <row r="11" spans="1:72" ht="38.25" customHeight="1">
      <c r="A11" s="662"/>
      <c r="B11" s="662"/>
      <c r="C11" s="663" t="s">
        <v>6</v>
      </c>
      <c r="D11" s="663" t="s">
        <v>7</v>
      </c>
      <c r="E11" s="663" t="s">
        <v>8</v>
      </c>
      <c r="F11" s="663" t="s">
        <v>9</v>
      </c>
      <c r="G11" s="663" t="s">
        <v>1116</v>
      </c>
      <c r="H11" s="663" t="s">
        <v>1117</v>
      </c>
      <c r="I11" s="663" t="s">
        <v>12</v>
      </c>
      <c r="J11" s="663" t="s">
        <v>13</v>
      </c>
      <c r="K11" s="663" t="s">
        <v>1118</v>
      </c>
      <c r="L11" s="663" t="s">
        <v>15</v>
      </c>
      <c r="M11" s="663" t="s">
        <v>16</v>
      </c>
      <c r="N11" s="663" t="s">
        <v>1119</v>
      </c>
      <c r="O11" s="664"/>
      <c r="P11" s="664"/>
      <c r="Q11" s="664"/>
      <c r="R11" s="664"/>
      <c r="S11" s="664"/>
      <c r="T11" s="665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4"/>
      <c r="AN11" s="664"/>
      <c r="AO11" s="664"/>
      <c r="AP11" s="664"/>
      <c r="AQ11" s="664"/>
      <c r="AR11" s="664"/>
      <c r="AS11" s="664"/>
      <c r="AT11" s="664"/>
      <c r="AU11" s="664"/>
      <c r="AV11" s="664"/>
      <c r="AW11" s="664"/>
      <c r="AX11" s="664"/>
      <c r="AY11" s="664"/>
      <c r="AZ11" s="664"/>
      <c r="BA11" s="664"/>
      <c r="BB11" s="664"/>
      <c r="BC11" s="664"/>
      <c r="BD11" s="664"/>
      <c r="BE11" s="664"/>
      <c r="BF11" s="664"/>
      <c r="BG11" s="664"/>
      <c r="BH11" s="664"/>
      <c r="BI11" s="664"/>
      <c r="BJ11" s="664"/>
      <c r="BK11" s="664"/>
      <c r="BL11" s="664"/>
      <c r="BM11" s="664"/>
      <c r="BN11" s="664"/>
      <c r="BO11" s="664"/>
      <c r="BP11" s="664"/>
      <c r="BQ11" s="664"/>
      <c r="BR11" s="664"/>
      <c r="BS11" s="664"/>
      <c r="BT11" s="664"/>
    </row>
    <row r="12" spans="1:72" s="672" customFormat="1" ht="37.5" customHeight="1">
      <c r="A12" s="573" t="s">
        <v>6</v>
      </c>
      <c r="B12" s="666" t="s">
        <v>586</v>
      </c>
      <c r="C12" s="667">
        <v>155456660</v>
      </c>
      <c r="D12" s="667">
        <v>356667</v>
      </c>
      <c r="E12" s="667">
        <v>351680</v>
      </c>
      <c r="F12" s="667">
        <v>2051444</v>
      </c>
      <c r="G12" s="667">
        <v>-1343097</v>
      </c>
      <c r="H12" s="667">
        <v>154113563</v>
      </c>
      <c r="I12" s="667">
        <v>356626812</v>
      </c>
      <c r="J12" s="667">
        <v>225870224</v>
      </c>
      <c r="K12" s="667">
        <v>130756588</v>
      </c>
      <c r="L12" s="667">
        <v>141002305</v>
      </c>
      <c r="M12" s="667">
        <v>117645330</v>
      </c>
      <c r="N12" s="667">
        <f>K12+L12-M12</f>
        <v>154113563</v>
      </c>
      <c r="O12" s="669"/>
      <c r="P12" s="670"/>
      <c r="Q12" s="670"/>
      <c r="R12" s="670"/>
      <c r="S12" s="670"/>
      <c r="T12" s="669"/>
      <c r="U12" s="671"/>
      <c r="V12" s="670"/>
      <c r="W12" s="669"/>
      <c r="X12" s="669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1"/>
      <c r="AK12" s="671"/>
      <c r="AL12" s="669"/>
      <c r="AM12" s="669"/>
      <c r="AN12" s="669"/>
      <c r="AO12" s="669"/>
      <c r="AP12" s="670"/>
      <c r="AQ12" s="669"/>
      <c r="AR12" s="671"/>
      <c r="AS12" s="671"/>
      <c r="AT12" s="671"/>
      <c r="AU12" s="671"/>
      <c r="AV12" s="671"/>
      <c r="AW12" s="671"/>
      <c r="AX12" s="671"/>
      <c r="AY12" s="671"/>
      <c r="AZ12" s="671"/>
      <c r="BA12" s="671"/>
      <c r="BB12" s="671"/>
      <c r="BC12" s="671"/>
      <c r="BD12" s="671"/>
      <c r="BE12" s="669"/>
      <c r="BF12" s="669"/>
      <c r="BG12" s="669"/>
      <c r="BH12" s="669"/>
      <c r="BI12" s="669"/>
      <c r="BJ12" s="669"/>
      <c r="BK12" s="669"/>
      <c r="BL12" s="669"/>
      <c r="BM12" s="669"/>
      <c r="BN12" s="669"/>
      <c r="BO12" s="669"/>
      <c r="BP12" s="669"/>
      <c r="BQ12" s="669"/>
      <c r="BR12" s="669"/>
      <c r="BS12" s="669"/>
      <c r="BT12" s="669"/>
    </row>
    <row r="13" spans="1:72" s="672" customFormat="1" ht="39.75" customHeight="1">
      <c r="A13" s="573" t="s">
        <v>7</v>
      </c>
      <c r="B13" s="666" t="s">
        <v>585</v>
      </c>
      <c r="C13" s="667">
        <v>1033685</v>
      </c>
      <c r="D13" s="667">
        <v>210205</v>
      </c>
      <c r="E13" s="667">
        <v>0</v>
      </c>
      <c r="F13" s="667">
        <v>341180</v>
      </c>
      <c r="G13" s="667">
        <v>-130975</v>
      </c>
      <c r="H13" s="667">
        <v>902710</v>
      </c>
      <c r="I13" s="667">
        <v>17631614</v>
      </c>
      <c r="J13" s="667">
        <v>91266152</v>
      </c>
      <c r="K13" s="667">
        <v>-73634538</v>
      </c>
      <c r="L13" s="667">
        <v>74537248</v>
      </c>
      <c r="M13" s="667">
        <v>0</v>
      </c>
      <c r="N13" s="667">
        <f>K13+L13-M13</f>
        <v>902710</v>
      </c>
      <c r="O13" s="669"/>
      <c r="P13" s="670"/>
      <c r="Q13" s="671"/>
      <c r="R13" s="671"/>
      <c r="S13" s="670"/>
      <c r="T13" s="669"/>
      <c r="U13" s="671"/>
      <c r="V13" s="671"/>
      <c r="W13" s="669"/>
      <c r="X13" s="669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1"/>
      <c r="AJ13" s="671"/>
      <c r="AK13" s="671"/>
      <c r="AL13" s="669"/>
      <c r="AM13" s="669"/>
      <c r="AN13" s="669"/>
      <c r="AO13" s="669"/>
      <c r="AP13" s="670"/>
      <c r="AQ13" s="669"/>
      <c r="AR13" s="671"/>
      <c r="AS13" s="671"/>
      <c r="AT13" s="671"/>
      <c r="AU13" s="671"/>
      <c r="AV13" s="671"/>
      <c r="AW13" s="671"/>
      <c r="AX13" s="671"/>
      <c r="AY13" s="671"/>
      <c r="AZ13" s="671"/>
      <c r="BA13" s="671"/>
      <c r="BB13" s="671"/>
      <c r="BC13" s="671"/>
      <c r="BD13" s="671"/>
      <c r="BE13" s="669"/>
      <c r="BF13" s="669"/>
      <c r="BG13" s="669"/>
      <c r="BH13" s="669"/>
      <c r="BI13" s="669"/>
      <c r="BJ13" s="669"/>
      <c r="BK13" s="669"/>
      <c r="BL13" s="669"/>
      <c r="BM13" s="669"/>
      <c r="BN13" s="669"/>
      <c r="BO13" s="669"/>
      <c r="BP13" s="669"/>
      <c r="BQ13" s="669"/>
      <c r="BR13" s="669"/>
      <c r="BS13" s="669"/>
      <c r="BT13" s="669"/>
    </row>
    <row r="14" spans="1:72" s="672" customFormat="1" ht="39" customHeight="1">
      <c r="A14" s="573" t="s">
        <v>8</v>
      </c>
      <c r="B14" s="566" t="s">
        <v>587</v>
      </c>
      <c r="C14" s="667">
        <v>179667</v>
      </c>
      <c r="D14" s="667">
        <v>101306</v>
      </c>
      <c r="E14" s="667">
        <v>0</v>
      </c>
      <c r="F14" s="667">
        <v>0</v>
      </c>
      <c r="G14" s="667">
        <v>101306</v>
      </c>
      <c r="H14" s="667">
        <v>280973</v>
      </c>
      <c r="I14" s="667">
        <v>200579</v>
      </c>
      <c r="J14" s="667">
        <v>39539334</v>
      </c>
      <c r="K14" s="667">
        <v>-39338755</v>
      </c>
      <c r="L14" s="667">
        <v>39619728</v>
      </c>
      <c r="M14" s="667">
        <v>0</v>
      </c>
      <c r="N14" s="667">
        <f>K14+L14-M14</f>
        <v>280973</v>
      </c>
      <c r="O14" s="669"/>
      <c r="P14" s="670"/>
      <c r="Q14" s="671"/>
      <c r="R14" s="671"/>
      <c r="S14" s="670"/>
      <c r="T14" s="669"/>
      <c r="U14" s="671"/>
      <c r="V14" s="671"/>
      <c r="W14" s="669"/>
      <c r="X14" s="669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1"/>
      <c r="AJ14" s="671"/>
      <c r="AK14" s="671"/>
      <c r="AL14" s="669"/>
      <c r="AM14" s="669"/>
      <c r="AN14" s="669"/>
      <c r="AO14" s="669"/>
      <c r="AP14" s="670"/>
      <c r="AQ14" s="669"/>
      <c r="AR14" s="671"/>
      <c r="AS14" s="671"/>
      <c r="AT14" s="671"/>
      <c r="AU14" s="671"/>
      <c r="AV14" s="671"/>
      <c r="AW14" s="671"/>
      <c r="AX14" s="671"/>
      <c r="AY14" s="671"/>
      <c r="AZ14" s="671"/>
      <c r="BA14" s="671"/>
      <c r="BB14" s="671"/>
      <c r="BC14" s="671"/>
      <c r="BD14" s="671"/>
      <c r="BE14" s="669"/>
      <c r="BF14" s="669"/>
      <c r="BG14" s="669"/>
      <c r="BH14" s="669"/>
      <c r="BI14" s="669"/>
      <c r="BJ14" s="669"/>
      <c r="BK14" s="669"/>
      <c r="BL14" s="669"/>
      <c r="BM14" s="669"/>
      <c r="BN14" s="669"/>
      <c r="BO14" s="669"/>
      <c r="BP14" s="669"/>
      <c r="BQ14" s="669"/>
      <c r="BR14" s="669"/>
      <c r="BS14" s="669"/>
      <c r="BT14" s="669"/>
    </row>
    <row r="15" spans="1:72" s="672" customFormat="1" ht="24.75" customHeight="1">
      <c r="A15" s="573" t="s">
        <v>9</v>
      </c>
      <c r="B15" s="666"/>
      <c r="C15" s="667"/>
      <c r="D15" s="667"/>
      <c r="E15" s="667"/>
      <c r="F15" s="667"/>
      <c r="G15" s="668"/>
      <c r="H15" s="668"/>
      <c r="I15" s="668"/>
      <c r="J15" s="668"/>
      <c r="K15" s="668"/>
      <c r="L15" s="668"/>
      <c r="M15" s="668"/>
      <c r="N15" s="668"/>
      <c r="O15" s="669"/>
      <c r="P15" s="670"/>
      <c r="Q15" s="671"/>
      <c r="R15" s="671"/>
      <c r="S15" s="670"/>
      <c r="T15" s="669"/>
      <c r="U15" s="671"/>
      <c r="V15" s="671"/>
      <c r="W15" s="669"/>
      <c r="X15" s="669"/>
      <c r="Y15" s="671"/>
      <c r="Z15" s="671"/>
      <c r="AA15" s="671"/>
      <c r="AB15" s="671"/>
      <c r="AC15" s="671"/>
      <c r="AD15" s="671"/>
      <c r="AE15" s="671"/>
      <c r="AF15" s="671"/>
      <c r="AG15" s="671"/>
      <c r="AH15" s="671"/>
      <c r="AI15" s="671"/>
      <c r="AJ15" s="671"/>
      <c r="AK15" s="671"/>
      <c r="AL15" s="669"/>
      <c r="AM15" s="669"/>
      <c r="AN15" s="669"/>
      <c r="AO15" s="669"/>
      <c r="AP15" s="670"/>
      <c r="AQ15" s="669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1"/>
      <c r="BC15" s="671"/>
      <c r="BD15" s="671"/>
      <c r="BE15" s="669"/>
      <c r="BF15" s="669"/>
      <c r="BG15" s="669"/>
      <c r="BH15" s="669"/>
      <c r="BI15" s="669"/>
      <c r="BJ15" s="669"/>
      <c r="BK15" s="669"/>
      <c r="BL15" s="669"/>
      <c r="BM15" s="669"/>
      <c r="BN15" s="669"/>
      <c r="BO15" s="669"/>
      <c r="BP15" s="669"/>
      <c r="BQ15" s="669"/>
      <c r="BR15" s="669"/>
      <c r="BS15" s="669"/>
      <c r="BT15" s="669"/>
    </row>
    <row r="16" spans="1:72" s="672" customFormat="1" ht="24.75" customHeight="1">
      <c r="A16" s="573" t="s">
        <v>10</v>
      </c>
      <c r="B16" s="666"/>
      <c r="C16" s="667"/>
      <c r="D16" s="667"/>
      <c r="E16" s="667"/>
      <c r="F16" s="667"/>
      <c r="G16" s="668"/>
      <c r="H16" s="668"/>
      <c r="I16" s="668"/>
      <c r="J16" s="668"/>
      <c r="K16" s="668"/>
      <c r="L16" s="668"/>
      <c r="M16" s="668"/>
      <c r="N16" s="668"/>
      <c r="O16" s="669"/>
      <c r="P16" s="670"/>
      <c r="Q16" s="671"/>
      <c r="R16" s="671"/>
      <c r="S16" s="670"/>
      <c r="T16" s="669"/>
      <c r="U16" s="671"/>
      <c r="V16" s="671"/>
      <c r="W16" s="669"/>
      <c r="X16" s="669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1"/>
      <c r="AJ16" s="671"/>
      <c r="AK16" s="671"/>
      <c r="AL16" s="669"/>
      <c r="AM16" s="669"/>
      <c r="AN16" s="669"/>
      <c r="AO16" s="669"/>
      <c r="AP16" s="670"/>
      <c r="AQ16" s="669"/>
      <c r="AR16" s="671"/>
      <c r="AS16" s="671"/>
      <c r="AT16" s="671"/>
      <c r="AU16" s="671"/>
      <c r="AV16" s="671"/>
      <c r="AW16" s="671"/>
      <c r="AX16" s="671"/>
      <c r="AY16" s="671"/>
      <c r="AZ16" s="671"/>
      <c r="BA16" s="671"/>
      <c r="BB16" s="671"/>
      <c r="BC16" s="671"/>
      <c r="BD16" s="671"/>
      <c r="BE16" s="669"/>
      <c r="BF16" s="669"/>
      <c r="BG16" s="669"/>
      <c r="BH16" s="669"/>
      <c r="BI16" s="669"/>
      <c r="BJ16" s="669"/>
      <c r="BK16" s="669"/>
      <c r="BL16" s="669"/>
      <c r="BM16" s="669"/>
      <c r="BN16" s="669"/>
      <c r="BO16" s="669"/>
      <c r="BP16" s="669"/>
      <c r="BQ16" s="669"/>
      <c r="BR16" s="669"/>
      <c r="BS16" s="669"/>
      <c r="BT16" s="669"/>
    </row>
    <row r="17" spans="1:72" s="672" customFormat="1" ht="24.75" customHeight="1">
      <c r="A17" s="573" t="s">
        <v>11</v>
      </c>
      <c r="B17" s="666"/>
      <c r="C17" s="667"/>
      <c r="D17" s="667"/>
      <c r="E17" s="667"/>
      <c r="F17" s="667"/>
      <c r="G17" s="668"/>
      <c r="H17" s="668"/>
      <c r="I17" s="668"/>
      <c r="J17" s="668"/>
      <c r="K17" s="668"/>
      <c r="L17" s="668"/>
      <c r="M17" s="668"/>
      <c r="N17" s="668"/>
      <c r="O17" s="669"/>
      <c r="P17" s="670"/>
      <c r="Q17" s="671"/>
      <c r="R17" s="671"/>
      <c r="S17" s="670"/>
      <c r="T17" s="669"/>
      <c r="U17" s="671"/>
      <c r="V17" s="671"/>
      <c r="W17" s="669"/>
      <c r="X17" s="669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69"/>
      <c r="AM17" s="669"/>
      <c r="AN17" s="669"/>
      <c r="AO17" s="669"/>
      <c r="AP17" s="670"/>
      <c r="AQ17" s="669"/>
      <c r="AR17" s="671"/>
      <c r="AS17" s="671"/>
      <c r="AT17" s="671"/>
      <c r="AU17" s="671"/>
      <c r="AV17" s="671"/>
      <c r="AW17" s="671"/>
      <c r="AX17" s="671"/>
      <c r="AY17" s="671"/>
      <c r="AZ17" s="671"/>
      <c r="BA17" s="671"/>
      <c r="BB17" s="671"/>
      <c r="BC17" s="671"/>
      <c r="BD17" s="671"/>
      <c r="BE17" s="669"/>
      <c r="BF17" s="669"/>
      <c r="BG17" s="669"/>
      <c r="BH17" s="669"/>
      <c r="BI17" s="669"/>
      <c r="BJ17" s="669"/>
      <c r="BK17" s="669"/>
      <c r="BL17" s="669"/>
      <c r="BM17" s="669"/>
      <c r="BN17" s="669"/>
      <c r="BO17" s="669"/>
      <c r="BP17" s="669"/>
      <c r="BQ17" s="669"/>
      <c r="BR17" s="669"/>
      <c r="BS17" s="669"/>
      <c r="BT17" s="669"/>
    </row>
    <row r="18" spans="1:72" s="672" customFormat="1" ht="24.75" customHeight="1">
      <c r="A18" s="573" t="s">
        <v>12</v>
      </c>
      <c r="B18" s="666"/>
      <c r="C18" s="667"/>
      <c r="D18" s="667"/>
      <c r="E18" s="667"/>
      <c r="F18" s="667"/>
      <c r="G18" s="668"/>
      <c r="H18" s="668"/>
      <c r="I18" s="668"/>
      <c r="J18" s="668"/>
      <c r="K18" s="668"/>
      <c r="L18" s="668"/>
      <c r="M18" s="668"/>
      <c r="N18" s="668"/>
      <c r="O18" s="669"/>
      <c r="P18" s="670"/>
      <c r="Q18" s="671"/>
      <c r="R18" s="671"/>
      <c r="S18" s="670"/>
      <c r="T18" s="669"/>
      <c r="U18" s="671"/>
      <c r="V18" s="671"/>
      <c r="W18" s="669"/>
      <c r="X18" s="669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69"/>
      <c r="AM18" s="669"/>
      <c r="AN18" s="669"/>
      <c r="AO18" s="669"/>
      <c r="AP18" s="670"/>
      <c r="AQ18" s="669"/>
      <c r="AR18" s="671"/>
      <c r="AS18" s="671"/>
      <c r="AT18" s="671"/>
      <c r="AU18" s="671"/>
      <c r="AV18" s="671"/>
      <c r="AW18" s="671"/>
      <c r="AX18" s="671"/>
      <c r="AY18" s="671"/>
      <c r="AZ18" s="671"/>
      <c r="BA18" s="671"/>
      <c r="BB18" s="671"/>
      <c r="BC18" s="671"/>
      <c r="BD18" s="671"/>
      <c r="BE18" s="669"/>
      <c r="BF18" s="669"/>
      <c r="BG18" s="669"/>
      <c r="BH18" s="669"/>
      <c r="BI18" s="669"/>
      <c r="BJ18" s="669"/>
      <c r="BK18" s="669"/>
      <c r="BL18" s="669"/>
      <c r="BM18" s="669"/>
      <c r="BN18" s="669"/>
      <c r="BO18" s="669"/>
      <c r="BP18" s="669"/>
      <c r="BQ18" s="669"/>
      <c r="BR18" s="669"/>
      <c r="BS18" s="669"/>
      <c r="BT18" s="669"/>
    </row>
    <row r="19" spans="1:72" s="672" customFormat="1" ht="24.75" customHeight="1">
      <c r="A19" s="573" t="s">
        <v>13</v>
      </c>
      <c r="B19" s="666"/>
      <c r="C19" s="667"/>
      <c r="D19" s="667"/>
      <c r="E19" s="667"/>
      <c r="F19" s="667"/>
      <c r="G19" s="668"/>
      <c r="H19" s="668"/>
      <c r="I19" s="668"/>
      <c r="J19" s="668"/>
      <c r="K19" s="668"/>
      <c r="L19" s="668"/>
      <c r="M19" s="668"/>
      <c r="N19" s="668"/>
      <c r="O19" s="669"/>
      <c r="P19" s="670"/>
      <c r="Q19" s="671"/>
      <c r="R19" s="671"/>
      <c r="S19" s="670"/>
      <c r="T19" s="669"/>
      <c r="U19" s="671"/>
      <c r="V19" s="671"/>
      <c r="W19" s="669"/>
      <c r="X19" s="669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69"/>
      <c r="AM19" s="669"/>
      <c r="AN19" s="669"/>
      <c r="AO19" s="669"/>
      <c r="AP19" s="670"/>
      <c r="AQ19" s="669"/>
      <c r="AR19" s="671"/>
      <c r="AS19" s="671"/>
      <c r="AT19" s="671"/>
      <c r="AU19" s="671"/>
      <c r="AV19" s="671"/>
      <c r="AW19" s="671"/>
      <c r="AX19" s="671"/>
      <c r="AY19" s="671"/>
      <c r="AZ19" s="671"/>
      <c r="BA19" s="671"/>
      <c r="BB19" s="671"/>
      <c r="BC19" s="671"/>
      <c r="BD19" s="671"/>
      <c r="BE19" s="669"/>
      <c r="BF19" s="669"/>
      <c r="BG19" s="669"/>
      <c r="BH19" s="669"/>
      <c r="BI19" s="669"/>
      <c r="BJ19" s="669"/>
      <c r="BK19" s="669"/>
      <c r="BL19" s="669"/>
      <c r="BM19" s="669"/>
      <c r="BN19" s="669"/>
      <c r="BO19" s="669"/>
      <c r="BP19" s="669"/>
      <c r="BQ19" s="669"/>
      <c r="BR19" s="669"/>
      <c r="BS19" s="669"/>
      <c r="BT19" s="669"/>
    </row>
    <row r="20" spans="1:74" s="672" customFormat="1" ht="24.75" customHeight="1" hidden="1">
      <c r="A20" s="573" t="s">
        <v>14</v>
      </c>
      <c r="B20" s="673"/>
      <c r="C20" s="667"/>
      <c r="D20" s="667"/>
      <c r="E20" s="667"/>
      <c r="F20" s="667"/>
      <c r="G20" s="668"/>
      <c r="H20" s="668"/>
      <c r="I20" s="668"/>
      <c r="J20" s="668"/>
      <c r="K20" s="668"/>
      <c r="L20" s="668"/>
      <c r="M20" s="668"/>
      <c r="N20" s="668"/>
      <c r="O20" s="669"/>
      <c r="P20" s="670"/>
      <c r="Q20" s="671"/>
      <c r="R20" s="671"/>
      <c r="S20" s="670"/>
      <c r="T20" s="669"/>
      <c r="U20" s="671"/>
      <c r="V20" s="671"/>
      <c r="W20" s="669"/>
      <c r="X20" s="669"/>
      <c r="Y20" s="671"/>
      <c r="Z20" s="671"/>
      <c r="AA20" s="671"/>
      <c r="AB20" s="671"/>
      <c r="AC20" s="671"/>
      <c r="AD20" s="671"/>
      <c r="AE20" s="671"/>
      <c r="AF20" s="671"/>
      <c r="AG20" s="671"/>
      <c r="AH20" s="671"/>
      <c r="AI20" s="671"/>
      <c r="AJ20" s="671"/>
      <c r="AK20" s="671"/>
      <c r="AL20" s="669"/>
      <c r="AM20" s="669"/>
      <c r="AN20" s="669"/>
      <c r="AO20" s="669"/>
      <c r="AP20" s="670"/>
      <c r="AQ20" s="669"/>
      <c r="AR20" s="671"/>
      <c r="AS20" s="671"/>
      <c r="AT20" s="671"/>
      <c r="AU20" s="671"/>
      <c r="AV20" s="671"/>
      <c r="AW20" s="671"/>
      <c r="AX20" s="671"/>
      <c r="AY20" s="671"/>
      <c r="AZ20" s="671"/>
      <c r="BA20" s="671"/>
      <c r="BB20" s="671"/>
      <c r="BC20" s="671"/>
      <c r="BD20" s="671"/>
      <c r="BE20" s="669"/>
      <c r="BF20" s="669"/>
      <c r="BG20" s="669"/>
      <c r="BH20" s="669"/>
      <c r="BI20" s="669"/>
      <c r="BJ20" s="669"/>
      <c r="BK20" s="669"/>
      <c r="BL20" s="669"/>
      <c r="BM20" s="669"/>
      <c r="BN20" s="669"/>
      <c r="BO20" s="669"/>
      <c r="BP20" s="669"/>
      <c r="BQ20" s="669"/>
      <c r="BR20" s="669"/>
      <c r="BS20" s="669"/>
      <c r="BT20" s="669"/>
      <c r="BV20" s="672" t="s">
        <v>716</v>
      </c>
    </row>
    <row r="21" spans="1:72" s="672" customFormat="1" ht="24.75" customHeight="1" hidden="1">
      <c r="A21" s="573" t="s">
        <v>15</v>
      </c>
      <c r="B21" s="573"/>
      <c r="C21" s="667"/>
      <c r="D21" s="667"/>
      <c r="E21" s="667"/>
      <c r="F21" s="667"/>
      <c r="G21" s="668"/>
      <c r="H21" s="668"/>
      <c r="I21" s="668"/>
      <c r="J21" s="668"/>
      <c r="K21" s="668"/>
      <c r="L21" s="668"/>
      <c r="M21" s="668"/>
      <c r="N21" s="668"/>
      <c r="O21" s="669"/>
      <c r="P21" s="670"/>
      <c r="Q21" s="670"/>
      <c r="R21" s="671"/>
      <c r="S21" s="670"/>
      <c r="T21" s="669"/>
      <c r="U21" s="671"/>
      <c r="V21" s="671"/>
      <c r="W21" s="669"/>
      <c r="X21" s="669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671"/>
      <c r="AJ21" s="671"/>
      <c r="AK21" s="671"/>
      <c r="AL21" s="669"/>
      <c r="AM21" s="669"/>
      <c r="AN21" s="669"/>
      <c r="AO21" s="669"/>
      <c r="AP21" s="670"/>
      <c r="AQ21" s="669"/>
      <c r="AR21" s="671"/>
      <c r="AS21" s="671"/>
      <c r="AT21" s="671"/>
      <c r="AU21" s="671"/>
      <c r="AV21" s="671"/>
      <c r="AW21" s="671"/>
      <c r="AX21" s="671"/>
      <c r="AY21" s="671"/>
      <c r="AZ21" s="671"/>
      <c r="BA21" s="671"/>
      <c r="BB21" s="671"/>
      <c r="BC21" s="671"/>
      <c r="BD21" s="671"/>
      <c r="BE21" s="669"/>
      <c r="BF21" s="669"/>
      <c r="BG21" s="669"/>
      <c r="BH21" s="669"/>
      <c r="BI21" s="669"/>
      <c r="BJ21" s="669"/>
      <c r="BK21" s="669"/>
      <c r="BL21" s="669"/>
      <c r="BM21" s="669"/>
      <c r="BN21" s="669"/>
      <c r="BO21" s="669"/>
      <c r="BP21" s="669"/>
      <c r="BQ21" s="669"/>
      <c r="BR21" s="669"/>
      <c r="BS21" s="669"/>
      <c r="BT21" s="669"/>
    </row>
    <row r="22" spans="1:72" s="672" customFormat="1" ht="24.75" customHeight="1" hidden="1">
      <c r="A22" s="573" t="s">
        <v>16</v>
      </c>
      <c r="B22" s="572"/>
      <c r="C22" s="667"/>
      <c r="D22" s="667"/>
      <c r="E22" s="667"/>
      <c r="F22" s="667"/>
      <c r="G22" s="668"/>
      <c r="H22" s="668"/>
      <c r="I22" s="668"/>
      <c r="J22" s="668"/>
      <c r="K22" s="668"/>
      <c r="L22" s="668"/>
      <c r="M22" s="668"/>
      <c r="N22" s="668"/>
      <c r="O22" s="669"/>
      <c r="P22" s="670"/>
      <c r="Q22" s="670"/>
      <c r="R22" s="671"/>
      <c r="S22" s="670"/>
      <c r="T22" s="669"/>
      <c r="U22" s="671"/>
      <c r="V22" s="671"/>
      <c r="W22" s="669"/>
      <c r="X22" s="669"/>
      <c r="Y22" s="671"/>
      <c r="Z22" s="671"/>
      <c r="AA22" s="671"/>
      <c r="AB22" s="671"/>
      <c r="AC22" s="671"/>
      <c r="AD22" s="671"/>
      <c r="AE22" s="671"/>
      <c r="AF22" s="671"/>
      <c r="AG22" s="671"/>
      <c r="AH22" s="671"/>
      <c r="AI22" s="671"/>
      <c r="AJ22" s="671"/>
      <c r="AK22" s="671"/>
      <c r="AL22" s="669"/>
      <c r="AM22" s="669"/>
      <c r="AN22" s="669"/>
      <c r="AO22" s="669"/>
      <c r="AP22" s="670"/>
      <c r="AQ22" s="669"/>
      <c r="AR22" s="671"/>
      <c r="AS22" s="671"/>
      <c r="AT22" s="671"/>
      <c r="AU22" s="671"/>
      <c r="AV22" s="671"/>
      <c r="AW22" s="671"/>
      <c r="AX22" s="671"/>
      <c r="AY22" s="671"/>
      <c r="AZ22" s="671"/>
      <c r="BA22" s="671"/>
      <c r="BB22" s="671"/>
      <c r="BC22" s="671"/>
      <c r="BD22" s="671"/>
      <c r="BE22" s="669"/>
      <c r="BF22" s="669"/>
      <c r="BG22" s="669"/>
      <c r="BH22" s="669"/>
      <c r="BI22" s="669"/>
      <c r="BJ22" s="669"/>
      <c r="BK22" s="669"/>
      <c r="BL22" s="669"/>
      <c r="BM22" s="669"/>
      <c r="BN22" s="669"/>
      <c r="BO22" s="669"/>
      <c r="BP22" s="669"/>
      <c r="BQ22" s="669"/>
      <c r="BR22" s="669"/>
      <c r="BS22" s="669"/>
      <c r="BT22" s="669"/>
    </row>
    <row r="23" spans="1:72" s="672" customFormat="1" ht="24.75" customHeight="1" hidden="1">
      <c r="A23" s="573" t="s">
        <v>17</v>
      </c>
      <c r="B23" s="573"/>
      <c r="C23" s="667"/>
      <c r="D23" s="667"/>
      <c r="E23" s="667"/>
      <c r="F23" s="667"/>
      <c r="G23" s="668"/>
      <c r="H23" s="668"/>
      <c r="I23" s="668"/>
      <c r="J23" s="668"/>
      <c r="K23" s="668"/>
      <c r="L23" s="668"/>
      <c r="M23" s="668"/>
      <c r="N23" s="668"/>
      <c r="O23" s="669"/>
      <c r="P23" s="670"/>
      <c r="Q23" s="670"/>
      <c r="R23" s="671"/>
      <c r="S23" s="670"/>
      <c r="T23" s="669"/>
      <c r="U23" s="671"/>
      <c r="V23" s="671"/>
      <c r="W23" s="669"/>
      <c r="X23" s="669"/>
      <c r="Y23" s="671"/>
      <c r="Z23" s="671"/>
      <c r="AA23" s="671"/>
      <c r="AB23" s="671"/>
      <c r="AC23" s="671"/>
      <c r="AD23" s="671"/>
      <c r="AE23" s="671"/>
      <c r="AF23" s="671"/>
      <c r="AG23" s="671"/>
      <c r="AH23" s="671"/>
      <c r="AI23" s="671"/>
      <c r="AJ23" s="671"/>
      <c r="AK23" s="671"/>
      <c r="AL23" s="669"/>
      <c r="AM23" s="669"/>
      <c r="AN23" s="669"/>
      <c r="AO23" s="669"/>
      <c r="AP23" s="670"/>
      <c r="AQ23" s="669"/>
      <c r="AR23" s="671"/>
      <c r="AS23" s="671"/>
      <c r="AT23" s="671"/>
      <c r="AU23" s="671"/>
      <c r="AV23" s="671"/>
      <c r="AW23" s="671"/>
      <c r="AX23" s="671"/>
      <c r="AY23" s="671"/>
      <c r="AZ23" s="671"/>
      <c r="BA23" s="671"/>
      <c r="BB23" s="671"/>
      <c r="BC23" s="671"/>
      <c r="BD23" s="671"/>
      <c r="BE23" s="669"/>
      <c r="BF23" s="669"/>
      <c r="BG23" s="669"/>
      <c r="BH23" s="669"/>
      <c r="BI23" s="669"/>
      <c r="BJ23" s="669"/>
      <c r="BK23" s="669"/>
      <c r="BL23" s="669"/>
      <c r="BM23" s="669"/>
      <c r="BN23" s="669"/>
      <c r="BO23" s="669"/>
      <c r="BP23" s="669"/>
      <c r="BQ23" s="669"/>
      <c r="BR23" s="669"/>
      <c r="BS23" s="669"/>
      <c r="BT23" s="669"/>
    </row>
    <row r="24" spans="1:72" s="672" customFormat="1" ht="24.75" customHeight="1" hidden="1">
      <c r="A24" s="573" t="s">
        <v>18</v>
      </c>
      <c r="B24" s="573"/>
      <c r="C24" s="667"/>
      <c r="D24" s="667"/>
      <c r="E24" s="667"/>
      <c r="F24" s="667"/>
      <c r="G24" s="668"/>
      <c r="H24" s="668"/>
      <c r="I24" s="668"/>
      <c r="J24" s="668"/>
      <c r="K24" s="668"/>
      <c r="L24" s="668"/>
      <c r="M24" s="668"/>
      <c r="N24" s="668"/>
      <c r="O24" s="669"/>
      <c r="P24" s="670"/>
      <c r="Q24" s="670"/>
      <c r="R24" s="671"/>
      <c r="S24" s="670"/>
      <c r="T24" s="669"/>
      <c r="U24" s="671"/>
      <c r="V24" s="671"/>
      <c r="W24" s="669"/>
      <c r="X24" s="669"/>
      <c r="Y24" s="671"/>
      <c r="Z24" s="671"/>
      <c r="AA24" s="671"/>
      <c r="AB24" s="671"/>
      <c r="AC24" s="671"/>
      <c r="AD24" s="671"/>
      <c r="AE24" s="671"/>
      <c r="AF24" s="671"/>
      <c r="AG24" s="671"/>
      <c r="AH24" s="671"/>
      <c r="AI24" s="671"/>
      <c r="AJ24" s="671"/>
      <c r="AK24" s="671"/>
      <c r="AL24" s="669"/>
      <c r="AM24" s="669"/>
      <c r="AN24" s="669"/>
      <c r="AO24" s="669"/>
      <c r="AP24" s="670"/>
      <c r="AQ24" s="669"/>
      <c r="AR24" s="671"/>
      <c r="AS24" s="671"/>
      <c r="AT24" s="671"/>
      <c r="AU24" s="671"/>
      <c r="AV24" s="671"/>
      <c r="AW24" s="671"/>
      <c r="AX24" s="671"/>
      <c r="AY24" s="671"/>
      <c r="AZ24" s="671"/>
      <c r="BA24" s="671"/>
      <c r="BB24" s="671"/>
      <c r="BC24" s="671"/>
      <c r="BD24" s="671"/>
      <c r="BE24" s="669"/>
      <c r="BF24" s="669"/>
      <c r="BG24" s="669"/>
      <c r="BH24" s="669"/>
      <c r="BI24" s="669"/>
      <c r="BJ24" s="669"/>
      <c r="BK24" s="669"/>
      <c r="BL24" s="669"/>
      <c r="BM24" s="669"/>
      <c r="BN24" s="669"/>
      <c r="BO24" s="669"/>
      <c r="BP24" s="669"/>
      <c r="BQ24" s="669"/>
      <c r="BR24" s="669"/>
      <c r="BS24" s="669"/>
      <c r="BT24" s="669"/>
    </row>
    <row r="25" spans="1:72" s="672" customFormat="1" ht="24.75" customHeight="1">
      <c r="A25" s="578" t="s">
        <v>716</v>
      </c>
      <c r="B25" s="579" t="s">
        <v>794</v>
      </c>
      <c r="C25" s="578">
        <f>C13+C14</f>
        <v>1213352</v>
      </c>
      <c r="D25" s="578">
        <f aca="true" t="shared" si="0" ref="D25:N25">D13+D14</f>
        <v>311511</v>
      </c>
      <c r="E25" s="578">
        <f t="shared" si="0"/>
        <v>0</v>
      </c>
      <c r="F25" s="578">
        <f t="shared" si="0"/>
        <v>341180</v>
      </c>
      <c r="G25" s="578">
        <f t="shared" si="0"/>
        <v>-29669</v>
      </c>
      <c r="H25" s="578">
        <f t="shared" si="0"/>
        <v>1183683</v>
      </c>
      <c r="I25" s="578">
        <f t="shared" si="0"/>
        <v>17832193</v>
      </c>
      <c r="J25" s="578">
        <f t="shared" si="0"/>
        <v>130805486</v>
      </c>
      <c r="K25" s="578">
        <f t="shared" si="0"/>
        <v>-112973293</v>
      </c>
      <c r="L25" s="578">
        <f t="shared" si="0"/>
        <v>114156976</v>
      </c>
      <c r="M25" s="578">
        <f t="shared" si="0"/>
        <v>0</v>
      </c>
      <c r="N25" s="578">
        <f t="shared" si="0"/>
        <v>1183683</v>
      </c>
      <c r="O25" s="671"/>
      <c r="P25" s="671"/>
      <c r="Q25" s="671"/>
      <c r="R25" s="671"/>
      <c r="S25" s="671"/>
      <c r="T25" s="671"/>
      <c r="U25" s="671"/>
      <c r="V25" s="671"/>
      <c r="W25" s="671"/>
      <c r="X25" s="671"/>
      <c r="Y25" s="671"/>
      <c r="Z25" s="671"/>
      <c r="AA25" s="671"/>
      <c r="AB25" s="671"/>
      <c r="AC25" s="671"/>
      <c r="AD25" s="671"/>
      <c r="AE25" s="671"/>
      <c r="AF25" s="671"/>
      <c r="AG25" s="671"/>
      <c r="AH25" s="671"/>
      <c r="AI25" s="671"/>
      <c r="AJ25" s="671"/>
      <c r="AK25" s="671"/>
      <c r="AL25" s="671"/>
      <c r="AM25" s="671"/>
      <c r="AN25" s="671"/>
      <c r="AO25" s="671"/>
      <c r="AP25" s="671"/>
      <c r="AQ25" s="671"/>
      <c r="AR25" s="671"/>
      <c r="AS25" s="671"/>
      <c r="AT25" s="671"/>
      <c r="AU25" s="671"/>
      <c r="AV25" s="671"/>
      <c r="AW25" s="671"/>
      <c r="AX25" s="671"/>
      <c r="AY25" s="671"/>
      <c r="AZ25" s="671"/>
      <c r="BA25" s="671"/>
      <c r="BB25" s="671"/>
      <c r="BC25" s="671"/>
      <c r="BD25" s="671"/>
      <c r="BE25" s="671"/>
      <c r="BF25" s="671"/>
      <c r="BG25" s="671"/>
      <c r="BH25" s="671"/>
      <c r="BI25" s="671"/>
      <c r="BJ25" s="671"/>
      <c r="BK25" s="671"/>
      <c r="BL25" s="671"/>
      <c r="BM25" s="671"/>
      <c r="BN25" s="671"/>
      <c r="BO25" s="671"/>
      <c r="BP25" s="671"/>
      <c r="BQ25" s="671"/>
      <c r="BR25" s="671"/>
      <c r="BS25" s="671"/>
      <c r="BT25" s="671"/>
    </row>
    <row r="26" spans="1:81" s="672" customFormat="1" ht="24.75" customHeight="1">
      <c r="A26" s="572"/>
      <c r="B26" s="671" t="s">
        <v>795</v>
      </c>
      <c r="C26" s="667">
        <f>C12</f>
        <v>155456660</v>
      </c>
      <c r="D26" s="667">
        <f aca="true" t="shared" si="1" ref="D26:N26">D12</f>
        <v>356667</v>
      </c>
      <c r="E26" s="667">
        <f t="shared" si="1"/>
        <v>351680</v>
      </c>
      <c r="F26" s="667">
        <f t="shared" si="1"/>
        <v>2051444</v>
      </c>
      <c r="G26" s="667">
        <f t="shared" si="1"/>
        <v>-1343097</v>
      </c>
      <c r="H26" s="667">
        <f t="shared" si="1"/>
        <v>154113563</v>
      </c>
      <c r="I26" s="667">
        <f t="shared" si="1"/>
        <v>356626812</v>
      </c>
      <c r="J26" s="667">
        <f t="shared" si="1"/>
        <v>225870224</v>
      </c>
      <c r="K26" s="667">
        <f t="shared" si="1"/>
        <v>130756588</v>
      </c>
      <c r="L26" s="667">
        <f t="shared" si="1"/>
        <v>141002305</v>
      </c>
      <c r="M26" s="667">
        <f t="shared" si="1"/>
        <v>117645330</v>
      </c>
      <c r="N26" s="667">
        <f t="shared" si="1"/>
        <v>154113563</v>
      </c>
      <c r="O26" s="669"/>
      <c r="P26" s="671"/>
      <c r="Q26" s="671"/>
      <c r="R26" s="671"/>
      <c r="S26" s="671"/>
      <c r="T26" s="669"/>
      <c r="U26" s="671"/>
      <c r="V26" s="671"/>
      <c r="W26" s="669"/>
      <c r="X26" s="669"/>
      <c r="Y26" s="671"/>
      <c r="Z26" s="671"/>
      <c r="AA26" s="671"/>
      <c r="AB26" s="671"/>
      <c r="AC26" s="671"/>
      <c r="AD26" s="671"/>
      <c r="AE26" s="671"/>
      <c r="AF26" s="671"/>
      <c r="AG26" s="671"/>
      <c r="AH26" s="671"/>
      <c r="AI26" s="671"/>
      <c r="AJ26" s="671"/>
      <c r="AK26" s="671"/>
      <c r="AL26" s="669"/>
      <c r="AM26" s="669"/>
      <c r="AN26" s="669"/>
      <c r="AO26" s="669"/>
      <c r="AP26" s="670"/>
      <c r="AQ26" s="669"/>
      <c r="AR26" s="671"/>
      <c r="AS26" s="671"/>
      <c r="AT26" s="671"/>
      <c r="AU26" s="671"/>
      <c r="AV26" s="671"/>
      <c r="AW26" s="671"/>
      <c r="AX26" s="671"/>
      <c r="AY26" s="671"/>
      <c r="AZ26" s="671"/>
      <c r="BA26" s="671"/>
      <c r="BB26" s="671"/>
      <c r="BC26" s="671"/>
      <c r="BD26" s="671"/>
      <c r="BE26" s="669"/>
      <c r="BF26" s="669"/>
      <c r="BG26" s="669"/>
      <c r="BH26" s="669"/>
      <c r="BI26" s="669"/>
      <c r="BJ26" s="669"/>
      <c r="BK26" s="669"/>
      <c r="BL26" s="669"/>
      <c r="BM26" s="669"/>
      <c r="BN26" s="669"/>
      <c r="BO26" s="669"/>
      <c r="BP26" s="669"/>
      <c r="BQ26" s="669"/>
      <c r="BR26" s="669"/>
      <c r="BS26" s="669"/>
      <c r="BT26" s="669"/>
      <c r="BU26" s="674"/>
      <c r="BV26" s="674"/>
      <c r="BW26" s="674"/>
      <c r="BX26" s="674"/>
      <c r="BY26" s="674"/>
      <c r="BZ26" s="674"/>
      <c r="CA26" s="674"/>
      <c r="CB26" s="674"/>
      <c r="CC26" s="674"/>
    </row>
    <row r="27" spans="1:72" s="672" customFormat="1" ht="24.75" customHeight="1">
      <c r="A27" s="579" t="s">
        <v>716</v>
      </c>
      <c r="B27" s="579" t="s">
        <v>796</v>
      </c>
      <c r="C27" s="675">
        <f>C25+C26</f>
        <v>156670012</v>
      </c>
      <c r="D27" s="675">
        <f aca="true" t="shared" si="2" ref="D27:N27">D25+D26</f>
        <v>668178</v>
      </c>
      <c r="E27" s="675">
        <f t="shared" si="2"/>
        <v>351680</v>
      </c>
      <c r="F27" s="675">
        <f t="shared" si="2"/>
        <v>2392624</v>
      </c>
      <c r="G27" s="675">
        <f t="shared" si="2"/>
        <v>-1372766</v>
      </c>
      <c r="H27" s="675">
        <f t="shared" si="2"/>
        <v>155297246</v>
      </c>
      <c r="I27" s="675">
        <f t="shared" si="2"/>
        <v>374459005</v>
      </c>
      <c r="J27" s="675">
        <f t="shared" si="2"/>
        <v>356675710</v>
      </c>
      <c r="K27" s="675">
        <f t="shared" si="2"/>
        <v>17783295</v>
      </c>
      <c r="L27" s="675">
        <f t="shared" si="2"/>
        <v>255159281</v>
      </c>
      <c r="M27" s="675">
        <f t="shared" si="2"/>
        <v>117645330</v>
      </c>
      <c r="N27" s="675">
        <f t="shared" si="2"/>
        <v>155297246</v>
      </c>
      <c r="O27" s="670"/>
      <c r="P27" s="670"/>
      <c r="Q27" s="670"/>
      <c r="R27" s="670"/>
      <c r="S27" s="670"/>
      <c r="T27" s="670"/>
      <c r="U27" s="670"/>
      <c r="V27" s="670"/>
      <c r="W27" s="670"/>
      <c r="X27" s="670"/>
      <c r="Y27" s="670"/>
      <c r="Z27" s="670"/>
      <c r="AA27" s="670"/>
      <c r="AB27" s="670"/>
      <c r="AC27" s="670"/>
      <c r="AD27" s="670"/>
      <c r="AE27" s="670"/>
      <c r="AF27" s="670"/>
      <c r="AG27" s="670"/>
      <c r="AH27" s="670"/>
      <c r="AI27" s="670"/>
      <c r="AJ27" s="670"/>
      <c r="AK27" s="670"/>
      <c r="AL27" s="670"/>
      <c r="AM27" s="670"/>
      <c r="AN27" s="670"/>
      <c r="AO27" s="670"/>
      <c r="AP27" s="670"/>
      <c r="AQ27" s="670"/>
      <c r="AR27" s="670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70"/>
      <c r="BF27" s="670"/>
      <c r="BG27" s="670"/>
      <c r="BH27" s="670"/>
      <c r="BI27" s="670"/>
      <c r="BJ27" s="670"/>
      <c r="BK27" s="670"/>
      <c r="BL27" s="670"/>
      <c r="BM27" s="670"/>
      <c r="BN27" s="670"/>
      <c r="BO27" s="670"/>
      <c r="BP27" s="670"/>
      <c r="BQ27" s="670"/>
      <c r="BR27" s="670"/>
      <c r="BS27" s="670"/>
      <c r="BT27" s="670"/>
    </row>
    <row r="28" spans="1:72" ht="12.75">
      <c r="A28" s="676"/>
      <c r="B28" s="676"/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8"/>
      <c r="P28" s="678"/>
      <c r="Q28" s="678"/>
      <c r="R28" s="678"/>
      <c r="S28" s="678"/>
      <c r="T28" s="678"/>
      <c r="U28" s="678"/>
      <c r="V28" s="678"/>
      <c r="W28" s="678"/>
      <c r="X28" s="678"/>
      <c r="Y28" s="678"/>
      <c r="Z28" s="678"/>
      <c r="AA28" s="678"/>
      <c r="AB28" s="678"/>
      <c r="AC28" s="678"/>
      <c r="AD28" s="678"/>
      <c r="AE28" s="678"/>
      <c r="AF28" s="678"/>
      <c r="AG28" s="678"/>
      <c r="AH28" s="678"/>
      <c r="AI28" s="678"/>
      <c r="AJ28" s="678"/>
      <c r="AK28" s="678"/>
      <c r="AL28" s="678"/>
      <c r="AM28" s="678"/>
      <c r="AN28" s="678"/>
      <c r="AO28" s="678"/>
      <c r="AP28" s="678"/>
      <c r="AQ28" s="678"/>
      <c r="AR28" s="678"/>
      <c r="AS28" s="678"/>
      <c r="AT28" s="678"/>
      <c r="AU28" s="678"/>
      <c r="AV28" s="678"/>
      <c r="AW28" s="678"/>
      <c r="AX28" s="678"/>
      <c r="AY28" s="678"/>
      <c r="AZ28" s="678"/>
      <c r="BA28" s="678"/>
      <c r="BB28" s="678"/>
      <c r="BC28" s="678"/>
      <c r="BD28" s="678"/>
      <c r="BE28" s="678"/>
      <c r="BF28" s="678"/>
      <c r="BG28" s="678"/>
      <c r="BH28" s="678"/>
      <c r="BI28" s="678"/>
      <c r="BJ28" s="678"/>
      <c r="BK28" s="678"/>
      <c r="BL28" s="678"/>
      <c r="BM28" s="678"/>
      <c r="BN28" s="678"/>
      <c r="BO28" s="678"/>
      <c r="BP28" s="678"/>
      <c r="BQ28" s="678"/>
      <c r="BR28" s="678"/>
      <c r="BS28" s="678"/>
      <c r="BT28" s="678"/>
    </row>
    <row r="30" spans="25:37" ht="12.75"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</row>
  </sheetData>
  <sheetProtection/>
  <mergeCells count="16">
    <mergeCell ref="D3:L4"/>
    <mergeCell ref="BH8:BS8"/>
    <mergeCell ref="AB9:AC9"/>
    <mergeCell ref="AD9:AE9"/>
    <mergeCell ref="AU9:AV9"/>
    <mergeCell ref="AW9:AX9"/>
    <mergeCell ref="BK9:BL9"/>
    <mergeCell ref="BM9:BN9"/>
    <mergeCell ref="AP7:AQ8"/>
    <mergeCell ref="BF7:BG8"/>
    <mergeCell ref="U8:V8"/>
    <mergeCell ref="Y8:AJ8"/>
    <mergeCell ref="AL8:AN8"/>
    <mergeCell ref="AR8:BC8"/>
    <mergeCell ref="U7:W7"/>
    <mergeCell ref="Y7:AJ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44" r:id="rId1"/>
  <rowBreaks count="1" manualBreakCount="1">
    <brk id="94" min="1" max="11" man="1"/>
  </rowBreaks>
  <colBreaks count="4" manualBreakCount="4">
    <brk id="14" max="65535" man="1"/>
    <brk id="18" max="65535" man="1"/>
    <brk id="23" max="65535" man="1"/>
    <brk id="3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V204"/>
  <sheetViews>
    <sheetView view="pageBreakPreview" zoomScaleSheetLayoutView="100" zoomScalePageLayoutView="0" workbookViewId="0" topLeftCell="A1">
      <selection activeCell="R2" sqref="R2"/>
    </sheetView>
  </sheetViews>
  <sheetFormatPr defaultColWidth="9.00390625" defaultRowHeight="12.75"/>
  <cols>
    <col min="1" max="1" width="30.00390625" style="906" customWidth="1"/>
    <col min="2" max="2" width="15.125" style="906" customWidth="1"/>
    <col min="3" max="3" width="13.375" style="906" customWidth="1"/>
    <col min="4" max="4" width="12.125" style="906" customWidth="1"/>
    <col min="5" max="5" width="14.125" style="906" customWidth="1"/>
    <col min="6" max="6" width="14.375" style="906" customWidth="1"/>
    <col min="7" max="7" width="13.125" style="906" customWidth="1"/>
    <col min="8" max="8" width="13.625" style="906" customWidth="1"/>
    <col min="9" max="9" width="14.375" style="906" bestFit="1" customWidth="1"/>
    <col min="10" max="10" width="13.875" style="1275" customWidth="1"/>
    <col min="11" max="11" width="11.50390625" style="906" customWidth="1"/>
    <col min="12" max="12" width="11.625" style="906" customWidth="1"/>
    <col min="13" max="13" width="13.50390625" style="1275" customWidth="1"/>
    <col min="14" max="14" width="13.50390625" style="906" customWidth="1"/>
    <col min="15" max="15" width="12.50390625" style="906" customWidth="1"/>
    <col min="16" max="16" width="13.625" style="906" customWidth="1"/>
    <col min="17" max="17" width="14.375" style="906" bestFit="1" customWidth="1"/>
    <col min="18" max="18" width="16.875" style="1275" bestFit="1" customWidth="1"/>
    <col min="19" max="21" width="13.625" style="906" customWidth="1"/>
    <col min="22" max="16384" width="9.375" style="906" customWidth="1"/>
  </cols>
  <sheetData>
    <row r="1" ht="12.75">
      <c r="R1" s="1276" t="s">
        <v>1139</v>
      </c>
    </row>
    <row r="2" ht="12.75">
      <c r="R2" s="1276"/>
    </row>
    <row r="3" spans="4:18" ht="12.75">
      <c r="D3" s="1441" t="s">
        <v>1109</v>
      </c>
      <c r="E3" s="1437"/>
      <c r="F3" s="1437"/>
      <c r="G3" s="1437"/>
      <c r="H3" s="1437"/>
      <c r="I3" s="1437"/>
      <c r="J3" s="1437"/>
      <c r="K3" s="1437"/>
      <c r="L3" s="1437"/>
      <c r="M3" s="1437"/>
      <c r="N3" s="1437"/>
      <c r="O3" s="1437"/>
      <c r="R3" s="1276"/>
    </row>
    <row r="4" spans="4:18" ht="12.75"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  <c r="O4" s="1437"/>
      <c r="R4" s="1276"/>
    </row>
    <row r="7" spans="1:22" ht="12.75">
      <c r="A7" s="1230" t="s">
        <v>49</v>
      </c>
      <c r="B7" s="1277" t="s">
        <v>797</v>
      </c>
      <c r="C7" s="1278"/>
      <c r="D7" s="1232" t="s">
        <v>798</v>
      </c>
      <c r="E7" s="1279"/>
      <c r="F7" s="1279"/>
      <c r="G7" s="1279"/>
      <c r="H7" s="1235" t="s">
        <v>799</v>
      </c>
      <c r="I7" s="1235" t="s">
        <v>800</v>
      </c>
      <c r="J7" s="1280" t="s">
        <v>801</v>
      </c>
      <c r="K7" s="1232" t="s">
        <v>802</v>
      </c>
      <c r="L7" s="1281"/>
      <c r="M7" s="1282" t="s">
        <v>801</v>
      </c>
      <c r="N7" s="1283" t="s">
        <v>803</v>
      </c>
      <c r="O7" s="1284" t="s">
        <v>804</v>
      </c>
      <c r="P7" s="1284" t="s">
        <v>769</v>
      </c>
      <c r="Q7" s="1285" t="s">
        <v>805</v>
      </c>
      <c r="R7" s="1280" t="s">
        <v>806</v>
      </c>
      <c r="S7" s="1286"/>
      <c r="T7" s="1286"/>
      <c r="U7" s="1286"/>
      <c r="V7" s="1286"/>
    </row>
    <row r="8" spans="1:22" ht="12.75">
      <c r="A8" s="681"/>
      <c r="B8" s="1439" t="s">
        <v>807</v>
      </c>
      <c r="C8" s="1440"/>
      <c r="D8" s="1287" t="s">
        <v>808</v>
      </c>
      <c r="E8" s="1288" t="s">
        <v>809</v>
      </c>
      <c r="F8" s="1289"/>
      <c r="G8" s="1290"/>
      <c r="H8" s="1240" t="s">
        <v>810</v>
      </c>
      <c r="I8" s="1240" t="s">
        <v>811</v>
      </c>
      <c r="J8" s="694" t="s">
        <v>812</v>
      </c>
      <c r="K8" s="1291" t="s">
        <v>503</v>
      </c>
      <c r="L8" s="972" t="s">
        <v>813</v>
      </c>
      <c r="M8" s="1292" t="s">
        <v>812</v>
      </c>
      <c r="N8" s="1287" t="s">
        <v>814</v>
      </c>
      <c r="O8" s="1293" t="s">
        <v>815</v>
      </c>
      <c r="P8" s="1293" t="s">
        <v>816</v>
      </c>
      <c r="Q8" s="1292" t="s">
        <v>817</v>
      </c>
      <c r="R8" s="694" t="s">
        <v>818</v>
      </c>
      <c r="S8" s="1286"/>
      <c r="T8" s="1286"/>
      <c r="U8" s="1286"/>
      <c r="V8" s="1286"/>
    </row>
    <row r="9" spans="1:22" ht="12.75">
      <c r="A9" s="681"/>
      <c r="B9" s="1237" t="s">
        <v>819</v>
      </c>
      <c r="C9" s="1294" t="s">
        <v>820</v>
      </c>
      <c r="D9" s="1287" t="s">
        <v>821</v>
      </c>
      <c r="E9" s="1238" t="s">
        <v>822</v>
      </c>
      <c r="F9" s="1238" t="s">
        <v>823</v>
      </c>
      <c r="G9" s="1238" t="s">
        <v>824</v>
      </c>
      <c r="H9" s="1240" t="s">
        <v>814</v>
      </c>
      <c r="I9" s="1240" t="s">
        <v>825</v>
      </c>
      <c r="J9" s="694" t="s">
        <v>826</v>
      </c>
      <c r="K9" s="1291"/>
      <c r="L9" s="972" t="s">
        <v>827</v>
      </c>
      <c r="M9" s="1292" t="s">
        <v>826</v>
      </c>
      <c r="N9" s="908"/>
      <c r="O9" s="1295"/>
      <c r="P9" s="1293" t="s">
        <v>828</v>
      </c>
      <c r="Q9" s="1292" t="s">
        <v>829</v>
      </c>
      <c r="R9" s="694" t="s">
        <v>793</v>
      </c>
      <c r="S9" s="1286"/>
      <c r="T9" s="1286"/>
      <c r="U9" s="1286"/>
      <c r="V9" s="1286"/>
    </row>
    <row r="10" spans="1:22" ht="12.75">
      <c r="A10" s="681"/>
      <c r="B10" s="1237" t="s">
        <v>830</v>
      </c>
      <c r="C10" s="1294" t="s">
        <v>830</v>
      </c>
      <c r="D10" s="1237"/>
      <c r="E10" s="1238" t="s">
        <v>831</v>
      </c>
      <c r="F10" s="1238" t="s">
        <v>832</v>
      </c>
      <c r="G10" s="1239" t="s">
        <v>833</v>
      </c>
      <c r="H10" s="1240"/>
      <c r="I10" s="1240" t="s">
        <v>814</v>
      </c>
      <c r="J10" s="694" t="s">
        <v>834</v>
      </c>
      <c r="K10" s="1291"/>
      <c r="L10" s="972"/>
      <c r="M10" s="1292" t="s">
        <v>835</v>
      </c>
      <c r="N10" s="1237"/>
      <c r="O10" s="972"/>
      <c r="P10" s="1293"/>
      <c r="Q10" s="1236"/>
      <c r="R10" s="1296"/>
      <c r="S10" s="1286"/>
      <c r="T10" s="1286"/>
      <c r="U10" s="1286"/>
      <c r="V10" s="1286"/>
    </row>
    <row r="11" spans="1:22" ht="12.75">
      <c r="A11" s="681"/>
      <c r="B11" s="1237"/>
      <c r="C11" s="1294"/>
      <c r="D11" s="1237"/>
      <c r="E11" s="1238" t="s">
        <v>836</v>
      </c>
      <c r="F11" s="1238" t="s">
        <v>837</v>
      </c>
      <c r="G11" s="1239" t="s">
        <v>838</v>
      </c>
      <c r="H11" s="681"/>
      <c r="I11" s="681"/>
      <c r="J11" s="694" t="s">
        <v>814</v>
      </c>
      <c r="K11" s="1291"/>
      <c r="L11" s="972"/>
      <c r="M11" s="1292" t="s">
        <v>814</v>
      </c>
      <c r="N11" s="1237"/>
      <c r="O11" s="972"/>
      <c r="P11" s="1295"/>
      <c r="Q11" s="1236"/>
      <c r="R11" s="1296"/>
      <c r="S11" s="1286"/>
      <c r="T11" s="1286"/>
      <c r="U11" s="1286"/>
      <c r="V11" s="1286"/>
    </row>
    <row r="12" spans="1:22" ht="12.75">
      <c r="A12" s="682"/>
      <c r="B12" s="1242"/>
      <c r="C12" s="1297"/>
      <c r="D12" s="1242"/>
      <c r="E12" s="1298" t="s">
        <v>839</v>
      </c>
      <c r="F12" s="1243" t="s">
        <v>840</v>
      </c>
      <c r="G12" s="1244"/>
      <c r="H12" s="1299"/>
      <c r="I12" s="682"/>
      <c r="J12" s="695" t="s">
        <v>793</v>
      </c>
      <c r="K12" s="1300"/>
      <c r="L12" s="1298"/>
      <c r="M12" s="1301" t="s">
        <v>793</v>
      </c>
      <c r="N12" s="1242"/>
      <c r="O12" s="1298"/>
      <c r="P12" s="1298"/>
      <c r="Q12" s="1241"/>
      <c r="R12" s="1302"/>
      <c r="S12" s="1286"/>
      <c r="T12" s="1286"/>
      <c r="U12" s="1286"/>
      <c r="V12" s="1286"/>
    </row>
    <row r="13" spans="1:18" ht="34.5" customHeight="1">
      <c r="A13" s="683" t="s">
        <v>586</v>
      </c>
      <c r="B13" s="1303">
        <v>1182634284</v>
      </c>
      <c r="C13" s="1304">
        <v>827282638</v>
      </c>
      <c r="D13" s="1303">
        <v>7059245</v>
      </c>
      <c r="E13" s="1305">
        <v>784442190</v>
      </c>
      <c r="F13" s="1306">
        <v>31028872</v>
      </c>
      <c r="G13" s="1307">
        <v>4752331</v>
      </c>
      <c r="H13" s="1308">
        <v>5130000</v>
      </c>
      <c r="I13" s="1308">
        <v>0</v>
      </c>
      <c r="J13" s="1304">
        <v>832412638</v>
      </c>
      <c r="K13" s="1303">
        <v>0</v>
      </c>
      <c r="L13" s="1305">
        <v>0</v>
      </c>
      <c r="M13" s="1304">
        <v>0</v>
      </c>
      <c r="N13" s="1305">
        <v>155456660</v>
      </c>
      <c r="O13" s="1305">
        <v>45060243</v>
      </c>
      <c r="P13" s="1305">
        <v>-351680</v>
      </c>
      <c r="Q13" s="684">
        <v>0</v>
      </c>
      <c r="R13" s="1308">
        <v>1032577861</v>
      </c>
    </row>
    <row r="14" spans="1:18" s="1255" customFormat="1" ht="30" customHeight="1">
      <c r="A14" s="685" t="s">
        <v>585</v>
      </c>
      <c r="B14" s="930">
        <v>1146989</v>
      </c>
      <c r="C14" s="697">
        <v>18246</v>
      </c>
      <c r="D14" s="930">
        <v>18246</v>
      </c>
      <c r="E14" s="935">
        <v>0</v>
      </c>
      <c r="F14" s="936">
        <v>0</v>
      </c>
      <c r="G14" s="697">
        <v>0</v>
      </c>
      <c r="H14" s="1252">
        <v>0</v>
      </c>
      <c r="I14" s="1252">
        <v>0</v>
      </c>
      <c r="J14" s="697">
        <v>18246</v>
      </c>
      <c r="K14" s="930">
        <v>534469</v>
      </c>
      <c r="L14" s="935">
        <v>0</v>
      </c>
      <c r="M14" s="697">
        <v>0</v>
      </c>
      <c r="N14" s="935">
        <v>1033685</v>
      </c>
      <c r="O14" s="935">
        <v>1571532</v>
      </c>
      <c r="P14" s="935">
        <v>2437445</v>
      </c>
      <c r="Q14" s="686">
        <v>0</v>
      </c>
      <c r="R14" s="1252">
        <v>5595377</v>
      </c>
    </row>
    <row r="15" spans="1:18" ht="30.75" customHeight="1">
      <c r="A15" s="685" t="s">
        <v>587</v>
      </c>
      <c r="B15" s="1256">
        <v>539705</v>
      </c>
      <c r="C15" s="1309">
        <v>0</v>
      </c>
      <c r="D15" s="1256">
        <v>0</v>
      </c>
      <c r="E15" s="1310">
        <v>0</v>
      </c>
      <c r="F15" s="1257">
        <v>0</v>
      </c>
      <c r="G15" s="1165">
        <v>0</v>
      </c>
      <c r="H15" s="1258">
        <v>0</v>
      </c>
      <c r="I15" s="1258">
        <v>0</v>
      </c>
      <c r="J15" s="1309">
        <v>0</v>
      </c>
      <c r="K15" s="1256">
        <v>0</v>
      </c>
      <c r="L15" s="1310">
        <v>0</v>
      </c>
      <c r="M15" s="1309">
        <v>0</v>
      </c>
      <c r="N15" s="1310">
        <v>179667</v>
      </c>
      <c r="O15" s="1310">
        <v>101306</v>
      </c>
      <c r="P15" s="1310">
        <v>0</v>
      </c>
      <c r="Q15" s="1164">
        <v>0</v>
      </c>
      <c r="R15" s="1258">
        <v>280973</v>
      </c>
    </row>
    <row r="16" spans="1:18" s="1260" customFormat="1" ht="15" customHeight="1">
      <c r="A16" s="687"/>
      <c r="B16" s="938"/>
      <c r="C16" s="1311"/>
      <c r="D16" s="938"/>
      <c r="E16" s="1312"/>
      <c r="F16" s="1261"/>
      <c r="G16" s="698"/>
      <c r="H16" s="1263"/>
      <c r="I16" s="1263"/>
      <c r="J16" s="1311"/>
      <c r="K16" s="938"/>
      <c r="L16" s="1312"/>
      <c r="M16" s="1311"/>
      <c r="N16" s="1312"/>
      <c r="O16" s="1312"/>
      <c r="P16" s="1312"/>
      <c r="Q16" s="688"/>
      <c r="R16" s="1263"/>
    </row>
    <row r="17" spans="1:18" s="1260" customFormat="1" ht="15" customHeight="1" thickBot="1">
      <c r="A17" s="687"/>
      <c r="B17" s="938"/>
      <c r="C17" s="1311"/>
      <c r="D17" s="938"/>
      <c r="E17" s="1312"/>
      <c r="F17" s="1261"/>
      <c r="G17" s="698"/>
      <c r="H17" s="1263"/>
      <c r="I17" s="1263"/>
      <c r="J17" s="1311"/>
      <c r="K17" s="938"/>
      <c r="L17" s="1312"/>
      <c r="M17" s="1311"/>
      <c r="N17" s="1312"/>
      <c r="O17" s="1312"/>
      <c r="P17" s="1312"/>
      <c r="Q17" s="688"/>
      <c r="R17" s="1263"/>
    </row>
    <row r="18" spans="1:18" s="1265" customFormat="1" ht="15" customHeight="1" hidden="1">
      <c r="A18" s="687"/>
      <c r="B18" s="938"/>
      <c r="C18" s="1311"/>
      <c r="D18" s="938"/>
      <c r="E18" s="1312"/>
      <c r="F18" s="1261"/>
      <c r="G18" s="698"/>
      <c r="H18" s="1263"/>
      <c r="I18" s="1263"/>
      <c r="J18" s="1311"/>
      <c r="K18" s="938"/>
      <c r="L18" s="1312"/>
      <c r="M18" s="1311"/>
      <c r="N18" s="1312"/>
      <c r="O18" s="1312"/>
      <c r="P18" s="1312"/>
      <c r="Q18" s="688"/>
      <c r="R18" s="1263"/>
    </row>
    <row r="19" spans="1:18" s="1265" customFormat="1" ht="15" customHeight="1" hidden="1">
      <c r="A19" s="687"/>
      <c r="B19" s="938"/>
      <c r="C19" s="1311"/>
      <c r="D19" s="938"/>
      <c r="E19" s="1312"/>
      <c r="F19" s="1261"/>
      <c r="G19" s="698"/>
      <c r="H19" s="1263"/>
      <c r="I19" s="1263"/>
      <c r="J19" s="1311"/>
      <c r="K19" s="938"/>
      <c r="L19" s="1312"/>
      <c r="M19" s="1311"/>
      <c r="N19" s="1312"/>
      <c r="O19" s="1312"/>
      <c r="P19" s="1312"/>
      <c r="Q19" s="688"/>
      <c r="R19" s="1263"/>
    </row>
    <row r="20" spans="1:18" s="1265" customFormat="1" ht="15" customHeight="1" hidden="1">
      <c r="A20" s="687"/>
      <c r="B20" s="938"/>
      <c r="C20" s="1311"/>
      <c r="D20" s="938"/>
      <c r="E20" s="1312"/>
      <c r="F20" s="1261"/>
      <c r="G20" s="698"/>
      <c r="H20" s="1263"/>
      <c r="I20" s="1263"/>
      <c r="J20" s="1311"/>
      <c r="K20" s="938"/>
      <c r="L20" s="1312"/>
      <c r="M20" s="1311"/>
      <c r="N20" s="1312"/>
      <c r="O20" s="1312"/>
      <c r="P20" s="1312"/>
      <c r="Q20" s="688"/>
      <c r="R20" s="1263"/>
    </row>
    <row r="21" spans="1:18" s="1265" customFormat="1" ht="15" customHeight="1" hidden="1">
      <c r="A21" s="689"/>
      <c r="B21" s="938"/>
      <c r="C21" s="1311"/>
      <c r="D21" s="938"/>
      <c r="E21" s="1312"/>
      <c r="F21" s="1261"/>
      <c r="G21" s="698"/>
      <c r="H21" s="1263"/>
      <c r="I21" s="1263"/>
      <c r="J21" s="1311"/>
      <c r="K21" s="938"/>
      <c r="L21" s="1312"/>
      <c r="M21" s="1311"/>
      <c r="N21" s="1312"/>
      <c r="O21" s="1312"/>
      <c r="P21" s="1312"/>
      <c r="Q21" s="688"/>
      <c r="R21" s="1263"/>
    </row>
    <row r="22" spans="1:18" s="1265" customFormat="1" ht="15" customHeight="1" hidden="1">
      <c r="A22" s="690"/>
      <c r="B22" s="938"/>
      <c r="C22" s="698"/>
      <c r="D22" s="938"/>
      <c r="E22" s="1312"/>
      <c r="F22" s="1261"/>
      <c r="G22" s="698"/>
      <c r="H22" s="1263"/>
      <c r="I22" s="1263"/>
      <c r="J22" s="698"/>
      <c r="K22" s="938"/>
      <c r="L22" s="1312"/>
      <c r="M22" s="698"/>
      <c r="N22" s="1312"/>
      <c r="O22" s="1312"/>
      <c r="P22" s="1312"/>
      <c r="Q22" s="688"/>
      <c r="R22" s="1263"/>
    </row>
    <row r="23" spans="1:18" s="1255" customFormat="1" ht="15" customHeight="1" hidden="1">
      <c r="A23" s="685"/>
      <c r="B23" s="930"/>
      <c r="C23" s="697"/>
      <c r="D23" s="930"/>
      <c r="E23" s="935"/>
      <c r="F23" s="936"/>
      <c r="G23" s="697"/>
      <c r="H23" s="1252"/>
      <c r="I23" s="1252"/>
      <c r="J23" s="697"/>
      <c r="K23" s="930"/>
      <c r="L23" s="935"/>
      <c r="M23" s="697"/>
      <c r="N23" s="935"/>
      <c r="O23" s="935"/>
      <c r="P23" s="935"/>
      <c r="Q23" s="686"/>
      <c r="R23" s="1252"/>
    </row>
    <row r="24" spans="1:18" s="1255" customFormat="1" ht="15" customHeight="1" hidden="1">
      <c r="A24" s="691"/>
      <c r="B24" s="1266"/>
      <c r="C24" s="697"/>
      <c r="D24" s="1266"/>
      <c r="E24" s="1313"/>
      <c r="F24" s="1267"/>
      <c r="G24" s="699"/>
      <c r="H24" s="1252"/>
      <c r="I24" s="1268"/>
      <c r="J24" s="697"/>
      <c r="K24" s="1266"/>
      <c r="L24" s="935"/>
      <c r="M24" s="697"/>
      <c r="N24" s="1313"/>
      <c r="O24" s="1313"/>
      <c r="P24" s="1313"/>
      <c r="Q24" s="686"/>
      <c r="R24" s="1252"/>
    </row>
    <row r="25" spans="1:18" s="1255" customFormat="1" ht="15" customHeight="1" hidden="1">
      <c r="A25" s="691"/>
      <c r="B25" s="1266"/>
      <c r="C25" s="697"/>
      <c r="D25" s="1266"/>
      <c r="E25" s="1313"/>
      <c r="F25" s="1267"/>
      <c r="G25" s="699"/>
      <c r="H25" s="1252"/>
      <c r="I25" s="1268"/>
      <c r="J25" s="697"/>
      <c r="K25" s="1266"/>
      <c r="L25" s="935"/>
      <c r="M25" s="697"/>
      <c r="N25" s="1313"/>
      <c r="O25" s="1313"/>
      <c r="P25" s="1313"/>
      <c r="Q25" s="686"/>
      <c r="R25" s="1252"/>
    </row>
    <row r="26" spans="1:18" ht="15" customHeight="1" hidden="1" thickBot="1">
      <c r="A26" s="691"/>
      <c r="B26" s="1266"/>
      <c r="C26" s="1314"/>
      <c r="D26" s="1266"/>
      <c r="E26" s="1313"/>
      <c r="F26" s="1267"/>
      <c r="G26" s="699"/>
      <c r="H26" s="1268"/>
      <c r="I26" s="1268"/>
      <c r="J26" s="1314"/>
      <c r="K26" s="1266"/>
      <c r="L26" s="1313"/>
      <c r="M26" s="1314"/>
      <c r="N26" s="1313"/>
      <c r="O26" s="1313"/>
      <c r="P26" s="1313"/>
      <c r="Q26" s="692"/>
      <c r="R26" s="1315"/>
    </row>
    <row r="27" spans="1:18" s="1286" customFormat="1" ht="15" customHeight="1" hidden="1" thickTop="1">
      <c r="A27" s="1270" t="s">
        <v>38</v>
      </c>
      <c r="B27" s="1190"/>
      <c r="C27" s="1273"/>
      <c r="D27" s="1316"/>
      <c r="E27" s="1317"/>
      <c r="F27" s="960"/>
      <c r="G27" s="1318"/>
      <c r="H27" s="1319"/>
      <c r="I27" s="1319"/>
      <c r="J27" s="1273"/>
      <c r="K27" s="1190"/>
      <c r="L27" s="1320"/>
      <c r="M27" s="1273"/>
      <c r="N27" s="1320"/>
      <c r="O27" s="1320"/>
      <c r="P27" s="1320"/>
      <c r="Q27" s="1321"/>
      <c r="R27" s="1272"/>
    </row>
    <row r="28" spans="1:18" s="1255" customFormat="1" ht="15" customHeight="1" hidden="1" thickBot="1">
      <c r="A28" s="685"/>
      <c r="B28" s="930"/>
      <c r="C28" s="1304"/>
      <c r="D28" s="930"/>
      <c r="E28" s="935"/>
      <c r="F28" s="936"/>
      <c r="G28" s="697"/>
      <c r="H28" s="1252"/>
      <c r="I28" s="1252"/>
      <c r="J28" s="1304"/>
      <c r="K28" s="930"/>
      <c r="L28" s="935"/>
      <c r="M28" s="1304"/>
      <c r="N28" s="935"/>
      <c r="O28" s="935"/>
      <c r="P28" s="935"/>
      <c r="Q28" s="686"/>
      <c r="R28" s="1308"/>
    </row>
    <row r="29" spans="1:18" s="1286" customFormat="1" ht="15" customHeight="1" thickTop="1">
      <c r="A29" s="1270" t="s">
        <v>796</v>
      </c>
      <c r="B29" s="1190">
        <f>SUM(B13:B28)</f>
        <v>1184320978</v>
      </c>
      <c r="C29" s="1190">
        <f aca="true" t="shared" si="0" ref="C29:R29">SUM(C13:C28)</f>
        <v>827300884</v>
      </c>
      <c r="D29" s="1190">
        <f t="shared" si="0"/>
        <v>7077491</v>
      </c>
      <c r="E29" s="1190">
        <f t="shared" si="0"/>
        <v>784442190</v>
      </c>
      <c r="F29" s="1190">
        <f t="shared" si="0"/>
        <v>31028872</v>
      </c>
      <c r="G29" s="1190">
        <f t="shared" si="0"/>
        <v>4752331</v>
      </c>
      <c r="H29" s="1190">
        <f t="shared" si="0"/>
        <v>5130000</v>
      </c>
      <c r="I29" s="1190">
        <f t="shared" si="0"/>
        <v>0</v>
      </c>
      <c r="J29" s="1190">
        <f t="shared" si="0"/>
        <v>832430884</v>
      </c>
      <c r="K29" s="1190">
        <f t="shared" si="0"/>
        <v>534469</v>
      </c>
      <c r="L29" s="1190">
        <f t="shared" si="0"/>
        <v>0</v>
      </c>
      <c r="M29" s="1190">
        <f t="shared" si="0"/>
        <v>0</v>
      </c>
      <c r="N29" s="1190">
        <f t="shared" si="0"/>
        <v>156670012</v>
      </c>
      <c r="O29" s="1190">
        <f t="shared" si="0"/>
        <v>46733081</v>
      </c>
      <c r="P29" s="1190">
        <f t="shared" si="0"/>
        <v>2085765</v>
      </c>
      <c r="Q29" s="1190">
        <f t="shared" si="0"/>
        <v>0</v>
      </c>
      <c r="R29" s="1190">
        <f t="shared" si="0"/>
        <v>1038454211</v>
      </c>
    </row>
    <row r="30" spans="10:18" s="1229" customFormat="1" ht="12.75">
      <c r="J30" s="1274"/>
      <c r="M30" s="1274"/>
      <c r="R30" s="1274"/>
    </row>
    <row r="31" spans="10:18" s="1229" customFormat="1" ht="12.75">
      <c r="J31" s="1274"/>
      <c r="M31" s="1274"/>
      <c r="R31" s="1274"/>
    </row>
    <row r="32" spans="10:18" s="1229" customFormat="1" ht="12.75">
      <c r="J32" s="1274"/>
      <c r="M32" s="1274"/>
      <c r="R32" s="1274"/>
    </row>
    <row r="33" spans="10:18" s="1229" customFormat="1" ht="12.75">
      <c r="J33" s="1274"/>
      <c r="M33" s="1274"/>
      <c r="R33" s="1274"/>
    </row>
    <row r="34" spans="10:18" s="1229" customFormat="1" ht="12.75">
      <c r="J34" s="1274"/>
      <c r="M34" s="1274"/>
      <c r="R34" s="1274"/>
    </row>
    <row r="35" spans="10:18" s="1229" customFormat="1" ht="12.75">
      <c r="J35" s="1274"/>
      <c r="M35" s="1274"/>
      <c r="R35" s="1274"/>
    </row>
    <row r="36" spans="10:18" s="1229" customFormat="1" ht="12.75">
      <c r="J36" s="1274"/>
      <c r="M36" s="1274"/>
      <c r="R36" s="1274"/>
    </row>
    <row r="37" spans="10:18" s="1229" customFormat="1" ht="12.75">
      <c r="J37" s="1274"/>
      <c r="M37" s="1274"/>
      <c r="R37" s="1274"/>
    </row>
    <row r="38" spans="10:18" s="1229" customFormat="1" ht="12.75">
      <c r="J38" s="1274"/>
      <c r="M38" s="1274"/>
      <c r="R38" s="1274"/>
    </row>
    <row r="39" spans="10:18" s="1229" customFormat="1" ht="12.75">
      <c r="J39" s="1274"/>
      <c r="M39" s="1274"/>
      <c r="R39" s="1274"/>
    </row>
    <row r="40" spans="10:18" s="1229" customFormat="1" ht="12.75">
      <c r="J40" s="1274"/>
      <c r="M40" s="1274"/>
      <c r="R40" s="1274"/>
    </row>
    <row r="41" spans="10:18" s="1229" customFormat="1" ht="12.75">
      <c r="J41" s="1274"/>
      <c r="M41" s="1274"/>
      <c r="R41" s="1274"/>
    </row>
    <row r="42" spans="10:18" s="1229" customFormat="1" ht="12.75">
      <c r="J42" s="1274"/>
      <c r="M42" s="1274"/>
      <c r="R42" s="1274"/>
    </row>
    <row r="43" spans="10:18" s="1229" customFormat="1" ht="12.75">
      <c r="J43" s="1274"/>
      <c r="M43" s="1274"/>
      <c r="R43" s="1274"/>
    </row>
    <row r="44" spans="10:18" s="1229" customFormat="1" ht="12.75">
      <c r="J44" s="1274"/>
      <c r="M44" s="1274"/>
      <c r="R44" s="1274"/>
    </row>
    <row r="45" spans="10:18" s="1229" customFormat="1" ht="12.75">
      <c r="J45" s="1274"/>
      <c r="M45" s="1274"/>
      <c r="R45" s="1274"/>
    </row>
    <row r="46" spans="10:18" s="1229" customFormat="1" ht="12.75">
      <c r="J46" s="1274"/>
      <c r="M46" s="1274"/>
      <c r="R46" s="1274"/>
    </row>
    <row r="47" spans="10:18" s="1229" customFormat="1" ht="12.75">
      <c r="J47" s="1274"/>
      <c r="M47" s="1274"/>
      <c r="R47" s="1274"/>
    </row>
    <row r="48" spans="10:18" s="1229" customFormat="1" ht="12.75">
      <c r="J48" s="1274"/>
      <c r="M48" s="1274"/>
      <c r="R48" s="1274"/>
    </row>
    <row r="49" spans="10:18" s="1229" customFormat="1" ht="12.75">
      <c r="J49" s="1274"/>
      <c r="M49" s="1274"/>
      <c r="R49" s="1274"/>
    </row>
    <row r="50" spans="10:18" s="1229" customFormat="1" ht="12.75">
      <c r="J50" s="1274"/>
      <c r="M50" s="1274"/>
      <c r="R50" s="1274"/>
    </row>
    <row r="51" spans="10:18" s="1229" customFormat="1" ht="12.75">
      <c r="J51" s="1274"/>
      <c r="M51" s="1274"/>
      <c r="R51" s="1274"/>
    </row>
    <row r="52" spans="10:18" s="1229" customFormat="1" ht="12.75">
      <c r="J52" s="1274"/>
      <c r="M52" s="1274"/>
      <c r="R52" s="1274"/>
    </row>
    <row r="53" spans="10:18" s="1229" customFormat="1" ht="12.75">
      <c r="J53" s="1274"/>
      <c r="M53" s="1274"/>
      <c r="R53" s="1274"/>
    </row>
    <row r="54" spans="10:18" s="1229" customFormat="1" ht="12.75">
      <c r="J54" s="1274"/>
      <c r="M54" s="1274"/>
      <c r="R54" s="1274"/>
    </row>
    <row r="55" spans="10:18" s="1229" customFormat="1" ht="12.75">
      <c r="J55" s="1274"/>
      <c r="M55" s="1274"/>
      <c r="R55" s="1274"/>
    </row>
    <row r="56" spans="10:18" s="1229" customFormat="1" ht="12.75">
      <c r="J56" s="1274"/>
      <c r="M56" s="1274"/>
      <c r="R56" s="1274"/>
    </row>
    <row r="57" spans="10:18" s="1229" customFormat="1" ht="12.75">
      <c r="J57" s="1274"/>
      <c r="M57" s="1274"/>
      <c r="R57" s="1274"/>
    </row>
    <row r="58" spans="10:18" s="1229" customFormat="1" ht="12.75">
      <c r="J58" s="1274"/>
      <c r="M58" s="1274"/>
      <c r="R58" s="1274"/>
    </row>
    <row r="59" spans="10:18" s="1229" customFormat="1" ht="12.75">
      <c r="J59" s="1274"/>
      <c r="M59" s="1274"/>
      <c r="R59" s="1274"/>
    </row>
    <row r="60" spans="10:18" s="1229" customFormat="1" ht="12.75">
      <c r="J60" s="1274"/>
      <c r="M60" s="1274"/>
      <c r="R60" s="1274"/>
    </row>
    <row r="61" spans="10:18" s="1229" customFormat="1" ht="12.75">
      <c r="J61" s="1274"/>
      <c r="M61" s="1274"/>
      <c r="R61" s="1274"/>
    </row>
    <row r="62" spans="10:18" s="1229" customFormat="1" ht="12.75">
      <c r="J62" s="1274"/>
      <c r="M62" s="1274"/>
      <c r="R62" s="1274"/>
    </row>
    <row r="63" spans="10:18" s="1229" customFormat="1" ht="12.75">
      <c r="J63" s="1274"/>
      <c r="M63" s="1274"/>
      <c r="R63" s="1274"/>
    </row>
    <row r="64" spans="10:18" s="1229" customFormat="1" ht="12.75">
      <c r="J64" s="1274"/>
      <c r="M64" s="1274"/>
      <c r="R64" s="1274"/>
    </row>
    <row r="65" spans="10:18" s="1229" customFormat="1" ht="12.75">
      <c r="J65" s="1274"/>
      <c r="M65" s="1274"/>
      <c r="R65" s="1274"/>
    </row>
    <row r="66" spans="10:18" s="1229" customFormat="1" ht="12.75">
      <c r="J66" s="1274"/>
      <c r="M66" s="1274"/>
      <c r="R66" s="1274"/>
    </row>
    <row r="67" spans="10:18" s="1229" customFormat="1" ht="12.75">
      <c r="J67" s="1274"/>
      <c r="M67" s="1274"/>
      <c r="R67" s="1274"/>
    </row>
    <row r="68" spans="10:18" s="1229" customFormat="1" ht="12.75">
      <c r="J68" s="1274"/>
      <c r="M68" s="1274"/>
      <c r="R68" s="1274"/>
    </row>
    <row r="69" spans="10:18" s="1229" customFormat="1" ht="12.75">
      <c r="J69" s="1274"/>
      <c r="M69" s="1274"/>
      <c r="R69" s="1274"/>
    </row>
    <row r="70" spans="10:18" s="1229" customFormat="1" ht="12.75">
      <c r="J70" s="1274"/>
      <c r="M70" s="1274"/>
      <c r="R70" s="1274"/>
    </row>
    <row r="71" spans="10:18" s="1229" customFormat="1" ht="12.75">
      <c r="J71" s="1274"/>
      <c r="M71" s="1274"/>
      <c r="R71" s="1274"/>
    </row>
    <row r="72" spans="10:18" s="1229" customFormat="1" ht="12.75">
      <c r="J72" s="1274"/>
      <c r="M72" s="1274"/>
      <c r="R72" s="1274"/>
    </row>
    <row r="73" spans="10:18" s="1229" customFormat="1" ht="12.75">
      <c r="J73" s="1274"/>
      <c r="M73" s="1274"/>
      <c r="R73" s="1274"/>
    </row>
    <row r="74" spans="10:18" s="1229" customFormat="1" ht="12.75">
      <c r="J74" s="1274"/>
      <c r="M74" s="1274"/>
      <c r="R74" s="1274"/>
    </row>
    <row r="75" spans="10:18" s="1229" customFormat="1" ht="12.75">
      <c r="J75" s="1274"/>
      <c r="M75" s="1274"/>
      <c r="R75" s="1274"/>
    </row>
    <row r="76" spans="10:18" s="1229" customFormat="1" ht="12.75">
      <c r="J76" s="1274"/>
      <c r="M76" s="1274"/>
      <c r="R76" s="1274"/>
    </row>
    <row r="77" spans="10:18" s="1229" customFormat="1" ht="12.75">
      <c r="J77" s="1274"/>
      <c r="M77" s="1274"/>
      <c r="R77" s="1274"/>
    </row>
    <row r="78" spans="10:18" s="1229" customFormat="1" ht="12.75">
      <c r="J78" s="1274"/>
      <c r="M78" s="1274"/>
      <c r="R78" s="1274"/>
    </row>
    <row r="79" spans="10:18" s="1229" customFormat="1" ht="12.75">
      <c r="J79" s="1274"/>
      <c r="M79" s="1274"/>
      <c r="R79" s="1274"/>
    </row>
    <row r="80" spans="10:18" s="1229" customFormat="1" ht="12.75">
      <c r="J80" s="1274"/>
      <c r="M80" s="1274"/>
      <c r="R80" s="1274"/>
    </row>
    <row r="81" spans="10:18" s="1229" customFormat="1" ht="12.75">
      <c r="J81" s="1274"/>
      <c r="M81" s="1274"/>
      <c r="R81" s="1274"/>
    </row>
    <row r="82" spans="10:18" s="1229" customFormat="1" ht="12.75">
      <c r="J82" s="1274"/>
      <c r="M82" s="1274"/>
      <c r="R82" s="1274"/>
    </row>
    <row r="83" spans="10:18" s="1229" customFormat="1" ht="12.75">
      <c r="J83" s="1274"/>
      <c r="M83" s="1274"/>
      <c r="R83" s="1274"/>
    </row>
    <row r="84" spans="10:18" s="1229" customFormat="1" ht="12.75">
      <c r="J84" s="1274"/>
      <c r="M84" s="1274"/>
      <c r="R84" s="1274"/>
    </row>
    <row r="85" spans="10:18" s="1229" customFormat="1" ht="12.75">
      <c r="J85" s="1274"/>
      <c r="M85" s="1274"/>
      <c r="R85" s="1274"/>
    </row>
    <row r="86" spans="10:18" s="1229" customFormat="1" ht="12.75">
      <c r="J86" s="1274"/>
      <c r="M86" s="1274"/>
      <c r="R86" s="1274"/>
    </row>
    <row r="87" spans="10:18" s="1229" customFormat="1" ht="12.75">
      <c r="J87" s="1274"/>
      <c r="M87" s="1274"/>
      <c r="R87" s="1274"/>
    </row>
    <row r="88" spans="10:18" s="1229" customFormat="1" ht="12.75">
      <c r="J88" s="1274"/>
      <c r="M88" s="1274"/>
      <c r="R88" s="1274"/>
    </row>
    <row r="89" spans="10:18" s="1229" customFormat="1" ht="12.75">
      <c r="J89" s="1274"/>
      <c r="M89" s="1274"/>
      <c r="R89" s="1274"/>
    </row>
    <row r="90" spans="10:18" s="1229" customFormat="1" ht="12.75">
      <c r="J90" s="1274"/>
      <c r="M90" s="1274"/>
      <c r="R90" s="1274"/>
    </row>
    <row r="91" spans="10:18" s="1229" customFormat="1" ht="12.75">
      <c r="J91" s="1274"/>
      <c r="M91" s="1274"/>
      <c r="R91" s="1274"/>
    </row>
    <row r="92" spans="10:18" s="1229" customFormat="1" ht="12.75">
      <c r="J92" s="1274"/>
      <c r="M92" s="1274"/>
      <c r="R92" s="1274"/>
    </row>
    <row r="93" spans="10:18" s="1229" customFormat="1" ht="12.75">
      <c r="J93" s="1274"/>
      <c r="M93" s="1274"/>
      <c r="R93" s="1274"/>
    </row>
    <row r="94" spans="10:18" s="1229" customFormat="1" ht="12.75">
      <c r="J94" s="1274"/>
      <c r="M94" s="1274"/>
      <c r="R94" s="1274"/>
    </row>
    <row r="95" spans="10:18" s="1229" customFormat="1" ht="12.75">
      <c r="J95" s="1274"/>
      <c r="M95" s="1274"/>
      <c r="R95" s="1274"/>
    </row>
    <row r="96" spans="10:18" s="1229" customFormat="1" ht="12.75">
      <c r="J96" s="1274"/>
      <c r="M96" s="1274"/>
      <c r="R96" s="1274"/>
    </row>
    <row r="97" spans="10:18" s="1229" customFormat="1" ht="12.75">
      <c r="J97" s="1274"/>
      <c r="M97" s="1274"/>
      <c r="R97" s="1274"/>
    </row>
    <row r="98" spans="10:18" s="1229" customFormat="1" ht="12.75">
      <c r="J98" s="1274"/>
      <c r="M98" s="1274"/>
      <c r="R98" s="1274"/>
    </row>
    <row r="99" spans="10:18" s="1229" customFormat="1" ht="12.75">
      <c r="J99" s="1274"/>
      <c r="M99" s="1274"/>
      <c r="R99" s="1274"/>
    </row>
    <row r="100" spans="10:18" s="1229" customFormat="1" ht="12.75">
      <c r="J100" s="1274"/>
      <c r="M100" s="1274"/>
      <c r="R100" s="1274"/>
    </row>
    <row r="101" spans="10:18" s="1229" customFormat="1" ht="12.75">
      <c r="J101" s="1274"/>
      <c r="M101" s="1274"/>
      <c r="R101" s="1274"/>
    </row>
    <row r="102" spans="10:18" s="1229" customFormat="1" ht="12.75">
      <c r="J102" s="1274"/>
      <c r="M102" s="1274"/>
      <c r="R102" s="1274"/>
    </row>
    <row r="103" spans="10:18" s="1229" customFormat="1" ht="12.75">
      <c r="J103" s="1274"/>
      <c r="M103" s="1274"/>
      <c r="R103" s="1274"/>
    </row>
    <row r="104" spans="10:18" s="1229" customFormat="1" ht="12.75">
      <c r="J104" s="1274"/>
      <c r="M104" s="1274"/>
      <c r="R104" s="1274"/>
    </row>
    <row r="105" spans="10:18" s="1229" customFormat="1" ht="12.75">
      <c r="J105" s="1274"/>
      <c r="M105" s="1274"/>
      <c r="R105" s="1274"/>
    </row>
    <row r="106" spans="10:18" s="1229" customFormat="1" ht="12.75">
      <c r="J106" s="1274"/>
      <c r="M106" s="1274"/>
      <c r="R106" s="1274"/>
    </row>
    <row r="107" spans="10:18" s="1229" customFormat="1" ht="12.75">
      <c r="J107" s="1274"/>
      <c r="M107" s="1274"/>
      <c r="R107" s="1274"/>
    </row>
    <row r="108" spans="10:18" s="1229" customFormat="1" ht="12.75">
      <c r="J108" s="1274"/>
      <c r="M108" s="1274"/>
      <c r="R108" s="1274"/>
    </row>
    <row r="109" spans="10:18" s="1229" customFormat="1" ht="12.75">
      <c r="J109" s="1274"/>
      <c r="M109" s="1274"/>
      <c r="R109" s="1274"/>
    </row>
    <row r="110" spans="10:18" s="1229" customFormat="1" ht="12.75">
      <c r="J110" s="1274"/>
      <c r="M110" s="1274"/>
      <c r="R110" s="1274"/>
    </row>
    <row r="111" spans="10:18" s="1229" customFormat="1" ht="12.75">
      <c r="J111" s="1274"/>
      <c r="M111" s="1274"/>
      <c r="R111" s="1274"/>
    </row>
    <row r="112" spans="10:18" s="1229" customFormat="1" ht="12.75">
      <c r="J112" s="1274"/>
      <c r="M112" s="1274"/>
      <c r="R112" s="1274"/>
    </row>
    <row r="113" spans="10:18" s="1229" customFormat="1" ht="12.75">
      <c r="J113" s="1274"/>
      <c r="M113" s="1274"/>
      <c r="R113" s="1274"/>
    </row>
    <row r="114" spans="10:18" s="1229" customFormat="1" ht="12.75">
      <c r="J114" s="1274"/>
      <c r="M114" s="1274"/>
      <c r="R114" s="1274"/>
    </row>
    <row r="115" spans="10:18" s="1229" customFormat="1" ht="12.75">
      <c r="J115" s="1274"/>
      <c r="M115" s="1274"/>
      <c r="R115" s="1274"/>
    </row>
    <row r="116" spans="10:18" s="1229" customFormat="1" ht="12.75">
      <c r="J116" s="1274"/>
      <c r="M116" s="1274"/>
      <c r="R116" s="1274"/>
    </row>
    <row r="117" spans="10:18" s="1229" customFormat="1" ht="12.75">
      <c r="J117" s="1274"/>
      <c r="M117" s="1274"/>
      <c r="R117" s="1274"/>
    </row>
    <row r="118" spans="10:18" s="1229" customFormat="1" ht="12.75">
      <c r="J118" s="1274"/>
      <c r="M118" s="1274"/>
      <c r="R118" s="1274"/>
    </row>
    <row r="119" spans="10:18" s="1229" customFormat="1" ht="12.75">
      <c r="J119" s="1274"/>
      <c r="M119" s="1274"/>
      <c r="R119" s="1274"/>
    </row>
    <row r="120" spans="10:18" s="1229" customFormat="1" ht="12.75">
      <c r="J120" s="1274"/>
      <c r="M120" s="1274"/>
      <c r="R120" s="1274"/>
    </row>
    <row r="121" spans="10:18" s="1229" customFormat="1" ht="12.75">
      <c r="J121" s="1274"/>
      <c r="M121" s="1274"/>
      <c r="R121" s="1274"/>
    </row>
    <row r="122" spans="10:18" s="1229" customFormat="1" ht="12.75">
      <c r="J122" s="1274"/>
      <c r="M122" s="1274"/>
      <c r="R122" s="1274"/>
    </row>
    <row r="123" spans="10:18" s="1229" customFormat="1" ht="12.75">
      <c r="J123" s="1274"/>
      <c r="M123" s="1274"/>
      <c r="R123" s="1274"/>
    </row>
    <row r="124" spans="10:18" s="1229" customFormat="1" ht="12.75">
      <c r="J124" s="1274"/>
      <c r="M124" s="1274"/>
      <c r="R124" s="1274"/>
    </row>
    <row r="125" spans="10:18" s="1229" customFormat="1" ht="12.75">
      <c r="J125" s="1274"/>
      <c r="M125" s="1274"/>
      <c r="R125" s="1274"/>
    </row>
    <row r="126" spans="10:18" s="1229" customFormat="1" ht="12.75">
      <c r="J126" s="1274"/>
      <c r="M126" s="1274"/>
      <c r="R126" s="1274"/>
    </row>
    <row r="127" spans="10:18" s="1229" customFormat="1" ht="12.75">
      <c r="J127" s="1274"/>
      <c r="M127" s="1274"/>
      <c r="R127" s="1274"/>
    </row>
    <row r="128" spans="10:18" s="1229" customFormat="1" ht="12.75">
      <c r="J128" s="1274"/>
      <c r="M128" s="1274"/>
      <c r="R128" s="1274"/>
    </row>
    <row r="129" spans="10:18" s="1229" customFormat="1" ht="12.75">
      <c r="J129" s="1274"/>
      <c r="M129" s="1274"/>
      <c r="R129" s="1274"/>
    </row>
    <row r="130" spans="10:18" s="1229" customFormat="1" ht="12.75">
      <c r="J130" s="1274"/>
      <c r="M130" s="1274"/>
      <c r="R130" s="1274"/>
    </row>
    <row r="131" spans="10:18" s="1229" customFormat="1" ht="12.75">
      <c r="J131" s="1274"/>
      <c r="M131" s="1274"/>
      <c r="R131" s="1274"/>
    </row>
    <row r="132" spans="10:18" s="1229" customFormat="1" ht="12.75">
      <c r="J132" s="1274"/>
      <c r="M132" s="1274"/>
      <c r="R132" s="1274"/>
    </row>
    <row r="133" spans="10:18" s="1229" customFormat="1" ht="12.75">
      <c r="J133" s="1274"/>
      <c r="M133" s="1274"/>
      <c r="R133" s="1274"/>
    </row>
    <row r="134" spans="10:18" s="1229" customFormat="1" ht="12.75">
      <c r="J134" s="1274"/>
      <c r="M134" s="1274"/>
      <c r="R134" s="1274"/>
    </row>
    <row r="135" spans="10:18" s="1229" customFormat="1" ht="12.75">
      <c r="J135" s="1274"/>
      <c r="M135" s="1274"/>
      <c r="R135" s="1274"/>
    </row>
    <row r="136" spans="10:18" s="1229" customFormat="1" ht="12.75">
      <c r="J136" s="1274"/>
      <c r="M136" s="1274"/>
      <c r="R136" s="1274"/>
    </row>
    <row r="137" spans="10:18" s="1229" customFormat="1" ht="12.75">
      <c r="J137" s="1274"/>
      <c r="M137" s="1274"/>
      <c r="R137" s="1274"/>
    </row>
    <row r="138" spans="10:18" s="1229" customFormat="1" ht="12.75">
      <c r="J138" s="1274"/>
      <c r="M138" s="1274"/>
      <c r="R138" s="1274"/>
    </row>
    <row r="139" spans="10:18" s="1229" customFormat="1" ht="12.75">
      <c r="J139" s="1274"/>
      <c r="M139" s="1274"/>
      <c r="R139" s="1274"/>
    </row>
    <row r="140" spans="10:18" s="1229" customFormat="1" ht="12.75">
      <c r="J140" s="1274"/>
      <c r="M140" s="1274"/>
      <c r="R140" s="1274"/>
    </row>
    <row r="141" spans="10:18" s="1229" customFormat="1" ht="12.75">
      <c r="J141" s="1274"/>
      <c r="M141" s="1274"/>
      <c r="R141" s="1274"/>
    </row>
    <row r="142" spans="10:18" s="1229" customFormat="1" ht="12.75">
      <c r="J142" s="1274"/>
      <c r="M142" s="1274"/>
      <c r="R142" s="1274"/>
    </row>
    <row r="143" spans="10:18" s="1229" customFormat="1" ht="12.75">
      <c r="J143" s="1274"/>
      <c r="M143" s="1274"/>
      <c r="R143" s="1274"/>
    </row>
    <row r="144" spans="10:18" s="1229" customFormat="1" ht="12.75">
      <c r="J144" s="1274"/>
      <c r="M144" s="1274"/>
      <c r="R144" s="1274"/>
    </row>
    <row r="145" spans="10:18" s="1229" customFormat="1" ht="12.75">
      <c r="J145" s="1274"/>
      <c r="M145" s="1274"/>
      <c r="R145" s="1274"/>
    </row>
    <row r="146" spans="10:18" s="1229" customFormat="1" ht="12.75">
      <c r="J146" s="1274"/>
      <c r="M146" s="1274"/>
      <c r="R146" s="1274"/>
    </row>
    <row r="147" spans="10:18" s="1229" customFormat="1" ht="12.75">
      <c r="J147" s="1274"/>
      <c r="M147" s="1274"/>
      <c r="R147" s="1274"/>
    </row>
    <row r="148" spans="10:18" s="1229" customFormat="1" ht="12.75">
      <c r="J148" s="1274"/>
      <c r="M148" s="1274"/>
      <c r="R148" s="1274"/>
    </row>
    <row r="149" spans="10:18" s="1229" customFormat="1" ht="12.75">
      <c r="J149" s="1274"/>
      <c r="M149" s="1274"/>
      <c r="R149" s="1274"/>
    </row>
    <row r="150" spans="10:18" s="1229" customFormat="1" ht="12.75">
      <c r="J150" s="1274"/>
      <c r="M150" s="1274"/>
      <c r="R150" s="1274"/>
    </row>
    <row r="151" spans="10:18" s="1229" customFormat="1" ht="12.75">
      <c r="J151" s="1274"/>
      <c r="M151" s="1274"/>
      <c r="R151" s="1274"/>
    </row>
    <row r="152" spans="10:18" s="1229" customFormat="1" ht="12.75">
      <c r="J152" s="1274"/>
      <c r="M152" s="1274"/>
      <c r="R152" s="1274"/>
    </row>
    <row r="153" spans="10:18" s="1229" customFormat="1" ht="12.75">
      <c r="J153" s="1274"/>
      <c r="M153" s="1274"/>
      <c r="R153" s="1274"/>
    </row>
    <row r="154" spans="10:18" s="1229" customFormat="1" ht="12.75">
      <c r="J154" s="1274"/>
      <c r="M154" s="1274"/>
      <c r="R154" s="1274"/>
    </row>
    <row r="155" spans="10:18" s="1229" customFormat="1" ht="12.75">
      <c r="J155" s="1274"/>
      <c r="M155" s="1274"/>
      <c r="R155" s="1274"/>
    </row>
    <row r="156" spans="10:18" s="1229" customFormat="1" ht="12.75">
      <c r="J156" s="1274"/>
      <c r="M156" s="1274"/>
      <c r="R156" s="1274"/>
    </row>
    <row r="157" spans="10:18" s="1229" customFormat="1" ht="12.75">
      <c r="J157" s="1274"/>
      <c r="M157" s="1274"/>
      <c r="R157" s="1274"/>
    </row>
    <row r="158" spans="10:18" s="1229" customFormat="1" ht="12.75">
      <c r="J158" s="1274"/>
      <c r="M158" s="1274"/>
      <c r="R158" s="1274"/>
    </row>
    <row r="159" spans="10:18" s="1229" customFormat="1" ht="12.75">
      <c r="J159" s="1274"/>
      <c r="M159" s="1274"/>
      <c r="R159" s="1274"/>
    </row>
    <row r="160" spans="10:18" s="1229" customFormat="1" ht="12.75">
      <c r="J160" s="1274"/>
      <c r="M160" s="1274"/>
      <c r="R160" s="1274"/>
    </row>
    <row r="161" spans="10:18" s="1229" customFormat="1" ht="12.75">
      <c r="J161" s="1274"/>
      <c r="M161" s="1274"/>
      <c r="R161" s="1274"/>
    </row>
    <row r="162" spans="10:18" s="1229" customFormat="1" ht="12.75">
      <c r="J162" s="1274"/>
      <c r="M162" s="1274"/>
      <c r="R162" s="1274"/>
    </row>
    <row r="163" spans="10:18" s="1229" customFormat="1" ht="12.75">
      <c r="J163" s="1274"/>
      <c r="M163" s="1274"/>
      <c r="R163" s="1274"/>
    </row>
    <row r="164" spans="10:18" s="1229" customFormat="1" ht="12.75">
      <c r="J164" s="1274"/>
      <c r="M164" s="1274"/>
      <c r="R164" s="1274"/>
    </row>
    <row r="165" spans="10:18" s="1229" customFormat="1" ht="12.75">
      <c r="J165" s="1274"/>
      <c r="M165" s="1274"/>
      <c r="R165" s="1274"/>
    </row>
    <row r="166" spans="10:18" s="1229" customFormat="1" ht="12.75">
      <c r="J166" s="1274"/>
      <c r="M166" s="1274"/>
      <c r="R166" s="1274"/>
    </row>
    <row r="167" spans="10:18" s="1229" customFormat="1" ht="12.75">
      <c r="J167" s="1274"/>
      <c r="M167" s="1274"/>
      <c r="R167" s="1274"/>
    </row>
    <row r="168" spans="10:18" s="1229" customFormat="1" ht="12.75">
      <c r="J168" s="1274"/>
      <c r="M168" s="1274"/>
      <c r="R168" s="1274"/>
    </row>
    <row r="169" spans="10:18" s="1229" customFormat="1" ht="12.75">
      <c r="J169" s="1274"/>
      <c r="M169" s="1274"/>
      <c r="R169" s="1274"/>
    </row>
    <row r="170" spans="10:18" s="1229" customFormat="1" ht="12.75">
      <c r="J170" s="1274"/>
      <c r="M170" s="1274"/>
      <c r="R170" s="1274"/>
    </row>
    <row r="171" spans="10:18" s="1229" customFormat="1" ht="12.75">
      <c r="J171" s="1274"/>
      <c r="M171" s="1274"/>
      <c r="R171" s="1274"/>
    </row>
    <row r="172" spans="10:18" s="1229" customFormat="1" ht="12.75">
      <c r="J172" s="1274"/>
      <c r="M172" s="1274"/>
      <c r="R172" s="1274"/>
    </row>
    <row r="173" spans="10:18" s="1229" customFormat="1" ht="12.75">
      <c r="J173" s="1274"/>
      <c r="M173" s="1274"/>
      <c r="R173" s="1274"/>
    </row>
    <row r="174" spans="10:18" s="1229" customFormat="1" ht="12.75">
      <c r="J174" s="1274"/>
      <c r="M174" s="1274"/>
      <c r="R174" s="1274"/>
    </row>
    <row r="175" spans="10:18" s="1229" customFormat="1" ht="12.75">
      <c r="J175" s="1274"/>
      <c r="M175" s="1274"/>
      <c r="R175" s="1274"/>
    </row>
    <row r="176" spans="10:18" s="1229" customFormat="1" ht="12.75">
      <c r="J176" s="1274"/>
      <c r="M176" s="1274"/>
      <c r="R176" s="1274"/>
    </row>
    <row r="177" spans="10:18" s="1229" customFormat="1" ht="12.75">
      <c r="J177" s="1274"/>
      <c r="M177" s="1274"/>
      <c r="R177" s="1274"/>
    </row>
    <row r="178" spans="10:18" s="1229" customFormat="1" ht="12.75">
      <c r="J178" s="1274"/>
      <c r="M178" s="1274"/>
      <c r="R178" s="1274"/>
    </row>
    <row r="179" spans="10:18" s="1229" customFormat="1" ht="12.75">
      <c r="J179" s="1274"/>
      <c r="M179" s="1274"/>
      <c r="R179" s="1274"/>
    </row>
    <row r="180" spans="10:18" s="1229" customFormat="1" ht="12.75">
      <c r="J180" s="1274"/>
      <c r="M180" s="1274"/>
      <c r="R180" s="1274"/>
    </row>
    <row r="181" spans="10:18" s="1229" customFormat="1" ht="12.75">
      <c r="J181" s="1274"/>
      <c r="M181" s="1274"/>
      <c r="R181" s="1274"/>
    </row>
    <row r="182" spans="10:18" s="1229" customFormat="1" ht="12.75">
      <c r="J182" s="1274"/>
      <c r="M182" s="1274"/>
      <c r="R182" s="1274"/>
    </row>
    <row r="183" spans="10:18" s="1229" customFormat="1" ht="12.75">
      <c r="J183" s="1274"/>
      <c r="M183" s="1274"/>
      <c r="R183" s="1274"/>
    </row>
    <row r="184" spans="10:18" s="1229" customFormat="1" ht="12.75">
      <c r="J184" s="1274"/>
      <c r="M184" s="1274"/>
      <c r="R184" s="1274"/>
    </row>
    <row r="185" spans="10:18" s="1229" customFormat="1" ht="12.75">
      <c r="J185" s="1274"/>
      <c r="M185" s="1274"/>
      <c r="R185" s="1274"/>
    </row>
    <row r="186" spans="10:18" s="1229" customFormat="1" ht="12.75">
      <c r="J186" s="1274"/>
      <c r="M186" s="1274"/>
      <c r="R186" s="1274"/>
    </row>
    <row r="187" spans="10:18" s="1229" customFormat="1" ht="12.75">
      <c r="J187" s="1274"/>
      <c r="M187" s="1274"/>
      <c r="R187" s="1274"/>
    </row>
    <row r="188" spans="10:18" s="1229" customFormat="1" ht="12.75">
      <c r="J188" s="1274"/>
      <c r="M188" s="1274"/>
      <c r="R188" s="1274"/>
    </row>
    <row r="189" spans="10:18" s="1229" customFormat="1" ht="12.75">
      <c r="J189" s="1274"/>
      <c r="M189" s="1274"/>
      <c r="R189" s="1274"/>
    </row>
    <row r="190" spans="10:18" s="1229" customFormat="1" ht="12.75">
      <c r="J190" s="1274"/>
      <c r="M190" s="1274"/>
      <c r="R190" s="1274"/>
    </row>
    <row r="191" spans="10:18" s="1229" customFormat="1" ht="12.75">
      <c r="J191" s="1274"/>
      <c r="M191" s="1274"/>
      <c r="R191" s="1274"/>
    </row>
    <row r="192" spans="10:18" s="1229" customFormat="1" ht="12.75">
      <c r="J192" s="1274"/>
      <c r="M192" s="1274"/>
      <c r="R192" s="1274"/>
    </row>
    <row r="193" spans="10:18" s="1229" customFormat="1" ht="12.75">
      <c r="J193" s="1274"/>
      <c r="M193" s="1274"/>
      <c r="R193" s="1274"/>
    </row>
    <row r="194" spans="10:18" s="1229" customFormat="1" ht="12.75">
      <c r="J194" s="1274"/>
      <c r="M194" s="1274"/>
      <c r="R194" s="1274"/>
    </row>
    <row r="195" spans="10:18" s="1229" customFormat="1" ht="12.75">
      <c r="J195" s="1274"/>
      <c r="M195" s="1274"/>
      <c r="R195" s="1274"/>
    </row>
    <row r="196" spans="10:18" s="1229" customFormat="1" ht="12.75">
      <c r="J196" s="1274"/>
      <c r="M196" s="1274"/>
      <c r="R196" s="1274"/>
    </row>
    <row r="197" spans="10:18" s="1229" customFormat="1" ht="12.75">
      <c r="J197" s="1274"/>
      <c r="M197" s="1274"/>
      <c r="R197" s="1274"/>
    </row>
    <row r="198" spans="10:18" s="1229" customFormat="1" ht="12.75">
      <c r="J198" s="1274"/>
      <c r="M198" s="1274"/>
      <c r="R198" s="1274"/>
    </row>
    <row r="199" spans="10:18" s="1229" customFormat="1" ht="12.75">
      <c r="J199" s="1274"/>
      <c r="M199" s="1274"/>
      <c r="R199" s="1274"/>
    </row>
    <row r="200" spans="10:18" s="1229" customFormat="1" ht="12.75">
      <c r="J200" s="1274"/>
      <c r="M200" s="1274"/>
      <c r="R200" s="1274"/>
    </row>
    <row r="201" spans="10:18" s="1229" customFormat="1" ht="12.75">
      <c r="J201" s="1274"/>
      <c r="M201" s="1274"/>
      <c r="R201" s="1274"/>
    </row>
    <row r="202" spans="10:18" s="1229" customFormat="1" ht="12.75">
      <c r="J202" s="1274"/>
      <c r="M202" s="1274"/>
      <c r="R202" s="1274"/>
    </row>
    <row r="203" spans="10:18" s="1229" customFormat="1" ht="12.75">
      <c r="J203" s="1274"/>
      <c r="M203" s="1274"/>
      <c r="R203" s="1274"/>
    </row>
    <row r="204" spans="10:18" s="1229" customFormat="1" ht="12.75">
      <c r="J204" s="1274"/>
      <c r="M204" s="1274"/>
      <c r="R204" s="1274"/>
    </row>
  </sheetData>
  <sheetProtection/>
  <mergeCells count="2">
    <mergeCell ref="B8:C8"/>
    <mergeCell ref="D3:O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5" r:id="rId1"/>
  <rowBreaks count="1" manualBreakCount="1">
    <brk id="93" min="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GA205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43.50390625" style="906" bestFit="1" customWidth="1"/>
    <col min="2" max="2" width="15.625" style="906" bestFit="1" customWidth="1"/>
    <col min="3" max="4" width="14.375" style="906" bestFit="1" customWidth="1"/>
    <col min="5" max="5" width="13.50390625" style="906" bestFit="1" customWidth="1"/>
    <col min="6" max="6" width="14.375" style="906" bestFit="1" customWidth="1"/>
    <col min="7" max="7" width="17.00390625" style="906" bestFit="1" customWidth="1"/>
    <col min="8" max="8" width="15.625" style="906" bestFit="1" customWidth="1"/>
    <col min="9" max="9" width="16.625" style="906" customWidth="1"/>
    <col min="10" max="10" width="0.37109375" style="1228" hidden="1" customWidth="1"/>
    <col min="11" max="183" width="9.375" style="1229" customWidth="1"/>
    <col min="184" max="16384" width="9.375" style="906" customWidth="1"/>
  </cols>
  <sheetData>
    <row r="1" ht="12.75">
      <c r="I1" s="1227" t="s">
        <v>1140</v>
      </c>
    </row>
    <row r="3" spans="2:7" ht="12.75">
      <c r="B3" s="1441" t="s">
        <v>1110</v>
      </c>
      <c r="C3" s="1437"/>
      <c r="D3" s="1437"/>
      <c r="E3" s="1437"/>
      <c r="F3" s="1437"/>
      <c r="G3" s="1437"/>
    </row>
    <row r="4" spans="2:7" ht="12.75">
      <c r="B4" s="1437"/>
      <c r="C4" s="1437"/>
      <c r="D4" s="1437"/>
      <c r="E4" s="1437"/>
      <c r="F4" s="1437"/>
      <c r="G4" s="1437"/>
    </row>
    <row r="7" spans="1:10" ht="12.75">
      <c r="A7" s="1230" t="s">
        <v>49</v>
      </c>
      <c r="B7" s="1231" t="s">
        <v>841</v>
      </c>
      <c r="C7" s="1232" t="s">
        <v>842</v>
      </c>
      <c r="D7" s="1233"/>
      <c r="E7" s="1233"/>
      <c r="F7" s="1234"/>
      <c r="G7" s="693" t="s">
        <v>843</v>
      </c>
      <c r="H7" s="693" t="s">
        <v>844</v>
      </c>
      <c r="I7" s="1235" t="s">
        <v>89</v>
      </c>
      <c r="J7" s="1228" t="s">
        <v>845</v>
      </c>
    </row>
    <row r="8" spans="1:10" ht="12.75">
      <c r="A8" s="681"/>
      <c r="B8" s="1236" t="s">
        <v>846</v>
      </c>
      <c r="C8" s="1237" t="s">
        <v>847</v>
      </c>
      <c r="D8" s="1238" t="s">
        <v>847</v>
      </c>
      <c r="E8" s="1239" t="s">
        <v>848</v>
      </c>
      <c r="F8" s="1236" t="s">
        <v>849</v>
      </c>
      <c r="G8" s="694" t="s">
        <v>850</v>
      </c>
      <c r="H8" s="694" t="s">
        <v>817</v>
      </c>
      <c r="I8" s="1240" t="s">
        <v>818</v>
      </c>
      <c r="J8" s="1228" t="s">
        <v>851</v>
      </c>
    </row>
    <row r="9" spans="1:9" ht="12.75">
      <c r="A9" s="681"/>
      <c r="C9" s="1237" t="s">
        <v>852</v>
      </c>
      <c r="D9" s="1238" t="s">
        <v>853</v>
      </c>
      <c r="E9" s="1239" t="s">
        <v>854</v>
      </c>
      <c r="F9" s="1236" t="s">
        <v>855</v>
      </c>
      <c r="G9" s="694" t="s">
        <v>856</v>
      </c>
      <c r="H9" s="694" t="s">
        <v>829</v>
      </c>
      <c r="I9" s="1240" t="s">
        <v>793</v>
      </c>
    </row>
    <row r="10" spans="1:9" ht="12.75">
      <c r="A10" s="682"/>
      <c r="B10" s="1241"/>
      <c r="C10" s="1242" t="s">
        <v>857</v>
      </c>
      <c r="D10" s="1243" t="s">
        <v>857</v>
      </c>
      <c r="E10" s="1244" t="s">
        <v>775</v>
      </c>
      <c r="F10" s="1241" t="s">
        <v>793</v>
      </c>
      <c r="G10" s="695" t="s">
        <v>786</v>
      </c>
      <c r="H10" s="695"/>
      <c r="I10" s="1245"/>
    </row>
    <row r="11" spans="1:10" ht="30" customHeight="1">
      <c r="A11" s="683" t="s">
        <v>586</v>
      </c>
      <c r="B11" s="696">
        <v>1021109043</v>
      </c>
      <c r="C11" s="1246">
        <v>0</v>
      </c>
      <c r="D11" s="1247">
        <v>5136553</v>
      </c>
      <c r="E11" s="1247">
        <v>2309383</v>
      </c>
      <c r="F11" s="1248">
        <v>7445936</v>
      </c>
      <c r="G11" s="1249">
        <v>0</v>
      </c>
      <c r="H11" s="1249">
        <v>4022882</v>
      </c>
      <c r="I11" s="1250">
        <v>1032577861</v>
      </c>
      <c r="J11" s="1251">
        <v>0</v>
      </c>
    </row>
    <row r="12" spans="1:183" s="1255" customFormat="1" ht="30.75" customHeight="1">
      <c r="A12" s="685" t="s">
        <v>585</v>
      </c>
      <c r="B12" s="697">
        <v>1381562</v>
      </c>
      <c r="C12" s="930">
        <v>0</v>
      </c>
      <c r="D12" s="936">
        <v>49886</v>
      </c>
      <c r="E12" s="936">
        <v>0</v>
      </c>
      <c r="F12" s="697">
        <v>49886</v>
      </c>
      <c r="G12" s="1252">
        <v>0</v>
      </c>
      <c r="H12" s="1252">
        <v>3822749</v>
      </c>
      <c r="I12" s="1253">
        <v>5595377</v>
      </c>
      <c r="J12" s="1251">
        <v>0</v>
      </c>
      <c r="K12" s="1254"/>
      <c r="L12" s="1254"/>
      <c r="M12" s="1254"/>
      <c r="N12" s="1254"/>
      <c r="O12" s="1254"/>
      <c r="P12" s="1254"/>
      <c r="Q12" s="1254"/>
      <c r="R12" s="1254"/>
      <c r="S12" s="1254"/>
      <c r="T12" s="1254"/>
      <c r="U12" s="1254"/>
      <c r="V12" s="1254"/>
      <c r="W12" s="1254"/>
      <c r="X12" s="1254"/>
      <c r="Y12" s="1254"/>
      <c r="Z12" s="1254"/>
      <c r="AA12" s="1254"/>
      <c r="AB12" s="1254"/>
      <c r="AC12" s="1254"/>
      <c r="AD12" s="1254"/>
      <c r="AE12" s="1254"/>
      <c r="AF12" s="1254"/>
      <c r="AG12" s="1254"/>
      <c r="AH12" s="1254"/>
      <c r="AI12" s="1254"/>
      <c r="AJ12" s="1254"/>
      <c r="AK12" s="1254"/>
      <c r="AL12" s="1254"/>
      <c r="AM12" s="1254"/>
      <c r="AN12" s="1254"/>
      <c r="AO12" s="1254"/>
      <c r="AP12" s="1254"/>
      <c r="AQ12" s="1254"/>
      <c r="AR12" s="1254"/>
      <c r="AS12" s="1254"/>
      <c r="AT12" s="1254"/>
      <c r="AU12" s="1254"/>
      <c r="AV12" s="1254"/>
      <c r="AW12" s="1254"/>
      <c r="AX12" s="1254"/>
      <c r="AY12" s="1254"/>
      <c r="AZ12" s="1254"/>
      <c r="BA12" s="1254"/>
      <c r="BB12" s="1254"/>
      <c r="BC12" s="1254"/>
      <c r="BD12" s="1254"/>
      <c r="BE12" s="1254"/>
      <c r="BF12" s="1254"/>
      <c r="BG12" s="1254"/>
      <c r="BH12" s="1254"/>
      <c r="BI12" s="1254"/>
      <c r="BJ12" s="1254"/>
      <c r="BK12" s="1254"/>
      <c r="BL12" s="1254"/>
      <c r="BM12" s="1254"/>
      <c r="BN12" s="1254"/>
      <c r="BO12" s="1254"/>
      <c r="BP12" s="1254"/>
      <c r="BQ12" s="1254"/>
      <c r="BR12" s="1254"/>
      <c r="BS12" s="1254"/>
      <c r="BT12" s="1254"/>
      <c r="BU12" s="1254"/>
      <c r="BV12" s="1254"/>
      <c r="BW12" s="1254"/>
      <c r="BX12" s="1254"/>
      <c r="BY12" s="1254"/>
      <c r="BZ12" s="1254"/>
      <c r="CA12" s="1254"/>
      <c r="CB12" s="1254"/>
      <c r="CC12" s="1254"/>
      <c r="CD12" s="1254"/>
      <c r="CE12" s="1254"/>
      <c r="CF12" s="1254"/>
      <c r="CG12" s="1254"/>
      <c r="CH12" s="1254"/>
      <c r="CI12" s="1254"/>
      <c r="CJ12" s="1254"/>
      <c r="CK12" s="1254"/>
      <c r="CL12" s="1254"/>
      <c r="CM12" s="1254"/>
      <c r="CN12" s="1254"/>
      <c r="CO12" s="1254"/>
      <c r="CP12" s="1254"/>
      <c r="CQ12" s="1254"/>
      <c r="CR12" s="1254"/>
      <c r="CS12" s="1254"/>
      <c r="CT12" s="1254"/>
      <c r="CU12" s="1254"/>
      <c r="CV12" s="1254"/>
      <c r="CW12" s="1254"/>
      <c r="CX12" s="1254"/>
      <c r="CY12" s="1254"/>
      <c r="CZ12" s="1254"/>
      <c r="DA12" s="1254"/>
      <c r="DB12" s="1254"/>
      <c r="DC12" s="1254"/>
      <c r="DD12" s="1254"/>
      <c r="DE12" s="1254"/>
      <c r="DF12" s="1254"/>
      <c r="DG12" s="1254"/>
      <c r="DH12" s="1254"/>
      <c r="DI12" s="1254"/>
      <c r="DJ12" s="1254"/>
      <c r="DK12" s="1254"/>
      <c r="DL12" s="1254"/>
      <c r="DM12" s="1254"/>
      <c r="DN12" s="1254"/>
      <c r="DO12" s="1254"/>
      <c r="DP12" s="1254"/>
      <c r="DQ12" s="1254"/>
      <c r="DR12" s="1254"/>
      <c r="DS12" s="1254"/>
      <c r="DT12" s="1254"/>
      <c r="DU12" s="1254"/>
      <c r="DV12" s="1254"/>
      <c r="DW12" s="1254"/>
      <c r="DX12" s="1254"/>
      <c r="DY12" s="1254"/>
      <c r="DZ12" s="1254"/>
      <c r="EA12" s="1254"/>
      <c r="EB12" s="1254"/>
      <c r="EC12" s="1254"/>
      <c r="ED12" s="1254"/>
      <c r="EE12" s="1254"/>
      <c r="EF12" s="1254"/>
      <c r="EG12" s="1254"/>
      <c r="EH12" s="1254"/>
      <c r="EI12" s="1254"/>
      <c r="EJ12" s="1254"/>
      <c r="EK12" s="1254"/>
      <c r="EL12" s="1254"/>
      <c r="EM12" s="1254"/>
      <c r="EN12" s="1254"/>
      <c r="EO12" s="1254"/>
      <c r="EP12" s="1254"/>
      <c r="EQ12" s="1254"/>
      <c r="ER12" s="1254"/>
      <c r="ES12" s="1254"/>
      <c r="ET12" s="1254"/>
      <c r="EU12" s="1254"/>
      <c r="EV12" s="1254"/>
      <c r="EW12" s="1254"/>
      <c r="EX12" s="1254"/>
      <c r="EY12" s="1254"/>
      <c r="EZ12" s="1254"/>
      <c r="FA12" s="1254"/>
      <c r="FB12" s="1254"/>
      <c r="FC12" s="1254"/>
      <c r="FD12" s="1254"/>
      <c r="FE12" s="1254"/>
      <c r="FF12" s="1254"/>
      <c r="FG12" s="1254"/>
      <c r="FH12" s="1254"/>
      <c r="FI12" s="1254"/>
      <c r="FJ12" s="1254"/>
      <c r="FK12" s="1254"/>
      <c r="FL12" s="1254"/>
      <c r="FM12" s="1254"/>
      <c r="FN12" s="1254"/>
      <c r="FO12" s="1254"/>
      <c r="FP12" s="1254"/>
      <c r="FQ12" s="1254"/>
      <c r="FR12" s="1254"/>
      <c r="FS12" s="1254"/>
      <c r="FT12" s="1254"/>
      <c r="FU12" s="1254"/>
      <c r="FV12" s="1254"/>
      <c r="FW12" s="1254"/>
      <c r="FX12" s="1254"/>
      <c r="FY12" s="1254"/>
      <c r="FZ12" s="1254"/>
      <c r="GA12" s="1254"/>
    </row>
    <row r="13" spans="1:183" s="1260" customFormat="1" ht="32.25" customHeight="1">
      <c r="A13" s="685" t="s">
        <v>587</v>
      </c>
      <c r="B13" s="1165">
        <v>-2502702</v>
      </c>
      <c r="C13" s="1256">
        <v>0</v>
      </c>
      <c r="D13" s="1257">
        <v>0</v>
      </c>
      <c r="E13" s="1257">
        <v>0</v>
      </c>
      <c r="F13" s="1165">
        <v>0</v>
      </c>
      <c r="G13" s="1258">
        <v>0</v>
      </c>
      <c r="H13" s="1258">
        <v>2783675</v>
      </c>
      <c r="I13" s="1253">
        <v>280973</v>
      </c>
      <c r="J13" s="1251">
        <v>0</v>
      </c>
      <c r="K13" s="1259"/>
      <c r="L13" s="1259"/>
      <c r="M13" s="1259"/>
      <c r="N13" s="1259"/>
      <c r="O13" s="1259"/>
      <c r="P13" s="1259"/>
      <c r="Q13" s="1259"/>
      <c r="R13" s="1259"/>
      <c r="S13" s="1259"/>
      <c r="T13" s="1259"/>
      <c r="U13" s="1259"/>
      <c r="V13" s="1259"/>
      <c r="W13" s="1259"/>
      <c r="X13" s="1259"/>
      <c r="Y13" s="1259"/>
      <c r="Z13" s="1259"/>
      <c r="AA13" s="1259"/>
      <c r="AB13" s="1259"/>
      <c r="AC13" s="1259"/>
      <c r="AD13" s="1259"/>
      <c r="AE13" s="1259"/>
      <c r="AF13" s="1259"/>
      <c r="AG13" s="1259"/>
      <c r="AH13" s="1259"/>
      <c r="AI13" s="1259"/>
      <c r="AJ13" s="1259"/>
      <c r="AK13" s="1259"/>
      <c r="AL13" s="1259"/>
      <c r="AM13" s="1259"/>
      <c r="AN13" s="1259"/>
      <c r="AO13" s="1259"/>
      <c r="AP13" s="1259"/>
      <c r="AQ13" s="1259"/>
      <c r="AR13" s="1259"/>
      <c r="AS13" s="1259"/>
      <c r="AT13" s="1259"/>
      <c r="AU13" s="1259"/>
      <c r="AV13" s="1259"/>
      <c r="AW13" s="1259"/>
      <c r="AX13" s="1259"/>
      <c r="AY13" s="1259"/>
      <c r="AZ13" s="1259"/>
      <c r="BA13" s="1259"/>
      <c r="BB13" s="1259"/>
      <c r="BC13" s="1259"/>
      <c r="BD13" s="1259"/>
      <c r="BE13" s="1259"/>
      <c r="BF13" s="1259"/>
      <c r="BG13" s="1259"/>
      <c r="BH13" s="1259"/>
      <c r="BI13" s="1259"/>
      <c r="BJ13" s="1259"/>
      <c r="BK13" s="1259"/>
      <c r="BL13" s="1259"/>
      <c r="BM13" s="1259"/>
      <c r="BN13" s="1259"/>
      <c r="BO13" s="1259"/>
      <c r="BP13" s="1259"/>
      <c r="BQ13" s="1259"/>
      <c r="BR13" s="1259"/>
      <c r="BS13" s="1259"/>
      <c r="BT13" s="1259"/>
      <c r="BU13" s="1259"/>
      <c r="BV13" s="1259"/>
      <c r="BW13" s="1259"/>
      <c r="BX13" s="1259"/>
      <c r="BY13" s="1259"/>
      <c r="BZ13" s="1259"/>
      <c r="CA13" s="1259"/>
      <c r="CB13" s="1259"/>
      <c r="CC13" s="1259"/>
      <c r="CD13" s="1259"/>
      <c r="CE13" s="1259"/>
      <c r="CF13" s="1259"/>
      <c r="CG13" s="1259"/>
      <c r="CH13" s="1259"/>
      <c r="CI13" s="1259"/>
      <c r="CJ13" s="1259"/>
      <c r="CK13" s="1259"/>
      <c r="CL13" s="1259"/>
      <c r="CM13" s="1259"/>
      <c r="CN13" s="1259"/>
      <c r="CO13" s="1259"/>
      <c r="CP13" s="1259"/>
      <c r="CQ13" s="1259"/>
      <c r="CR13" s="1259"/>
      <c r="CS13" s="1259"/>
      <c r="CT13" s="1259"/>
      <c r="CU13" s="1259"/>
      <c r="CV13" s="1259"/>
      <c r="CW13" s="1259"/>
      <c r="CX13" s="1259"/>
      <c r="CY13" s="1259"/>
      <c r="CZ13" s="1259"/>
      <c r="DA13" s="1259"/>
      <c r="DB13" s="1259"/>
      <c r="DC13" s="1259"/>
      <c r="DD13" s="1259"/>
      <c r="DE13" s="1259"/>
      <c r="DF13" s="1259"/>
      <c r="DG13" s="1259"/>
      <c r="DH13" s="1259"/>
      <c r="DI13" s="1259"/>
      <c r="DJ13" s="1259"/>
      <c r="DK13" s="1259"/>
      <c r="DL13" s="1259"/>
      <c r="DM13" s="1259"/>
      <c r="DN13" s="1259"/>
      <c r="DO13" s="1259"/>
      <c r="DP13" s="1259"/>
      <c r="DQ13" s="1259"/>
      <c r="DR13" s="1259"/>
      <c r="DS13" s="1259"/>
      <c r="DT13" s="1259"/>
      <c r="DU13" s="1259"/>
      <c r="DV13" s="1259"/>
      <c r="DW13" s="1259"/>
      <c r="DX13" s="1259"/>
      <c r="DY13" s="1259"/>
      <c r="DZ13" s="1259"/>
      <c r="EA13" s="1259"/>
      <c r="EB13" s="1259"/>
      <c r="EC13" s="1259"/>
      <c r="ED13" s="1259"/>
      <c r="EE13" s="1259"/>
      <c r="EF13" s="1259"/>
      <c r="EG13" s="1259"/>
      <c r="EH13" s="1259"/>
      <c r="EI13" s="1259"/>
      <c r="EJ13" s="1259"/>
      <c r="EK13" s="1259"/>
      <c r="EL13" s="1259"/>
      <c r="EM13" s="1259"/>
      <c r="EN13" s="1259"/>
      <c r="EO13" s="1259"/>
      <c r="EP13" s="1259"/>
      <c r="EQ13" s="1259"/>
      <c r="ER13" s="1259"/>
      <c r="ES13" s="1259"/>
      <c r="ET13" s="1259"/>
      <c r="EU13" s="1259"/>
      <c r="EV13" s="1259"/>
      <c r="EW13" s="1259"/>
      <c r="EX13" s="1259"/>
      <c r="EY13" s="1259"/>
      <c r="EZ13" s="1259"/>
      <c r="FA13" s="1259"/>
      <c r="FB13" s="1259"/>
      <c r="FC13" s="1259"/>
      <c r="FD13" s="1259"/>
      <c r="FE13" s="1259"/>
      <c r="FF13" s="1259"/>
      <c r="FG13" s="1259"/>
      <c r="FH13" s="1259"/>
      <c r="FI13" s="1259"/>
      <c r="FJ13" s="1259"/>
      <c r="FK13" s="1259"/>
      <c r="FL13" s="1259"/>
      <c r="FM13" s="1259"/>
      <c r="FN13" s="1259"/>
      <c r="FO13" s="1259"/>
      <c r="FP13" s="1259"/>
      <c r="FQ13" s="1259"/>
      <c r="FR13" s="1259"/>
      <c r="FS13" s="1259"/>
      <c r="FT13" s="1259"/>
      <c r="FU13" s="1259"/>
      <c r="FV13" s="1259"/>
      <c r="FW13" s="1259"/>
      <c r="FX13" s="1259"/>
      <c r="FY13" s="1259"/>
      <c r="FZ13" s="1259"/>
      <c r="GA13" s="1259"/>
    </row>
    <row r="14" spans="1:183" s="1260" customFormat="1" ht="15" customHeight="1">
      <c r="A14" s="687"/>
      <c r="B14" s="698"/>
      <c r="C14" s="938"/>
      <c r="D14" s="1261"/>
      <c r="E14" s="1261"/>
      <c r="F14" s="1262"/>
      <c r="G14" s="1263"/>
      <c r="H14" s="1263"/>
      <c r="I14" s="1253"/>
      <c r="J14" s="1251">
        <v>0</v>
      </c>
      <c r="K14" s="1259"/>
      <c r="L14" s="1259"/>
      <c r="M14" s="1259"/>
      <c r="N14" s="1259"/>
      <c r="O14" s="1259"/>
      <c r="P14" s="1259"/>
      <c r="Q14" s="1259"/>
      <c r="R14" s="1259"/>
      <c r="S14" s="1259"/>
      <c r="T14" s="1259"/>
      <c r="U14" s="1259"/>
      <c r="V14" s="1259"/>
      <c r="W14" s="1259"/>
      <c r="X14" s="1259"/>
      <c r="Y14" s="1259"/>
      <c r="Z14" s="1259"/>
      <c r="AA14" s="1259"/>
      <c r="AB14" s="1259"/>
      <c r="AC14" s="1259"/>
      <c r="AD14" s="1259"/>
      <c r="AE14" s="1259"/>
      <c r="AF14" s="1259"/>
      <c r="AG14" s="1259"/>
      <c r="AH14" s="1259"/>
      <c r="AI14" s="1259"/>
      <c r="AJ14" s="1259"/>
      <c r="AK14" s="1259"/>
      <c r="AL14" s="1259"/>
      <c r="AM14" s="1259"/>
      <c r="AN14" s="1259"/>
      <c r="AO14" s="1259"/>
      <c r="AP14" s="1259"/>
      <c r="AQ14" s="1259"/>
      <c r="AR14" s="1259"/>
      <c r="AS14" s="1259"/>
      <c r="AT14" s="1259"/>
      <c r="AU14" s="1259"/>
      <c r="AV14" s="1259"/>
      <c r="AW14" s="1259"/>
      <c r="AX14" s="1259"/>
      <c r="AY14" s="1259"/>
      <c r="AZ14" s="1259"/>
      <c r="BA14" s="1259"/>
      <c r="BB14" s="1259"/>
      <c r="BC14" s="1259"/>
      <c r="BD14" s="1259"/>
      <c r="BE14" s="1259"/>
      <c r="BF14" s="1259"/>
      <c r="BG14" s="1259"/>
      <c r="BH14" s="1259"/>
      <c r="BI14" s="1259"/>
      <c r="BJ14" s="1259"/>
      <c r="BK14" s="1259"/>
      <c r="BL14" s="1259"/>
      <c r="BM14" s="1259"/>
      <c r="BN14" s="1259"/>
      <c r="BO14" s="1259"/>
      <c r="BP14" s="1259"/>
      <c r="BQ14" s="1259"/>
      <c r="BR14" s="1259"/>
      <c r="BS14" s="1259"/>
      <c r="BT14" s="1259"/>
      <c r="BU14" s="1259"/>
      <c r="BV14" s="1259"/>
      <c r="BW14" s="1259"/>
      <c r="BX14" s="1259"/>
      <c r="BY14" s="1259"/>
      <c r="BZ14" s="1259"/>
      <c r="CA14" s="1259"/>
      <c r="CB14" s="1259"/>
      <c r="CC14" s="1259"/>
      <c r="CD14" s="1259"/>
      <c r="CE14" s="1259"/>
      <c r="CF14" s="1259"/>
      <c r="CG14" s="1259"/>
      <c r="CH14" s="1259"/>
      <c r="CI14" s="1259"/>
      <c r="CJ14" s="1259"/>
      <c r="CK14" s="1259"/>
      <c r="CL14" s="1259"/>
      <c r="CM14" s="1259"/>
      <c r="CN14" s="1259"/>
      <c r="CO14" s="1259"/>
      <c r="CP14" s="1259"/>
      <c r="CQ14" s="1259"/>
      <c r="CR14" s="1259"/>
      <c r="CS14" s="1259"/>
      <c r="CT14" s="1259"/>
      <c r="CU14" s="1259"/>
      <c r="CV14" s="1259"/>
      <c r="CW14" s="1259"/>
      <c r="CX14" s="1259"/>
      <c r="CY14" s="1259"/>
      <c r="CZ14" s="1259"/>
      <c r="DA14" s="1259"/>
      <c r="DB14" s="1259"/>
      <c r="DC14" s="1259"/>
      <c r="DD14" s="1259"/>
      <c r="DE14" s="1259"/>
      <c r="DF14" s="1259"/>
      <c r="DG14" s="1259"/>
      <c r="DH14" s="1259"/>
      <c r="DI14" s="1259"/>
      <c r="DJ14" s="1259"/>
      <c r="DK14" s="1259"/>
      <c r="DL14" s="1259"/>
      <c r="DM14" s="1259"/>
      <c r="DN14" s="1259"/>
      <c r="DO14" s="1259"/>
      <c r="DP14" s="1259"/>
      <c r="DQ14" s="1259"/>
      <c r="DR14" s="1259"/>
      <c r="DS14" s="1259"/>
      <c r="DT14" s="1259"/>
      <c r="DU14" s="1259"/>
      <c r="DV14" s="1259"/>
      <c r="DW14" s="1259"/>
      <c r="DX14" s="1259"/>
      <c r="DY14" s="1259"/>
      <c r="DZ14" s="1259"/>
      <c r="EA14" s="1259"/>
      <c r="EB14" s="1259"/>
      <c r="EC14" s="1259"/>
      <c r="ED14" s="1259"/>
      <c r="EE14" s="1259"/>
      <c r="EF14" s="1259"/>
      <c r="EG14" s="1259"/>
      <c r="EH14" s="1259"/>
      <c r="EI14" s="1259"/>
      <c r="EJ14" s="1259"/>
      <c r="EK14" s="1259"/>
      <c r="EL14" s="1259"/>
      <c r="EM14" s="1259"/>
      <c r="EN14" s="1259"/>
      <c r="EO14" s="1259"/>
      <c r="EP14" s="1259"/>
      <c r="EQ14" s="1259"/>
      <c r="ER14" s="1259"/>
      <c r="ES14" s="1259"/>
      <c r="ET14" s="1259"/>
      <c r="EU14" s="1259"/>
      <c r="EV14" s="1259"/>
      <c r="EW14" s="1259"/>
      <c r="EX14" s="1259"/>
      <c r="EY14" s="1259"/>
      <c r="EZ14" s="1259"/>
      <c r="FA14" s="1259"/>
      <c r="FB14" s="1259"/>
      <c r="FC14" s="1259"/>
      <c r="FD14" s="1259"/>
      <c r="FE14" s="1259"/>
      <c r="FF14" s="1259"/>
      <c r="FG14" s="1259"/>
      <c r="FH14" s="1259"/>
      <c r="FI14" s="1259"/>
      <c r="FJ14" s="1259"/>
      <c r="FK14" s="1259"/>
      <c r="FL14" s="1259"/>
      <c r="FM14" s="1259"/>
      <c r="FN14" s="1259"/>
      <c r="FO14" s="1259"/>
      <c r="FP14" s="1259"/>
      <c r="FQ14" s="1259"/>
      <c r="FR14" s="1259"/>
      <c r="FS14" s="1259"/>
      <c r="FT14" s="1259"/>
      <c r="FU14" s="1259"/>
      <c r="FV14" s="1259"/>
      <c r="FW14" s="1259"/>
      <c r="FX14" s="1259"/>
      <c r="FY14" s="1259"/>
      <c r="FZ14" s="1259"/>
      <c r="GA14" s="1259"/>
    </row>
    <row r="15" spans="1:183" s="1260" customFormat="1" ht="15" customHeight="1" thickBot="1">
      <c r="A15" s="687"/>
      <c r="B15" s="698"/>
      <c r="C15" s="938"/>
      <c r="D15" s="1261"/>
      <c r="E15" s="1261"/>
      <c r="F15" s="1262"/>
      <c r="G15" s="1263"/>
      <c r="H15" s="1263"/>
      <c r="I15" s="1253"/>
      <c r="J15" s="1251">
        <v>0</v>
      </c>
      <c r="K15" s="1259"/>
      <c r="L15" s="1259"/>
      <c r="M15" s="1259"/>
      <c r="N15" s="1259"/>
      <c r="O15" s="1259"/>
      <c r="P15" s="1259"/>
      <c r="Q15" s="1259"/>
      <c r="R15" s="1259"/>
      <c r="S15" s="1259"/>
      <c r="T15" s="1259"/>
      <c r="U15" s="1259"/>
      <c r="V15" s="1259"/>
      <c r="W15" s="1259"/>
      <c r="X15" s="1259"/>
      <c r="Y15" s="1259"/>
      <c r="Z15" s="1259"/>
      <c r="AA15" s="1259"/>
      <c r="AB15" s="1259"/>
      <c r="AC15" s="1259"/>
      <c r="AD15" s="1259"/>
      <c r="AE15" s="1259"/>
      <c r="AF15" s="1259"/>
      <c r="AG15" s="1259"/>
      <c r="AH15" s="1259"/>
      <c r="AI15" s="1259"/>
      <c r="AJ15" s="1259"/>
      <c r="AK15" s="1259"/>
      <c r="AL15" s="1259"/>
      <c r="AM15" s="1259"/>
      <c r="AN15" s="1259"/>
      <c r="AO15" s="1259"/>
      <c r="AP15" s="1259"/>
      <c r="AQ15" s="1259"/>
      <c r="AR15" s="1259"/>
      <c r="AS15" s="1259"/>
      <c r="AT15" s="1259"/>
      <c r="AU15" s="1259"/>
      <c r="AV15" s="1259"/>
      <c r="AW15" s="1259"/>
      <c r="AX15" s="1259"/>
      <c r="AY15" s="1259"/>
      <c r="AZ15" s="1259"/>
      <c r="BA15" s="1259"/>
      <c r="BB15" s="1259"/>
      <c r="BC15" s="1259"/>
      <c r="BD15" s="1259"/>
      <c r="BE15" s="1259"/>
      <c r="BF15" s="1259"/>
      <c r="BG15" s="1259"/>
      <c r="BH15" s="1259"/>
      <c r="BI15" s="1259"/>
      <c r="BJ15" s="1259"/>
      <c r="BK15" s="1259"/>
      <c r="BL15" s="1259"/>
      <c r="BM15" s="1259"/>
      <c r="BN15" s="1259"/>
      <c r="BO15" s="1259"/>
      <c r="BP15" s="1259"/>
      <c r="BQ15" s="1259"/>
      <c r="BR15" s="1259"/>
      <c r="BS15" s="1259"/>
      <c r="BT15" s="1259"/>
      <c r="BU15" s="1259"/>
      <c r="BV15" s="1259"/>
      <c r="BW15" s="1259"/>
      <c r="BX15" s="1259"/>
      <c r="BY15" s="1259"/>
      <c r="BZ15" s="1259"/>
      <c r="CA15" s="1259"/>
      <c r="CB15" s="1259"/>
      <c r="CC15" s="1259"/>
      <c r="CD15" s="1259"/>
      <c r="CE15" s="1259"/>
      <c r="CF15" s="1259"/>
      <c r="CG15" s="1259"/>
      <c r="CH15" s="1259"/>
      <c r="CI15" s="1259"/>
      <c r="CJ15" s="1259"/>
      <c r="CK15" s="1259"/>
      <c r="CL15" s="1259"/>
      <c r="CM15" s="1259"/>
      <c r="CN15" s="1259"/>
      <c r="CO15" s="1259"/>
      <c r="CP15" s="1259"/>
      <c r="CQ15" s="1259"/>
      <c r="CR15" s="1259"/>
      <c r="CS15" s="1259"/>
      <c r="CT15" s="1259"/>
      <c r="CU15" s="1259"/>
      <c r="CV15" s="1259"/>
      <c r="CW15" s="1259"/>
      <c r="CX15" s="1259"/>
      <c r="CY15" s="1259"/>
      <c r="CZ15" s="1259"/>
      <c r="DA15" s="1259"/>
      <c r="DB15" s="1259"/>
      <c r="DC15" s="1259"/>
      <c r="DD15" s="1259"/>
      <c r="DE15" s="1259"/>
      <c r="DF15" s="1259"/>
      <c r="DG15" s="1259"/>
      <c r="DH15" s="1259"/>
      <c r="DI15" s="1259"/>
      <c r="DJ15" s="1259"/>
      <c r="DK15" s="1259"/>
      <c r="DL15" s="1259"/>
      <c r="DM15" s="1259"/>
      <c r="DN15" s="1259"/>
      <c r="DO15" s="1259"/>
      <c r="DP15" s="1259"/>
      <c r="DQ15" s="1259"/>
      <c r="DR15" s="1259"/>
      <c r="DS15" s="1259"/>
      <c r="DT15" s="1259"/>
      <c r="DU15" s="1259"/>
      <c r="DV15" s="1259"/>
      <c r="DW15" s="1259"/>
      <c r="DX15" s="1259"/>
      <c r="DY15" s="1259"/>
      <c r="DZ15" s="1259"/>
      <c r="EA15" s="1259"/>
      <c r="EB15" s="1259"/>
      <c r="EC15" s="1259"/>
      <c r="ED15" s="1259"/>
      <c r="EE15" s="1259"/>
      <c r="EF15" s="1259"/>
      <c r="EG15" s="1259"/>
      <c r="EH15" s="1259"/>
      <c r="EI15" s="1259"/>
      <c r="EJ15" s="1259"/>
      <c r="EK15" s="1259"/>
      <c r="EL15" s="1259"/>
      <c r="EM15" s="1259"/>
      <c r="EN15" s="1259"/>
      <c r="EO15" s="1259"/>
      <c r="EP15" s="1259"/>
      <c r="EQ15" s="1259"/>
      <c r="ER15" s="1259"/>
      <c r="ES15" s="1259"/>
      <c r="ET15" s="1259"/>
      <c r="EU15" s="1259"/>
      <c r="EV15" s="1259"/>
      <c r="EW15" s="1259"/>
      <c r="EX15" s="1259"/>
      <c r="EY15" s="1259"/>
      <c r="EZ15" s="1259"/>
      <c r="FA15" s="1259"/>
      <c r="FB15" s="1259"/>
      <c r="FC15" s="1259"/>
      <c r="FD15" s="1259"/>
      <c r="FE15" s="1259"/>
      <c r="FF15" s="1259"/>
      <c r="FG15" s="1259"/>
      <c r="FH15" s="1259"/>
      <c r="FI15" s="1259"/>
      <c r="FJ15" s="1259"/>
      <c r="FK15" s="1259"/>
      <c r="FL15" s="1259"/>
      <c r="FM15" s="1259"/>
      <c r="FN15" s="1259"/>
      <c r="FO15" s="1259"/>
      <c r="FP15" s="1259"/>
      <c r="FQ15" s="1259"/>
      <c r="FR15" s="1259"/>
      <c r="FS15" s="1259"/>
      <c r="FT15" s="1259"/>
      <c r="FU15" s="1259"/>
      <c r="FV15" s="1259"/>
      <c r="FW15" s="1259"/>
      <c r="FX15" s="1259"/>
      <c r="FY15" s="1259"/>
      <c r="FZ15" s="1259"/>
      <c r="GA15" s="1259"/>
    </row>
    <row r="16" spans="1:183" s="1265" customFormat="1" ht="15" customHeight="1" hidden="1">
      <c r="A16" s="687"/>
      <c r="B16" s="698"/>
      <c r="C16" s="938"/>
      <c r="D16" s="1261"/>
      <c r="E16" s="1261"/>
      <c r="F16" s="1262"/>
      <c r="G16" s="1263"/>
      <c r="H16" s="1263"/>
      <c r="I16" s="1253"/>
      <c r="J16" s="1251">
        <v>0</v>
      </c>
      <c r="K16" s="1264"/>
      <c r="L16" s="1264"/>
      <c r="M16" s="1264"/>
      <c r="N16" s="1264"/>
      <c r="O16" s="1264"/>
      <c r="P16" s="1264"/>
      <c r="Q16" s="1264"/>
      <c r="R16" s="1264"/>
      <c r="S16" s="1264"/>
      <c r="T16" s="1264"/>
      <c r="U16" s="1264"/>
      <c r="V16" s="1264"/>
      <c r="W16" s="1264"/>
      <c r="X16" s="1264"/>
      <c r="Y16" s="1264"/>
      <c r="Z16" s="1264"/>
      <c r="AA16" s="1264"/>
      <c r="AB16" s="1264"/>
      <c r="AC16" s="1264"/>
      <c r="AD16" s="1264"/>
      <c r="AE16" s="1264"/>
      <c r="AF16" s="1264"/>
      <c r="AG16" s="1264"/>
      <c r="AH16" s="1264"/>
      <c r="AI16" s="1264"/>
      <c r="AJ16" s="1264"/>
      <c r="AK16" s="1264"/>
      <c r="AL16" s="1264"/>
      <c r="AM16" s="1264"/>
      <c r="AN16" s="1264"/>
      <c r="AO16" s="1264"/>
      <c r="AP16" s="1264"/>
      <c r="AQ16" s="1264"/>
      <c r="AR16" s="1264"/>
      <c r="AS16" s="1264"/>
      <c r="AT16" s="1264"/>
      <c r="AU16" s="1264"/>
      <c r="AV16" s="1264"/>
      <c r="AW16" s="1264"/>
      <c r="AX16" s="1264"/>
      <c r="AY16" s="1264"/>
      <c r="AZ16" s="1264"/>
      <c r="BA16" s="1264"/>
      <c r="BB16" s="1264"/>
      <c r="BC16" s="1264"/>
      <c r="BD16" s="1264"/>
      <c r="BE16" s="1264"/>
      <c r="BF16" s="1264"/>
      <c r="BG16" s="1264"/>
      <c r="BH16" s="1264"/>
      <c r="BI16" s="1264"/>
      <c r="BJ16" s="1264"/>
      <c r="BK16" s="1264"/>
      <c r="BL16" s="1264"/>
      <c r="BM16" s="1264"/>
      <c r="BN16" s="1264"/>
      <c r="BO16" s="1264"/>
      <c r="BP16" s="1264"/>
      <c r="BQ16" s="1264"/>
      <c r="BR16" s="1264"/>
      <c r="BS16" s="1264"/>
      <c r="BT16" s="1264"/>
      <c r="BU16" s="1264"/>
      <c r="BV16" s="1264"/>
      <c r="BW16" s="1264"/>
      <c r="BX16" s="1264"/>
      <c r="BY16" s="1264"/>
      <c r="BZ16" s="1264"/>
      <c r="CA16" s="1264"/>
      <c r="CB16" s="1264"/>
      <c r="CC16" s="1264"/>
      <c r="CD16" s="1264"/>
      <c r="CE16" s="1264"/>
      <c r="CF16" s="1264"/>
      <c r="CG16" s="1264"/>
      <c r="CH16" s="1264"/>
      <c r="CI16" s="1264"/>
      <c r="CJ16" s="1264"/>
      <c r="CK16" s="1264"/>
      <c r="CL16" s="1264"/>
      <c r="CM16" s="1264"/>
      <c r="CN16" s="1264"/>
      <c r="CO16" s="1264"/>
      <c r="CP16" s="1264"/>
      <c r="CQ16" s="1264"/>
      <c r="CR16" s="1264"/>
      <c r="CS16" s="1264"/>
      <c r="CT16" s="1264"/>
      <c r="CU16" s="1264"/>
      <c r="CV16" s="1264"/>
      <c r="CW16" s="1264"/>
      <c r="CX16" s="1264"/>
      <c r="CY16" s="1264"/>
      <c r="CZ16" s="1264"/>
      <c r="DA16" s="1264"/>
      <c r="DB16" s="1264"/>
      <c r="DC16" s="1264"/>
      <c r="DD16" s="1264"/>
      <c r="DE16" s="1264"/>
      <c r="DF16" s="1264"/>
      <c r="DG16" s="1264"/>
      <c r="DH16" s="1264"/>
      <c r="DI16" s="1264"/>
      <c r="DJ16" s="1264"/>
      <c r="DK16" s="1264"/>
      <c r="DL16" s="1264"/>
      <c r="DM16" s="1264"/>
      <c r="DN16" s="1264"/>
      <c r="DO16" s="1264"/>
      <c r="DP16" s="1264"/>
      <c r="DQ16" s="1264"/>
      <c r="DR16" s="1264"/>
      <c r="DS16" s="1264"/>
      <c r="DT16" s="1264"/>
      <c r="DU16" s="1264"/>
      <c r="DV16" s="1264"/>
      <c r="DW16" s="1264"/>
      <c r="DX16" s="1264"/>
      <c r="DY16" s="1264"/>
      <c r="DZ16" s="1264"/>
      <c r="EA16" s="1264"/>
      <c r="EB16" s="1264"/>
      <c r="EC16" s="1264"/>
      <c r="ED16" s="1264"/>
      <c r="EE16" s="1264"/>
      <c r="EF16" s="1264"/>
      <c r="EG16" s="1264"/>
      <c r="EH16" s="1264"/>
      <c r="EI16" s="1264"/>
      <c r="EJ16" s="1264"/>
      <c r="EK16" s="1264"/>
      <c r="EL16" s="1264"/>
      <c r="EM16" s="1264"/>
      <c r="EN16" s="1264"/>
      <c r="EO16" s="1264"/>
      <c r="EP16" s="1264"/>
      <c r="EQ16" s="1264"/>
      <c r="ER16" s="1264"/>
      <c r="ES16" s="1264"/>
      <c r="ET16" s="1264"/>
      <c r="EU16" s="1264"/>
      <c r="EV16" s="1264"/>
      <c r="EW16" s="1264"/>
      <c r="EX16" s="1264"/>
      <c r="EY16" s="1264"/>
      <c r="EZ16" s="1264"/>
      <c r="FA16" s="1264"/>
      <c r="FB16" s="1264"/>
      <c r="FC16" s="1264"/>
      <c r="FD16" s="1264"/>
      <c r="FE16" s="1264"/>
      <c r="FF16" s="1264"/>
      <c r="FG16" s="1264"/>
      <c r="FH16" s="1264"/>
      <c r="FI16" s="1264"/>
      <c r="FJ16" s="1264"/>
      <c r="FK16" s="1264"/>
      <c r="FL16" s="1264"/>
      <c r="FM16" s="1264"/>
      <c r="FN16" s="1264"/>
      <c r="FO16" s="1264"/>
      <c r="FP16" s="1264"/>
      <c r="FQ16" s="1264"/>
      <c r="FR16" s="1264"/>
      <c r="FS16" s="1264"/>
      <c r="FT16" s="1264"/>
      <c r="FU16" s="1264"/>
      <c r="FV16" s="1264"/>
      <c r="FW16" s="1264"/>
      <c r="FX16" s="1264"/>
      <c r="FY16" s="1264"/>
      <c r="FZ16" s="1264"/>
      <c r="GA16" s="1264"/>
    </row>
    <row r="17" spans="1:183" s="1265" customFormat="1" ht="15" customHeight="1" hidden="1">
      <c r="A17" s="687"/>
      <c r="B17" s="698"/>
      <c r="C17" s="938"/>
      <c r="D17" s="1261"/>
      <c r="E17" s="1261"/>
      <c r="F17" s="1262"/>
      <c r="G17" s="1263"/>
      <c r="H17" s="1263"/>
      <c r="I17" s="1253"/>
      <c r="J17" s="1251">
        <v>0</v>
      </c>
      <c r="K17" s="1264"/>
      <c r="L17" s="1264"/>
      <c r="M17" s="1264"/>
      <c r="N17" s="1264"/>
      <c r="O17" s="1264"/>
      <c r="P17" s="1264"/>
      <c r="Q17" s="1264"/>
      <c r="R17" s="1264"/>
      <c r="S17" s="1264"/>
      <c r="T17" s="1264"/>
      <c r="U17" s="1264"/>
      <c r="V17" s="1264"/>
      <c r="W17" s="1264"/>
      <c r="X17" s="1264"/>
      <c r="Y17" s="1264"/>
      <c r="Z17" s="1264"/>
      <c r="AA17" s="1264"/>
      <c r="AB17" s="1264"/>
      <c r="AC17" s="1264"/>
      <c r="AD17" s="1264"/>
      <c r="AE17" s="1264"/>
      <c r="AF17" s="1264"/>
      <c r="AG17" s="1264"/>
      <c r="AH17" s="1264"/>
      <c r="AI17" s="1264"/>
      <c r="AJ17" s="1264"/>
      <c r="AK17" s="1264"/>
      <c r="AL17" s="1264"/>
      <c r="AM17" s="1264"/>
      <c r="AN17" s="1264"/>
      <c r="AO17" s="1264"/>
      <c r="AP17" s="1264"/>
      <c r="AQ17" s="1264"/>
      <c r="AR17" s="1264"/>
      <c r="AS17" s="1264"/>
      <c r="AT17" s="1264"/>
      <c r="AU17" s="1264"/>
      <c r="AV17" s="1264"/>
      <c r="AW17" s="1264"/>
      <c r="AX17" s="1264"/>
      <c r="AY17" s="1264"/>
      <c r="AZ17" s="1264"/>
      <c r="BA17" s="1264"/>
      <c r="BB17" s="1264"/>
      <c r="BC17" s="1264"/>
      <c r="BD17" s="1264"/>
      <c r="BE17" s="1264"/>
      <c r="BF17" s="1264"/>
      <c r="BG17" s="1264"/>
      <c r="BH17" s="1264"/>
      <c r="BI17" s="1264"/>
      <c r="BJ17" s="1264"/>
      <c r="BK17" s="1264"/>
      <c r="BL17" s="1264"/>
      <c r="BM17" s="1264"/>
      <c r="BN17" s="1264"/>
      <c r="BO17" s="1264"/>
      <c r="BP17" s="1264"/>
      <c r="BQ17" s="1264"/>
      <c r="BR17" s="1264"/>
      <c r="BS17" s="1264"/>
      <c r="BT17" s="1264"/>
      <c r="BU17" s="1264"/>
      <c r="BV17" s="1264"/>
      <c r="BW17" s="1264"/>
      <c r="BX17" s="1264"/>
      <c r="BY17" s="1264"/>
      <c r="BZ17" s="1264"/>
      <c r="CA17" s="1264"/>
      <c r="CB17" s="1264"/>
      <c r="CC17" s="1264"/>
      <c r="CD17" s="1264"/>
      <c r="CE17" s="1264"/>
      <c r="CF17" s="1264"/>
      <c r="CG17" s="1264"/>
      <c r="CH17" s="1264"/>
      <c r="CI17" s="1264"/>
      <c r="CJ17" s="1264"/>
      <c r="CK17" s="1264"/>
      <c r="CL17" s="1264"/>
      <c r="CM17" s="1264"/>
      <c r="CN17" s="1264"/>
      <c r="CO17" s="1264"/>
      <c r="CP17" s="1264"/>
      <c r="CQ17" s="1264"/>
      <c r="CR17" s="1264"/>
      <c r="CS17" s="1264"/>
      <c r="CT17" s="1264"/>
      <c r="CU17" s="1264"/>
      <c r="CV17" s="1264"/>
      <c r="CW17" s="1264"/>
      <c r="CX17" s="1264"/>
      <c r="CY17" s="1264"/>
      <c r="CZ17" s="1264"/>
      <c r="DA17" s="1264"/>
      <c r="DB17" s="1264"/>
      <c r="DC17" s="1264"/>
      <c r="DD17" s="1264"/>
      <c r="DE17" s="1264"/>
      <c r="DF17" s="1264"/>
      <c r="DG17" s="1264"/>
      <c r="DH17" s="1264"/>
      <c r="DI17" s="1264"/>
      <c r="DJ17" s="1264"/>
      <c r="DK17" s="1264"/>
      <c r="DL17" s="1264"/>
      <c r="DM17" s="1264"/>
      <c r="DN17" s="1264"/>
      <c r="DO17" s="1264"/>
      <c r="DP17" s="1264"/>
      <c r="DQ17" s="1264"/>
      <c r="DR17" s="1264"/>
      <c r="DS17" s="1264"/>
      <c r="DT17" s="1264"/>
      <c r="DU17" s="1264"/>
      <c r="DV17" s="1264"/>
      <c r="DW17" s="1264"/>
      <c r="DX17" s="1264"/>
      <c r="DY17" s="1264"/>
      <c r="DZ17" s="1264"/>
      <c r="EA17" s="1264"/>
      <c r="EB17" s="1264"/>
      <c r="EC17" s="1264"/>
      <c r="ED17" s="1264"/>
      <c r="EE17" s="1264"/>
      <c r="EF17" s="1264"/>
      <c r="EG17" s="1264"/>
      <c r="EH17" s="1264"/>
      <c r="EI17" s="1264"/>
      <c r="EJ17" s="1264"/>
      <c r="EK17" s="1264"/>
      <c r="EL17" s="1264"/>
      <c r="EM17" s="1264"/>
      <c r="EN17" s="1264"/>
      <c r="EO17" s="1264"/>
      <c r="EP17" s="1264"/>
      <c r="EQ17" s="1264"/>
      <c r="ER17" s="1264"/>
      <c r="ES17" s="1264"/>
      <c r="ET17" s="1264"/>
      <c r="EU17" s="1264"/>
      <c r="EV17" s="1264"/>
      <c r="EW17" s="1264"/>
      <c r="EX17" s="1264"/>
      <c r="EY17" s="1264"/>
      <c r="EZ17" s="1264"/>
      <c r="FA17" s="1264"/>
      <c r="FB17" s="1264"/>
      <c r="FC17" s="1264"/>
      <c r="FD17" s="1264"/>
      <c r="FE17" s="1264"/>
      <c r="FF17" s="1264"/>
      <c r="FG17" s="1264"/>
      <c r="FH17" s="1264"/>
      <c r="FI17" s="1264"/>
      <c r="FJ17" s="1264"/>
      <c r="FK17" s="1264"/>
      <c r="FL17" s="1264"/>
      <c r="FM17" s="1264"/>
      <c r="FN17" s="1264"/>
      <c r="FO17" s="1264"/>
      <c r="FP17" s="1264"/>
      <c r="FQ17" s="1264"/>
      <c r="FR17" s="1264"/>
      <c r="FS17" s="1264"/>
      <c r="FT17" s="1264"/>
      <c r="FU17" s="1264"/>
      <c r="FV17" s="1264"/>
      <c r="FW17" s="1264"/>
      <c r="FX17" s="1264"/>
      <c r="FY17" s="1264"/>
      <c r="FZ17" s="1264"/>
      <c r="GA17" s="1264"/>
    </row>
    <row r="18" spans="1:183" s="1265" customFormat="1" ht="15" customHeight="1" hidden="1">
      <c r="A18" s="687"/>
      <c r="B18" s="698"/>
      <c r="C18" s="938"/>
      <c r="D18" s="1261"/>
      <c r="E18" s="1261"/>
      <c r="F18" s="1262"/>
      <c r="G18" s="1263"/>
      <c r="H18" s="1263"/>
      <c r="I18" s="1253"/>
      <c r="J18" s="1251">
        <v>0</v>
      </c>
      <c r="K18" s="1264"/>
      <c r="L18" s="1264"/>
      <c r="M18" s="1264"/>
      <c r="N18" s="1264"/>
      <c r="O18" s="1264"/>
      <c r="P18" s="1264"/>
      <c r="Q18" s="1264"/>
      <c r="R18" s="1264"/>
      <c r="S18" s="1264"/>
      <c r="T18" s="1264"/>
      <c r="U18" s="1264"/>
      <c r="V18" s="1264"/>
      <c r="W18" s="1264"/>
      <c r="X18" s="1264"/>
      <c r="Y18" s="1264"/>
      <c r="Z18" s="1264"/>
      <c r="AA18" s="1264"/>
      <c r="AB18" s="1264"/>
      <c r="AC18" s="1264"/>
      <c r="AD18" s="1264"/>
      <c r="AE18" s="1264"/>
      <c r="AF18" s="1264"/>
      <c r="AG18" s="1264"/>
      <c r="AH18" s="1264"/>
      <c r="AI18" s="1264"/>
      <c r="AJ18" s="1264"/>
      <c r="AK18" s="1264"/>
      <c r="AL18" s="1264"/>
      <c r="AM18" s="1264"/>
      <c r="AN18" s="1264"/>
      <c r="AO18" s="1264"/>
      <c r="AP18" s="1264"/>
      <c r="AQ18" s="1264"/>
      <c r="AR18" s="1264"/>
      <c r="AS18" s="1264"/>
      <c r="AT18" s="1264"/>
      <c r="AU18" s="1264"/>
      <c r="AV18" s="1264"/>
      <c r="AW18" s="1264"/>
      <c r="AX18" s="1264"/>
      <c r="AY18" s="1264"/>
      <c r="AZ18" s="1264"/>
      <c r="BA18" s="1264"/>
      <c r="BB18" s="1264"/>
      <c r="BC18" s="1264"/>
      <c r="BD18" s="1264"/>
      <c r="BE18" s="1264"/>
      <c r="BF18" s="1264"/>
      <c r="BG18" s="1264"/>
      <c r="BH18" s="1264"/>
      <c r="BI18" s="1264"/>
      <c r="BJ18" s="1264"/>
      <c r="BK18" s="1264"/>
      <c r="BL18" s="1264"/>
      <c r="BM18" s="1264"/>
      <c r="BN18" s="1264"/>
      <c r="BO18" s="1264"/>
      <c r="BP18" s="1264"/>
      <c r="BQ18" s="1264"/>
      <c r="BR18" s="1264"/>
      <c r="BS18" s="1264"/>
      <c r="BT18" s="1264"/>
      <c r="BU18" s="1264"/>
      <c r="BV18" s="1264"/>
      <c r="BW18" s="1264"/>
      <c r="BX18" s="1264"/>
      <c r="BY18" s="1264"/>
      <c r="BZ18" s="1264"/>
      <c r="CA18" s="1264"/>
      <c r="CB18" s="1264"/>
      <c r="CC18" s="1264"/>
      <c r="CD18" s="1264"/>
      <c r="CE18" s="1264"/>
      <c r="CF18" s="1264"/>
      <c r="CG18" s="1264"/>
      <c r="CH18" s="1264"/>
      <c r="CI18" s="1264"/>
      <c r="CJ18" s="1264"/>
      <c r="CK18" s="1264"/>
      <c r="CL18" s="1264"/>
      <c r="CM18" s="1264"/>
      <c r="CN18" s="1264"/>
      <c r="CO18" s="1264"/>
      <c r="CP18" s="1264"/>
      <c r="CQ18" s="1264"/>
      <c r="CR18" s="1264"/>
      <c r="CS18" s="1264"/>
      <c r="CT18" s="1264"/>
      <c r="CU18" s="1264"/>
      <c r="CV18" s="1264"/>
      <c r="CW18" s="1264"/>
      <c r="CX18" s="1264"/>
      <c r="CY18" s="1264"/>
      <c r="CZ18" s="1264"/>
      <c r="DA18" s="1264"/>
      <c r="DB18" s="1264"/>
      <c r="DC18" s="1264"/>
      <c r="DD18" s="1264"/>
      <c r="DE18" s="1264"/>
      <c r="DF18" s="1264"/>
      <c r="DG18" s="1264"/>
      <c r="DH18" s="1264"/>
      <c r="DI18" s="1264"/>
      <c r="DJ18" s="1264"/>
      <c r="DK18" s="1264"/>
      <c r="DL18" s="1264"/>
      <c r="DM18" s="1264"/>
      <c r="DN18" s="1264"/>
      <c r="DO18" s="1264"/>
      <c r="DP18" s="1264"/>
      <c r="DQ18" s="1264"/>
      <c r="DR18" s="1264"/>
      <c r="DS18" s="1264"/>
      <c r="DT18" s="1264"/>
      <c r="DU18" s="1264"/>
      <c r="DV18" s="1264"/>
      <c r="DW18" s="1264"/>
      <c r="DX18" s="1264"/>
      <c r="DY18" s="1264"/>
      <c r="DZ18" s="1264"/>
      <c r="EA18" s="1264"/>
      <c r="EB18" s="1264"/>
      <c r="EC18" s="1264"/>
      <c r="ED18" s="1264"/>
      <c r="EE18" s="1264"/>
      <c r="EF18" s="1264"/>
      <c r="EG18" s="1264"/>
      <c r="EH18" s="1264"/>
      <c r="EI18" s="1264"/>
      <c r="EJ18" s="1264"/>
      <c r="EK18" s="1264"/>
      <c r="EL18" s="1264"/>
      <c r="EM18" s="1264"/>
      <c r="EN18" s="1264"/>
      <c r="EO18" s="1264"/>
      <c r="EP18" s="1264"/>
      <c r="EQ18" s="1264"/>
      <c r="ER18" s="1264"/>
      <c r="ES18" s="1264"/>
      <c r="ET18" s="1264"/>
      <c r="EU18" s="1264"/>
      <c r="EV18" s="1264"/>
      <c r="EW18" s="1264"/>
      <c r="EX18" s="1264"/>
      <c r="EY18" s="1264"/>
      <c r="EZ18" s="1264"/>
      <c r="FA18" s="1264"/>
      <c r="FB18" s="1264"/>
      <c r="FC18" s="1264"/>
      <c r="FD18" s="1264"/>
      <c r="FE18" s="1264"/>
      <c r="FF18" s="1264"/>
      <c r="FG18" s="1264"/>
      <c r="FH18" s="1264"/>
      <c r="FI18" s="1264"/>
      <c r="FJ18" s="1264"/>
      <c r="FK18" s="1264"/>
      <c r="FL18" s="1264"/>
      <c r="FM18" s="1264"/>
      <c r="FN18" s="1264"/>
      <c r="FO18" s="1264"/>
      <c r="FP18" s="1264"/>
      <c r="FQ18" s="1264"/>
      <c r="FR18" s="1264"/>
      <c r="FS18" s="1264"/>
      <c r="FT18" s="1264"/>
      <c r="FU18" s="1264"/>
      <c r="FV18" s="1264"/>
      <c r="FW18" s="1264"/>
      <c r="FX18" s="1264"/>
      <c r="FY18" s="1264"/>
      <c r="FZ18" s="1264"/>
      <c r="GA18" s="1264"/>
    </row>
    <row r="19" spans="1:183" s="1265" customFormat="1" ht="15" customHeight="1" hidden="1">
      <c r="A19" s="689"/>
      <c r="B19" s="698"/>
      <c r="C19" s="938"/>
      <c r="D19" s="1261"/>
      <c r="E19" s="1261"/>
      <c r="F19" s="1262"/>
      <c r="G19" s="1263"/>
      <c r="H19" s="1263"/>
      <c r="I19" s="1253"/>
      <c r="J19" s="1251">
        <v>0</v>
      </c>
      <c r="K19" s="1264"/>
      <c r="L19" s="1264"/>
      <c r="M19" s="1264"/>
      <c r="N19" s="1264"/>
      <c r="O19" s="1264"/>
      <c r="P19" s="1264"/>
      <c r="Q19" s="1264"/>
      <c r="R19" s="1264"/>
      <c r="S19" s="1264"/>
      <c r="T19" s="1264"/>
      <c r="U19" s="1264"/>
      <c r="V19" s="1264"/>
      <c r="W19" s="1264"/>
      <c r="X19" s="1264"/>
      <c r="Y19" s="1264"/>
      <c r="Z19" s="1264"/>
      <c r="AA19" s="1264"/>
      <c r="AB19" s="1264"/>
      <c r="AC19" s="1264"/>
      <c r="AD19" s="1264"/>
      <c r="AE19" s="1264"/>
      <c r="AF19" s="1264"/>
      <c r="AG19" s="1264"/>
      <c r="AH19" s="1264"/>
      <c r="AI19" s="1264"/>
      <c r="AJ19" s="1264"/>
      <c r="AK19" s="1264"/>
      <c r="AL19" s="1264"/>
      <c r="AM19" s="1264"/>
      <c r="AN19" s="1264"/>
      <c r="AO19" s="1264"/>
      <c r="AP19" s="1264"/>
      <c r="AQ19" s="1264"/>
      <c r="AR19" s="1264"/>
      <c r="AS19" s="1264"/>
      <c r="AT19" s="1264"/>
      <c r="AU19" s="1264"/>
      <c r="AV19" s="1264"/>
      <c r="AW19" s="1264"/>
      <c r="AX19" s="1264"/>
      <c r="AY19" s="1264"/>
      <c r="AZ19" s="1264"/>
      <c r="BA19" s="1264"/>
      <c r="BB19" s="1264"/>
      <c r="BC19" s="1264"/>
      <c r="BD19" s="1264"/>
      <c r="BE19" s="1264"/>
      <c r="BF19" s="1264"/>
      <c r="BG19" s="1264"/>
      <c r="BH19" s="1264"/>
      <c r="BI19" s="1264"/>
      <c r="BJ19" s="1264"/>
      <c r="BK19" s="1264"/>
      <c r="BL19" s="1264"/>
      <c r="BM19" s="1264"/>
      <c r="BN19" s="1264"/>
      <c r="BO19" s="1264"/>
      <c r="BP19" s="1264"/>
      <c r="BQ19" s="1264"/>
      <c r="BR19" s="1264"/>
      <c r="BS19" s="1264"/>
      <c r="BT19" s="1264"/>
      <c r="BU19" s="1264"/>
      <c r="BV19" s="1264"/>
      <c r="BW19" s="1264"/>
      <c r="BX19" s="1264"/>
      <c r="BY19" s="1264"/>
      <c r="BZ19" s="1264"/>
      <c r="CA19" s="1264"/>
      <c r="CB19" s="1264"/>
      <c r="CC19" s="1264"/>
      <c r="CD19" s="1264"/>
      <c r="CE19" s="1264"/>
      <c r="CF19" s="1264"/>
      <c r="CG19" s="1264"/>
      <c r="CH19" s="1264"/>
      <c r="CI19" s="1264"/>
      <c r="CJ19" s="1264"/>
      <c r="CK19" s="1264"/>
      <c r="CL19" s="1264"/>
      <c r="CM19" s="1264"/>
      <c r="CN19" s="1264"/>
      <c r="CO19" s="1264"/>
      <c r="CP19" s="1264"/>
      <c r="CQ19" s="1264"/>
      <c r="CR19" s="1264"/>
      <c r="CS19" s="1264"/>
      <c r="CT19" s="1264"/>
      <c r="CU19" s="1264"/>
      <c r="CV19" s="1264"/>
      <c r="CW19" s="1264"/>
      <c r="CX19" s="1264"/>
      <c r="CY19" s="1264"/>
      <c r="CZ19" s="1264"/>
      <c r="DA19" s="1264"/>
      <c r="DB19" s="1264"/>
      <c r="DC19" s="1264"/>
      <c r="DD19" s="1264"/>
      <c r="DE19" s="1264"/>
      <c r="DF19" s="1264"/>
      <c r="DG19" s="1264"/>
      <c r="DH19" s="1264"/>
      <c r="DI19" s="1264"/>
      <c r="DJ19" s="1264"/>
      <c r="DK19" s="1264"/>
      <c r="DL19" s="1264"/>
      <c r="DM19" s="1264"/>
      <c r="DN19" s="1264"/>
      <c r="DO19" s="1264"/>
      <c r="DP19" s="1264"/>
      <c r="DQ19" s="1264"/>
      <c r="DR19" s="1264"/>
      <c r="DS19" s="1264"/>
      <c r="DT19" s="1264"/>
      <c r="DU19" s="1264"/>
      <c r="DV19" s="1264"/>
      <c r="DW19" s="1264"/>
      <c r="DX19" s="1264"/>
      <c r="DY19" s="1264"/>
      <c r="DZ19" s="1264"/>
      <c r="EA19" s="1264"/>
      <c r="EB19" s="1264"/>
      <c r="EC19" s="1264"/>
      <c r="ED19" s="1264"/>
      <c r="EE19" s="1264"/>
      <c r="EF19" s="1264"/>
      <c r="EG19" s="1264"/>
      <c r="EH19" s="1264"/>
      <c r="EI19" s="1264"/>
      <c r="EJ19" s="1264"/>
      <c r="EK19" s="1264"/>
      <c r="EL19" s="1264"/>
      <c r="EM19" s="1264"/>
      <c r="EN19" s="1264"/>
      <c r="EO19" s="1264"/>
      <c r="EP19" s="1264"/>
      <c r="EQ19" s="1264"/>
      <c r="ER19" s="1264"/>
      <c r="ES19" s="1264"/>
      <c r="ET19" s="1264"/>
      <c r="EU19" s="1264"/>
      <c r="EV19" s="1264"/>
      <c r="EW19" s="1264"/>
      <c r="EX19" s="1264"/>
      <c r="EY19" s="1264"/>
      <c r="EZ19" s="1264"/>
      <c r="FA19" s="1264"/>
      <c r="FB19" s="1264"/>
      <c r="FC19" s="1264"/>
      <c r="FD19" s="1264"/>
      <c r="FE19" s="1264"/>
      <c r="FF19" s="1264"/>
      <c r="FG19" s="1264"/>
      <c r="FH19" s="1264"/>
      <c r="FI19" s="1264"/>
      <c r="FJ19" s="1264"/>
      <c r="FK19" s="1264"/>
      <c r="FL19" s="1264"/>
      <c r="FM19" s="1264"/>
      <c r="FN19" s="1264"/>
      <c r="FO19" s="1264"/>
      <c r="FP19" s="1264"/>
      <c r="FQ19" s="1264"/>
      <c r="FR19" s="1264"/>
      <c r="FS19" s="1264"/>
      <c r="FT19" s="1264"/>
      <c r="FU19" s="1264"/>
      <c r="FV19" s="1264"/>
      <c r="FW19" s="1264"/>
      <c r="FX19" s="1264"/>
      <c r="FY19" s="1264"/>
      <c r="FZ19" s="1264"/>
      <c r="GA19" s="1264"/>
    </row>
    <row r="20" spans="1:183" s="1265" customFormat="1" ht="15" customHeight="1" hidden="1">
      <c r="A20" s="690"/>
      <c r="B20" s="698"/>
      <c r="C20" s="938"/>
      <c r="D20" s="1261"/>
      <c r="E20" s="1261"/>
      <c r="F20" s="1262"/>
      <c r="G20" s="1263"/>
      <c r="H20" s="1263"/>
      <c r="I20" s="1253"/>
      <c r="J20" s="1251">
        <v>0</v>
      </c>
      <c r="K20" s="1264"/>
      <c r="L20" s="1264"/>
      <c r="M20" s="1264"/>
      <c r="N20" s="1264"/>
      <c r="O20" s="1264"/>
      <c r="P20" s="1264"/>
      <c r="Q20" s="1264"/>
      <c r="R20" s="1264"/>
      <c r="S20" s="1264"/>
      <c r="T20" s="1264"/>
      <c r="U20" s="1264"/>
      <c r="V20" s="1264"/>
      <c r="W20" s="1264"/>
      <c r="X20" s="1264"/>
      <c r="Y20" s="1264"/>
      <c r="Z20" s="1264"/>
      <c r="AA20" s="1264"/>
      <c r="AB20" s="1264"/>
      <c r="AC20" s="1264"/>
      <c r="AD20" s="1264"/>
      <c r="AE20" s="1264"/>
      <c r="AF20" s="1264"/>
      <c r="AG20" s="1264"/>
      <c r="AH20" s="1264"/>
      <c r="AI20" s="1264"/>
      <c r="AJ20" s="1264"/>
      <c r="AK20" s="1264"/>
      <c r="AL20" s="1264"/>
      <c r="AM20" s="1264"/>
      <c r="AN20" s="1264"/>
      <c r="AO20" s="1264"/>
      <c r="AP20" s="1264"/>
      <c r="AQ20" s="1264"/>
      <c r="AR20" s="1264"/>
      <c r="AS20" s="1264"/>
      <c r="AT20" s="1264"/>
      <c r="AU20" s="1264"/>
      <c r="AV20" s="1264"/>
      <c r="AW20" s="1264"/>
      <c r="AX20" s="1264"/>
      <c r="AY20" s="1264"/>
      <c r="AZ20" s="1264"/>
      <c r="BA20" s="1264"/>
      <c r="BB20" s="1264"/>
      <c r="BC20" s="1264"/>
      <c r="BD20" s="1264"/>
      <c r="BE20" s="1264"/>
      <c r="BF20" s="1264"/>
      <c r="BG20" s="1264"/>
      <c r="BH20" s="1264"/>
      <c r="BI20" s="1264"/>
      <c r="BJ20" s="1264"/>
      <c r="BK20" s="1264"/>
      <c r="BL20" s="1264"/>
      <c r="BM20" s="1264"/>
      <c r="BN20" s="1264"/>
      <c r="BO20" s="1264"/>
      <c r="BP20" s="1264"/>
      <c r="BQ20" s="1264"/>
      <c r="BR20" s="1264"/>
      <c r="BS20" s="1264"/>
      <c r="BT20" s="1264"/>
      <c r="BU20" s="1264"/>
      <c r="BV20" s="1264"/>
      <c r="BW20" s="1264"/>
      <c r="BX20" s="1264"/>
      <c r="BY20" s="1264"/>
      <c r="BZ20" s="1264"/>
      <c r="CA20" s="1264"/>
      <c r="CB20" s="1264"/>
      <c r="CC20" s="1264"/>
      <c r="CD20" s="1264"/>
      <c r="CE20" s="1264"/>
      <c r="CF20" s="1264"/>
      <c r="CG20" s="1264"/>
      <c r="CH20" s="1264"/>
      <c r="CI20" s="1264"/>
      <c r="CJ20" s="1264"/>
      <c r="CK20" s="1264"/>
      <c r="CL20" s="1264"/>
      <c r="CM20" s="1264"/>
      <c r="CN20" s="1264"/>
      <c r="CO20" s="1264"/>
      <c r="CP20" s="1264"/>
      <c r="CQ20" s="1264"/>
      <c r="CR20" s="1264"/>
      <c r="CS20" s="1264"/>
      <c r="CT20" s="1264"/>
      <c r="CU20" s="1264"/>
      <c r="CV20" s="1264"/>
      <c r="CW20" s="1264"/>
      <c r="CX20" s="1264"/>
      <c r="CY20" s="1264"/>
      <c r="CZ20" s="1264"/>
      <c r="DA20" s="1264"/>
      <c r="DB20" s="1264"/>
      <c r="DC20" s="1264"/>
      <c r="DD20" s="1264"/>
      <c r="DE20" s="1264"/>
      <c r="DF20" s="1264"/>
      <c r="DG20" s="1264"/>
      <c r="DH20" s="1264"/>
      <c r="DI20" s="1264"/>
      <c r="DJ20" s="1264"/>
      <c r="DK20" s="1264"/>
      <c r="DL20" s="1264"/>
      <c r="DM20" s="1264"/>
      <c r="DN20" s="1264"/>
      <c r="DO20" s="1264"/>
      <c r="DP20" s="1264"/>
      <c r="DQ20" s="1264"/>
      <c r="DR20" s="1264"/>
      <c r="DS20" s="1264"/>
      <c r="DT20" s="1264"/>
      <c r="DU20" s="1264"/>
      <c r="DV20" s="1264"/>
      <c r="DW20" s="1264"/>
      <c r="DX20" s="1264"/>
      <c r="DY20" s="1264"/>
      <c r="DZ20" s="1264"/>
      <c r="EA20" s="1264"/>
      <c r="EB20" s="1264"/>
      <c r="EC20" s="1264"/>
      <c r="ED20" s="1264"/>
      <c r="EE20" s="1264"/>
      <c r="EF20" s="1264"/>
      <c r="EG20" s="1264"/>
      <c r="EH20" s="1264"/>
      <c r="EI20" s="1264"/>
      <c r="EJ20" s="1264"/>
      <c r="EK20" s="1264"/>
      <c r="EL20" s="1264"/>
      <c r="EM20" s="1264"/>
      <c r="EN20" s="1264"/>
      <c r="EO20" s="1264"/>
      <c r="EP20" s="1264"/>
      <c r="EQ20" s="1264"/>
      <c r="ER20" s="1264"/>
      <c r="ES20" s="1264"/>
      <c r="ET20" s="1264"/>
      <c r="EU20" s="1264"/>
      <c r="EV20" s="1264"/>
      <c r="EW20" s="1264"/>
      <c r="EX20" s="1264"/>
      <c r="EY20" s="1264"/>
      <c r="EZ20" s="1264"/>
      <c r="FA20" s="1264"/>
      <c r="FB20" s="1264"/>
      <c r="FC20" s="1264"/>
      <c r="FD20" s="1264"/>
      <c r="FE20" s="1264"/>
      <c r="FF20" s="1264"/>
      <c r="FG20" s="1264"/>
      <c r="FH20" s="1264"/>
      <c r="FI20" s="1264"/>
      <c r="FJ20" s="1264"/>
      <c r="FK20" s="1264"/>
      <c r="FL20" s="1264"/>
      <c r="FM20" s="1264"/>
      <c r="FN20" s="1264"/>
      <c r="FO20" s="1264"/>
      <c r="FP20" s="1264"/>
      <c r="FQ20" s="1264"/>
      <c r="FR20" s="1264"/>
      <c r="FS20" s="1264"/>
      <c r="FT20" s="1264"/>
      <c r="FU20" s="1264"/>
      <c r="FV20" s="1264"/>
      <c r="FW20" s="1264"/>
      <c r="FX20" s="1264"/>
      <c r="FY20" s="1264"/>
      <c r="FZ20" s="1264"/>
      <c r="GA20" s="1264"/>
    </row>
    <row r="21" spans="1:183" s="1255" customFormat="1" ht="15" customHeight="1" hidden="1">
      <c r="A21" s="685"/>
      <c r="B21" s="697"/>
      <c r="C21" s="930"/>
      <c r="D21" s="936"/>
      <c r="E21" s="936"/>
      <c r="F21" s="697"/>
      <c r="G21" s="1252"/>
      <c r="H21" s="1252"/>
      <c r="I21" s="1253"/>
      <c r="J21" s="1251">
        <v>0</v>
      </c>
      <c r="K21" s="1254"/>
      <c r="L21" s="1254"/>
      <c r="M21" s="1254"/>
      <c r="N21" s="1254"/>
      <c r="O21" s="1254"/>
      <c r="P21" s="1254"/>
      <c r="Q21" s="1254"/>
      <c r="R21" s="1254"/>
      <c r="S21" s="1254"/>
      <c r="T21" s="1254"/>
      <c r="U21" s="1254"/>
      <c r="V21" s="1254"/>
      <c r="W21" s="1254"/>
      <c r="X21" s="1254"/>
      <c r="Y21" s="1254"/>
      <c r="Z21" s="1254"/>
      <c r="AA21" s="1254"/>
      <c r="AB21" s="1254"/>
      <c r="AC21" s="1254"/>
      <c r="AD21" s="1254"/>
      <c r="AE21" s="1254"/>
      <c r="AF21" s="1254"/>
      <c r="AG21" s="1254"/>
      <c r="AH21" s="1254"/>
      <c r="AI21" s="1254"/>
      <c r="AJ21" s="1254"/>
      <c r="AK21" s="1254"/>
      <c r="AL21" s="1254"/>
      <c r="AM21" s="1254"/>
      <c r="AN21" s="1254"/>
      <c r="AO21" s="1254"/>
      <c r="AP21" s="1254"/>
      <c r="AQ21" s="1254"/>
      <c r="AR21" s="1254"/>
      <c r="AS21" s="1254"/>
      <c r="AT21" s="1254"/>
      <c r="AU21" s="1254"/>
      <c r="AV21" s="1254"/>
      <c r="AW21" s="1254"/>
      <c r="AX21" s="1254"/>
      <c r="AY21" s="1254"/>
      <c r="AZ21" s="1254"/>
      <c r="BA21" s="1254"/>
      <c r="BB21" s="1254"/>
      <c r="BC21" s="1254"/>
      <c r="BD21" s="1254"/>
      <c r="BE21" s="1254"/>
      <c r="BF21" s="1254"/>
      <c r="BG21" s="1254"/>
      <c r="BH21" s="1254"/>
      <c r="BI21" s="1254"/>
      <c r="BJ21" s="1254"/>
      <c r="BK21" s="1254"/>
      <c r="BL21" s="1254"/>
      <c r="BM21" s="1254"/>
      <c r="BN21" s="1254"/>
      <c r="BO21" s="1254"/>
      <c r="BP21" s="1254"/>
      <c r="BQ21" s="1254"/>
      <c r="BR21" s="1254"/>
      <c r="BS21" s="1254"/>
      <c r="BT21" s="1254"/>
      <c r="BU21" s="1254"/>
      <c r="BV21" s="1254"/>
      <c r="BW21" s="1254"/>
      <c r="BX21" s="1254"/>
      <c r="BY21" s="1254"/>
      <c r="BZ21" s="1254"/>
      <c r="CA21" s="1254"/>
      <c r="CB21" s="1254"/>
      <c r="CC21" s="1254"/>
      <c r="CD21" s="1254"/>
      <c r="CE21" s="1254"/>
      <c r="CF21" s="1254"/>
      <c r="CG21" s="1254"/>
      <c r="CH21" s="1254"/>
      <c r="CI21" s="1254"/>
      <c r="CJ21" s="1254"/>
      <c r="CK21" s="1254"/>
      <c r="CL21" s="1254"/>
      <c r="CM21" s="1254"/>
      <c r="CN21" s="1254"/>
      <c r="CO21" s="1254"/>
      <c r="CP21" s="1254"/>
      <c r="CQ21" s="1254"/>
      <c r="CR21" s="1254"/>
      <c r="CS21" s="1254"/>
      <c r="CT21" s="1254"/>
      <c r="CU21" s="1254"/>
      <c r="CV21" s="1254"/>
      <c r="CW21" s="1254"/>
      <c r="CX21" s="1254"/>
      <c r="CY21" s="1254"/>
      <c r="CZ21" s="1254"/>
      <c r="DA21" s="1254"/>
      <c r="DB21" s="1254"/>
      <c r="DC21" s="1254"/>
      <c r="DD21" s="1254"/>
      <c r="DE21" s="1254"/>
      <c r="DF21" s="1254"/>
      <c r="DG21" s="1254"/>
      <c r="DH21" s="1254"/>
      <c r="DI21" s="1254"/>
      <c r="DJ21" s="1254"/>
      <c r="DK21" s="1254"/>
      <c r="DL21" s="1254"/>
      <c r="DM21" s="1254"/>
      <c r="DN21" s="1254"/>
      <c r="DO21" s="1254"/>
      <c r="DP21" s="1254"/>
      <c r="DQ21" s="1254"/>
      <c r="DR21" s="1254"/>
      <c r="DS21" s="1254"/>
      <c r="DT21" s="1254"/>
      <c r="DU21" s="1254"/>
      <c r="DV21" s="1254"/>
      <c r="DW21" s="1254"/>
      <c r="DX21" s="1254"/>
      <c r="DY21" s="1254"/>
      <c r="DZ21" s="1254"/>
      <c r="EA21" s="1254"/>
      <c r="EB21" s="1254"/>
      <c r="EC21" s="1254"/>
      <c r="ED21" s="1254"/>
      <c r="EE21" s="1254"/>
      <c r="EF21" s="1254"/>
      <c r="EG21" s="1254"/>
      <c r="EH21" s="1254"/>
      <c r="EI21" s="1254"/>
      <c r="EJ21" s="1254"/>
      <c r="EK21" s="1254"/>
      <c r="EL21" s="1254"/>
      <c r="EM21" s="1254"/>
      <c r="EN21" s="1254"/>
      <c r="EO21" s="1254"/>
      <c r="EP21" s="1254"/>
      <c r="EQ21" s="1254"/>
      <c r="ER21" s="1254"/>
      <c r="ES21" s="1254"/>
      <c r="ET21" s="1254"/>
      <c r="EU21" s="1254"/>
      <c r="EV21" s="1254"/>
      <c r="EW21" s="1254"/>
      <c r="EX21" s="1254"/>
      <c r="EY21" s="1254"/>
      <c r="EZ21" s="1254"/>
      <c r="FA21" s="1254"/>
      <c r="FB21" s="1254"/>
      <c r="FC21" s="1254"/>
      <c r="FD21" s="1254"/>
      <c r="FE21" s="1254"/>
      <c r="FF21" s="1254"/>
      <c r="FG21" s="1254"/>
      <c r="FH21" s="1254"/>
      <c r="FI21" s="1254"/>
      <c r="FJ21" s="1254"/>
      <c r="FK21" s="1254"/>
      <c r="FL21" s="1254"/>
      <c r="FM21" s="1254"/>
      <c r="FN21" s="1254"/>
      <c r="FO21" s="1254"/>
      <c r="FP21" s="1254"/>
      <c r="FQ21" s="1254"/>
      <c r="FR21" s="1254"/>
      <c r="FS21" s="1254"/>
      <c r="FT21" s="1254"/>
      <c r="FU21" s="1254"/>
      <c r="FV21" s="1254"/>
      <c r="FW21" s="1254"/>
      <c r="FX21" s="1254"/>
      <c r="FY21" s="1254"/>
      <c r="FZ21" s="1254"/>
      <c r="GA21" s="1254"/>
    </row>
    <row r="22" spans="1:183" s="1255" customFormat="1" ht="15" customHeight="1" hidden="1">
      <c r="A22" s="691"/>
      <c r="B22" s="697"/>
      <c r="C22" s="930"/>
      <c r="D22" s="936"/>
      <c r="E22" s="936"/>
      <c r="F22" s="697"/>
      <c r="G22" s="1252"/>
      <c r="H22" s="1252"/>
      <c r="I22" s="1253"/>
      <c r="J22" s="1251">
        <v>0</v>
      </c>
      <c r="K22" s="1254"/>
      <c r="L22" s="1254"/>
      <c r="M22" s="1254"/>
      <c r="N22" s="1254"/>
      <c r="O22" s="1254"/>
      <c r="P22" s="1254"/>
      <c r="Q22" s="1254"/>
      <c r="R22" s="1254"/>
      <c r="S22" s="1254"/>
      <c r="T22" s="1254"/>
      <c r="U22" s="1254"/>
      <c r="V22" s="1254"/>
      <c r="W22" s="1254"/>
      <c r="X22" s="1254"/>
      <c r="Y22" s="1254"/>
      <c r="Z22" s="1254"/>
      <c r="AA22" s="1254"/>
      <c r="AB22" s="1254"/>
      <c r="AC22" s="1254"/>
      <c r="AD22" s="1254"/>
      <c r="AE22" s="1254"/>
      <c r="AF22" s="1254"/>
      <c r="AG22" s="1254"/>
      <c r="AH22" s="1254"/>
      <c r="AI22" s="1254"/>
      <c r="AJ22" s="1254"/>
      <c r="AK22" s="1254"/>
      <c r="AL22" s="1254"/>
      <c r="AM22" s="1254"/>
      <c r="AN22" s="1254"/>
      <c r="AO22" s="1254"/>
      <c r="AP22" s="1254"/>
      <c r="AQ22" s="1254"/>
      <c r="AR22" s="1254"/>
      <c r="AS22" s="1254"/>
      <c r="AT22" s="1254"/>
      <c r="AU22" s="1254"/>
      <c r="AV22" s="1254"/>
      <c r="AW22" s="1254"/>
      <c r="AX22" s="1254"/>
      <c r="AY22" s="1254"/>
      <c r="AZ22" s="1254"/>
      <c r="BA22" s="1254"/>
      <c r="BB22" s="1254"/>
      <c r="BC22" s="1254"/>
      <c r="BD22" s="1254"/>
      <c r="BE22" s="1254"/>
      <c r="BF22" s="1254"/>
      <c r="BG22" s="1254"/>
      <c r="BH22" s="1254"/>
      <c r="BI22" s="1254"/>
      <c r="BJ22" s="1254"/>
      <c r="BK22" s="1254"/>
      <c r="BL22" s="1254"/>
      <c r="BM22" s="1254"/>
      <c r="BN22" s="1254"/>
      <c r="BO22" s="1254"/>
      <c r="BP22" s="1254"/>
      <c r="BQ22" s="1254"/>
      <c r="BR22" s="1254"/>
      <c r="BS22" s="1254"/>
      <c r="BT22" s="1254"/>
      <c r="BU22" s="1254"/>
      <c r="BV22" s="1254"/>
      <c r="BW22" s="1254"/>
      <c r="BX22" s="1254"/>
      <c r="BY22" s="1254"/>
      <c r="BZ22" s="1254"/>
      <c r="CA22" s="1254"/>
      <c r="CB22" s="1254"/>
      <c r="CC22" s="1254"/>
      <c r="CD22" s="1254"/>
      <c r="CE22" s="1254"/>
      <c r="CF22" s="1254"/>
      <c r="CG22" s="1254"/>
      <c r="CH22" s="1254"/>
      <c r="CI22" s="1254"/>
      <c r="CJ22" s="1254"/>
      <c r="CK22" s="1254"/>
      <c r="CL22" s="1254"/>
      <c r="CM22" s="1254"/>
      <c r="CN22" s="1254"/>
      <c r="CO22" s="1254"/>
      <c r="CP22" s="1254"/>
      <c r="CQ22" s="1254"/>
      <c r="CR22" s="1254"/>
      <c r="CS22" s="1254"/>
      <c r="CT22" s="1254"/>
      <c r="CU22" s="1254"/>
      <c r="CV22" s="1254"/>
      <c r="CW22" s="1254"/>
      <c r="CX22" s="1254"/>
      <c r="CY22" s="1254"/>
      <c r="CZ22" s="1254"/>
      <c r="DA22" s="1254"/>
      <c r="DB22" s="1254"/>
      <c r="DC22" s="1254"/>
      <c r="DD22" s="1254"/>
      <c r="DE22" s="1254"/>
      <c r="DF22" s="1254"/>
      <c r="DG22" s="1254"/>
      <c r="DH22" s="1254"/>
      <c r="DI22" s="1254"/>
      <c r="DJ22" s="1254"/>
      <c r="DK22" s="1254"/>
      <c r="DL22" s="1254"/>
      <c r="DM22" s="1254"/>
      <c r="DN22" s="1254"/>
      <c r="DO22" s="1254"/>
      <c r="DP22" s="1254"/>
      <c r="DQ22" s="1254"/>
      <c r="DR22" s="1254"/>
      <c r="DS22" s="1254"/>
      <c r="DT22" s="1254"/>
      <c r="DU22" s="1254"/>
      <c r="DV22" s="1254"/>
      <c r="DW22" s="1254"/>
      <c r="DX22" s="1254"/>
      <c r="DY22" s="1254"/>
      <c r="DZ22" s="1254"/>
      <c r="EA22" s="1254"/>
      <c r="EB22" s="1254"/>
      <c r="EC22" s="1254"/>
      <c r="ED22" s="1254"/>
      <c r="EE22" s="1254"/>
      <c r="EF22" s="1254"/>
      <c r="EG22" s="1254"/>
      <c r="EH22" s="1254"/>
      <c r="EI22" s="1254"/>
      <c r="EJ22" s="1254"/>
      <c r="EK22" s="1254"/>
      <c r="EL22" s="1254"/>
      <c r="EM22" s="1254"/>
      <c r="EN22" s="1254"/>
      <c r="EO22" s="1254"/>
      <c r="EP22" s="1254"/>
      <c r="EQ22" s="1254"/>
      <c r="ER22" s="1254"/>
      <c r="ES22" s="1254"/>
      <c r="ET22" s="1254"/>
      <c r="EU22" s="1254"/>
      <c r="EV22" s="1254"/>
      <c r="EW22" s="1254"/>
      <c r="EX22" s="1254"/>
      <c r="EY22" s="1254"/>
      <c r="EZ22" s="1254"/>
      <c r="FA22" s="1254"/>
      <c r="FB22" s="1254"/>
      <c r="FC22" s="1254"/>
      <c r="FD22" s="1254"/>
      <c r="FE22" s="1254"/>
      <c r="FF22" s="1254"/>
      <c r="FG22" s="1254"/>
      <c r="FH22" s="1254"/>
      <c r="FI22" s="1254"/>
      <c r="FJ22" s="1254"/>
      <c r="FK22" s="1254"/>
      <c r="FL22" s="1254"/>
      <c r="FM22" s="1254"/>
      <c r="FN22" s="1254"/>
      <c r="FO22" s="1254"/>
      <c r="FP22" s="1254"/>
      <c r="FQ22" s="1254"/>
      <c r="FR22" s="1254"/>
      <c r="FS22" s="1254"/>
      <c r="FT22" s="1254"/>
      <c r="FU22" s="1254"/>
      <c r="FV22" s="1254"/>
      <c r="FW22" s="1254"/>
      <c r="FX22" s="1254"/>
      <c r="FY22" s="1254"/>
      <c r="FZ22" s="1254"/>
      <c r="GA22" s="1254"/>
    </row>
    <row r="23" spans="1:183" s="1255" customFormat="1" ht="15" customHeight="1" hidden="1">
      <c r="A23" s="691"/>
      <c r="B23" s="697"/>
      <c r="C23" s="930"/>
      <c r="D23" s="936"/>
      <c r="E23" s="936"/>
      <c r="F23" s="697"/>
      <c r="G23" s="1252"/>
      <c r="H23" s="1252"/>
      <c r="I23" s="1253"/>
      <c r="J23" s="1251">
        <v>0</v>
      </c>
      <c r="K23" s="1254"/>
      <c r="L23" s="1254"/>
      <c r="M23" s="1254"/>
      <c r="N23" s="1254"/>
      <c r="O23" s="1254"/>
      <c r="P23" s="1254"/>
      <c r="Q23" s="1254"/>
      <c r="R23" s="1254"/>
      <c r="S23" s="1254"/>
      <c r="T23" s="1254"/>
      <c r="U23" s="1254"/>
      <c r="V23" s="1254"/>
      <c r="W23" s="1254"/>
      <c r="X23" s="1254"/>
      <c r="Y23" s="1254"/>
      <c r="Z23" s="1254"/>
      <c r="AA23" s="1254"/>
      <c r="AB23" s="1254"/>
      <c r="AC23" s="1254"/>
      <c r="AD23" s="1254"/>
      <c r="AE23" s="1254"/>
      <c r="AF23" s="1254"/>
      <c r="AG23" s="1254"/>
      <c r="AH23" s="1254"/>
      <c r="AI23" s="1254"/>
      <c r="AJ23" s="1254"/>
      <c r="AK23" s="1254"/>
      <c r="AL23" s="1254"/>
      <c r="AM23" s="1254"/>
      <c r="AN23" s="1254"/>
      <c r="AO23" s="1254"/>
      <c r="AP23" s="1254"/>
      <c r="AQ23" s="1254"/>
      <c r="AR23" s="1254"/>
      <c r="AS23" s="1254"/>
      <c r="AT23" s="1254"/>
      <c r="AU23" s="1254"/>
      <c r="AV23" s="1254"/>
      <c r="AW23" s="1254"/>
      <c r="AX23" s="1254"/>
      <c r="AY23" s="1254"/>
      <c r="AZ23" s="1254"/>
      <c r="BA23" s="1254"/>
      <c r="BB23" s="1254"/>
      <c r="BC23" s="1254"/>
      <c r="BD23" s="1254"/>
      <c r="BE23" s="1254"/>
      <c r="BF23" s="1254"/>
      <c r="BG23" s="1254"/>
      <c r="BH23" s="1254"/>
      <c r="BI23" s="1254"/>
      <c r="BJ23" s="1254"/>
      <c r="BK23" s="1254"/>
      <c r="BL23" s="1254"/>
      <c r="BM23" s="1254"/>
      <c r="BN23" s="1254"/>
      <c r="BO23" s="1254"/>
      <c r="BP23" s="1254"/>
      <c r="BQ23" s="1254"/>
      <c r="BR23" s="1254"/>
      <c r="BS23" s="1254"/>
      <c r="BT23" s="1254"/>
      <c r="BU23" s="1254"/>
      <c r="BV23" s="1254"/>
      <c r="BW23" s="1254"/>
      <c r="BX23" s="1254"/>
      <c r="BY23" s="1254"/>
      <c r="BZ23" s="1254"/>
      <c r="CA23" s="1254"/>
      <c r="CB23" s="1254"/>
      <c r="CC23" s="1254"/>
      <c r="CD23" s="1254"/>
      <c r="CE23" s="1254"/>
      <c r="CF23" s="1254"/>
      <c r="CG23" s="1254"/>
      <c r="CH23" s="1254"/>
      <c r="CI23" s="1254"/>
      <c r="CJ23" s="1254"/>
      <c r="CK23" s="1254"/>
      <c r="CL23" s="1254"/>
      <c r="CM23" s="1254"/>
      <c r="CN23" s="1254"/>
      <c r="CO23" s="1254"/>
      <c r="CP23" s="1254"/>
      <c r="CQ23" s="1254"/>
      <c r="CR23" s="1254"/>
      <c r="CS23" s="1254"/>
      <c r="CT23" s="1254"/>
      <c r="CU23" s="1254"/>
      <c r="CV23" s="1254"/>
      <c r="CW23" s="1254"/>
      <c r="CX23" s="1254"/>
      <c r="CY23" s="1254"/>
      <c r="CZ23" s="1254"/>
      <c r="DA23" s="1254"/>
      <c r="DB23" s="1254"/>
      <c r="DC23" s="1254"/>
      <c r="DD23" s="1254"/>
      <c r="DE23" s="1254"/>
      <c r="DF23" s="1254"/>
      <c r="DG23" s="1254"/>
      <c r="DH23" s="1254"/>
      <c r="DI23" s="1254"/>
      <c r="DJ23" s="1254"/>
      <c r="DK23" s="1254"/>
      <c r="DL23" s="1254"/>
      <c r="DM23" s="1254"/>
      <c r="DN23" s="1254"/>
      <c r="DO23" s="1254"/>
      <c r="DP23" s="1254"/>
      <c r="DQ23" s="1254"/>
      <c r="DR23" s="1254"/>
      <c r="DS23" s="1254"/>
      <c r="DT23" s="1254"/>
      <c r="DU23" s="1254"/>
      <c r="DV23" s="1254"/>
      <c r="DW23" s="1254"/>
      <c r="DX23" s="1254"/>
      <c r="DY23" s="1254"/>
      <c r="DZ23" s="1254"/>
      <c r="EA23" s="1254"/>
      <c r="EB23" s="1254"/>
      <c r="EC23" s="1254"/>
      <c r="ED23" s="1254"/>
      <c r="EE23" s="1254"/>
      <c r="EF23" s="1254"/>
      <c r="EG23" s="1254"/>
      <c r="EH23" s="1254"/>
      <c r="EI23" s="1254"/>
      <c r="EJ23" s="1254"/>
      <c r="EK23" s="1254"/>
      <c r="EL23" s="1254"/>
      <c r="EM23" s="1254"/>
      <c r="EN23" s="1254"/>
      <c r="EO23" s="1254"/>
      <c r="EP23" s="1254"/>
      <c r="EQ23" s="1254"/>
      <c r="ER23" s="1254"/>
      <c r="ES23" s="1254"/>
      <c r="ET23" s="1254"/>
      <c r="EU23" s="1254"/>
      <c r="EV23" s="1254"/>
      <c r="EW23" s="1254"/>
      <c r="EX23" s="1254"/>
      <c r="EY23" s="1254"/>
      <c r="EZ23" s="1254"/>
      <c r="FA23" s="1254"/>
      <c r="FB23" s="1254"/>
      <c r="FC23" s="1254"/>
      <c r="FD23" s="1254"/>
      <c r="FE23" s="1254"/>
      <c r="FF23" s="1254"/>
      <c r="FG23" s="1254"/>
      <c r="FH23" s="1254"/>
      <c r="FI23" s="1254"/>
      <c r="FJ23" s="1254"/>
      <c r="FK23" s="1254"/>
      <c r="FL23" s="1254"/>
      <c r="FM23" s="1254"/>
      <c r="FN23" s="1254"/>
      <c r="FO23" s="1254"/>
      <c r="FP23" s="1254"/>
      <c r="FQ23" s="1254"/>
      <c r="FR23" s="1254"/>
      <c r="FS23" s="1254"/>
      <c r="FT23" s="1254"/>
      <c r="FU23" s="1254"/>
      <c r="FV23" s="1254"/>
      <c r="FW23" s="1254"/>
      <c r="FX23" s="1254"/>
      <c r="FY23" s="1254"/>
      <c r="FZ23" s="1254"/>
      <c r="GA23" s="1254"/>
    </row>
    <row r="24" spans="1:183" s="1255" customFormat="1" ht="15" customHeight="1" hidden="1" thickBot="1">
      <c r="A24" s="691"/>
      <c r="B24" s="699"/>
      <c r="C24" s="1266"/>
      <c r="D24" s="1267"/>
      <c r="E24" s="1267"/>
      <c r="F24" s="699"/>
      <c r="G24" s="1268"/>
      <c r="H24" s="1268"/>
      <c r="I24" s="1269"/>
      <c r="J24" s="1251">
        <v>0</v>
      </c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254"/>
      <c r="AH24" s="1254"/>
      <c r="AI24" s="1254"/>
      <c r="AJ24" s="1254"/>
      <c r="AK24" s="1254"/>
      <c r="AL24" s="1254"/>
      <c r="AM24" s="1254"/>
      <c r="AN24" s="1254"/>
      <c r="AO24" s="1254"/>
      <c r="AP24" s="1254"/>
      <c r="AQ24" s="1254"/>
      <c r="AR24" s="1254"/>
      <c r="AS24" s="1254"/>
      <c r="AT24" s="1254"/>
      <c r="AU24" s="1254"/>
      <c r="AV24" s="1254"/>
      <c r="AW24" s="1254"/>
      <c r="AX24" s="1254"/>
      <c r="AY24" s="1254"/>
      <c r="AZ24" s="1254"/>
      <c r="BA24" s="1254"/>
      <c r="BB24" s="1254"/>
      <c r="BC24" s="1254"/>
      <c r="BD24" s="1254"/>
      <c r="BE24" s="1254"/>
      <c r="BF24" s="1254"/>
      <c r="BG24" s="1254"/>
      <c r="BH24" s="1254"/>
      <c r="BI24" s="1254"/>
      <c r="BJ24" s="1254"/>
      <c r="BK24" s="1254"/>
      <c r="BL24" s="1254"/>
      <c r="BM24" s="1254"/>
      <c r="BN24" s="1254"/>
      <c r="BO24" s="1254"/>
      <c r="BP24" s="1254"/>
      <c r="BQ24" s="1254"/>
      <c r="BR24" s="1254"/>
      <c r="BS24" s="1254"/>
      <c r="BT24" s="1254"/>
      <c r="BU24" s="1254"/>
      <c r="BV24" s="1254"/>
      <c r="BW24" s="1254"/>
      <c r="BX24" s="1254"/>
      <c r="BY24" s="1254"/>
      <c r="BZ24" s="1254"/>
      <c r="CA24" s="1254"/>
      <c r="CB24" s="1254"/>
      <c r="CC24" s="1254"/>
      <c r="CD24" s="1254"/>
      <c r="CE24" s="1254"/>
      <c r="CF24" s="1254"/>
      <c r="CG24" s="1254"/>
      <c r="CH24" s="1254"/>
      <c r="CI24" s="1254"/>
      <c r="CJ24" s="1254"/>
      <c r="CK24" s="1254"/>
      <c r="CL24" s="1254"/>
      <c r="CM24" s="1254"/>
      <c r="CN24" s="1254"/>
      <c r="CO24" s="1254"/>
      <c r="CP24" s="1254"/>
      <c r="CQ24" s="1254"/>
      <c r="CR24" s="1254"/>
      <c r="CS24" s="1254"/>
      <c r="CT24" s="1254"/>
      <c r="CU24" s="1254"/>
      <c r="CV24" s="1254"/>
      <c r="CW24" s="1254"/>
      <c r="CX24" s="1254"/>
      <c r="CY24" s="1254"/>
      <c r="CZ24" s="1254"/>
      <c r="DA24" s="1254"/>
      <c r="DB24" s="1254"/>
      <c r="DC24" s="1254"/>
      <c r="DD24" s="1254"/>
      <c r="DE24" s="1254"/>
      <c r="DF24" s="1254"/>
      <c r="DG24" s="1254"/>
      <c r="DH24" s="1254"/>
      <c r="DI24" s="1254"/>
      <c r="DJ24" s="1254"/>
      <c r="DK24" s="1254"/>
      <c r="DL24" s="1254"/>
      <c r="DM24" s="1254"/>
      <c r="DN24" s="1254"/>
      <c r="DO24" s="1254"/>
      <c r="DP24" s="1254"/>
      <c r="DQ24" s="1254"/>
      <c r="DR24" s="1254"/>
      <c r="DS24" s="1254"/>
      <c r="DT24" s="1254"/>
      <c r="DU24" s="1254"/>
      <c r="DV24" s="1254"/>
      <c r="DW24" s="1254"/>
      <c r="DX24" s="1254"/>
      <c r="DY24" s="1254"/>
      <c r="DZ24" s="1254"/>
      <c r="EA24" s="1254"/>
      <c r="EB24" s="1254"/>
      <c r="EC24" s="1254"/>
      <c r="ED24" s="1254"/>
      <c r="EE24" s="1254"/>
      <c r="EF24" s="1254"/>
      <c r="EG24" s="1254"/>
      <c r="EH24" s="1254"/>
      <c r="EI24" s="1254"/>
      <c r="EJ24" s="1254"/>
      <c r="EK24" s="1254"/>
      <c r="EL24" s="1254"/>
      <c r="EM24" s="1254"/>
      <c r="EN24" s="1254"/>
      <c r="EO24" s="1254"/>
      <c r="EP24" s="1254"/>
      <c r="EQ24" s="1254"/>
      <c r="ER24" s="1254"/>
      <c r="ES24" s="1254"/>
      <c r="ET24" s="1254"/>
      <c r="EU24" s="1254"/>
      <c r="EV24" s="1254"/>
      <c r="EW24" s="1254"/>
      <c r="EX24" s="1254"/>
      <c r="EY24" s="1254"/>
      <c r="EZ24" s="1254"/>
      <c r="FA24" s="1254"/>
      <c r="FB24" s="1254"/>
      <c r="FC24" s="1254"/>
      <c r="FD24" s="1254"/>
      <c r="FE24" s="1254"/>
      <c r="FF24" s="1254"/>
      <c r="FG24" s="1254"/>
      <c r="FH24" s="1254"/>
      <c r="FI24" s="1254"/>
      <c r="FJ24" s="1254"/>
      <c r="FK24" s="1254"/>
      <c r="FL24" s="1254"/>
      <c r="FM24" s="1254"/>
      <c r="FN24" s="1254"/>
      <c r="FO24" s="1254"/>
      <c r="FP24" s="1254"/>
      <c r="FQ24" s="1254"/>
      <c r="FR24" s="1254"/>
      <c r="FS24" s="1254"/>
      <c r="FT24" s="1254"/>
      <c r="FU24" s="1254"/>
      <c r="FV24" s="1254"/>
      <c r="FW24" s="1254"/>
      <c r="FX24" s="1254"/>
      <c r="FY24" s="1254"/>
      <c r="FZ24" s="1254"/>
      <c r="GA24" s="1254"/>
    </row>
    <row r="25" spans="1:183" s="1275" customFormat="1" ht="15" customHeight="1" hidden="1" thickBot="1" thickTop="1">
      <c r="A25" s="1270" t="s">
        <v>38</v>
      </c>
      <c r="B25" s="1191"/>
      <c r="C25" s="1190"/>
      <c r="D25" s="1271"/>
      <c r="E25" s="1271"/>
      <c r="F25" s="1191"/>
      <c r="G25" s="1272"/>
      <c r="H25" s="1272"/>
      <c r="I25" s="1273"/>
      <c r="J25" s="1251">
        <v>0</v>
      </c>
      <c r="K25" s="1274"/>
      <c r="L25" s="1274"/>
      <c r="M25" s="1274"/>
      <c r="N25" s="1274"/>
      <c r="O25" s="1274"/>
      <c r="P25" s="1274"/>
      <c r="Q25" s="1274"/>
      <c r="R25" s="1274"/>
      <c r="S25" s="1274"/>
      <c r="T25" s="1274"/>
      <c r="U25" s="1274"/>
      <c r="V25" s="1274"/>
      <c r="W25" s="1274"/>
      <c r="X25" s="1274"/>
      <c r="Y25" s="1274"/>
      <c r="Z25" s="1274"/>
      <c r="AA25" s="1274"/>
      <c r="AB25" s="1274"/>
      <c r="AC25" s="1274"/>
      <c r="AD25" s="1274"/>
      <c r="AE25" s="1274"/>
      <c r="AF25" s="1274"/>
      <c r="AG25" s="1274"/>
      <c r="AH25" s="1274"/>
      <c r="AI25" s="1274"/>
      <c r="AJ25" s="1274"/>
      <c r="AK25" s="1274"/>
      <c r="AL25" s="1274"/>
      <c r="AM25" s="1274"/>
      <c r="AN25" s="1274"/>
      <c r="AO25" s="1274"/>
      <c r="AP25" s="1274"/>
      <c r="AQ25" s="1274"/>
      <c r="AR25" s="1274"/>
      <c r="AS25" s="1274"/>
      <c r="AT25" s="1274"/>
      <c r="AU25" s="1274"/>
      <c r="AV25" s="1274"/>
      <c r="AW25" s="1274"/>
      <c r="AX25" s="1274"/>
      <c r="AY25" s="1274"/>
      <c r="AZ25" s="1274"/>
      <c r="BA25" s="1274"/>
      <c r="BB25" s="1274"/>
      <c r="BC25" s="1274"/>
      <c r="BD25" s="1274"/>
      <c r="BE25" s="1274"/>
      <c r="BF25" s="1274"/>
      <c r="BG25" s="1274"/>
      <c r="BH25" s="1274"/>
      <c r="BI25" s="1274"/>
      <c r="BJ25" s="1274"/>
      <c r="BK25" s="1274"/>
      <c r="BL25" s="1274"/>
      <c r="BM25" s="1274"/>
      <c r="BN25" s="1274"/>
      <c r="BO25" s="1274"/>
      <c r="BP25" s="1274"/>
      <c r="BQ25" s="1274"/>
      <c r="BR25" s="1274"/>
      <c r="BS25" s="1274"/>
      <c r="BT25" s="1274"/>
      <c r="BU25" s="1274"/>
      <c r="BV25" s="1274"/>
      <c r="BW25" s="1274"/>
      <c r="BX25" s="1274"/>
      <c r="BY25" s="1274"/>
      <c r="BZ25" s="1274"/>
      <c r="CA25" s="1274"/>
      <c r="CB25" s="1274"/>
      <c r="CC25" s="1274"/>
      <c r="CD25" s="1274"/>
      <c r="CE25" s="1274"/>
      <c r="CF25" s="1274"/>
      <c r="CG25" s="1274"/>
      <c r="CH25" s="1274"/>
      <c r="CI25" s="1274"/>
      <c r="CJ25" s="1274"/>
      <c r="CK25" s="1274"/>
      <c r="CL25" s="1274"/>
      <c r="CM25" s="1274"/>
      <c r="CN25" s="1274"/>
      <c r="CO25" s="1274"/>
      <c r="CP25" s="1274"/>
      <c r="CQ25" s="1274"/>
      <c r="CR25" s="1274"/>
      <c r="CS25" s="1274"/>
      <c r="CT25" s="1274"/>
      <c r="CU25" s="1274"/>
      <c r="CV25" s="1274"/>
      <c r="CW25" s="1274"/>
      <c r="CX25" s="1274"/>
      <c r="CY25" s="1274"/>
      <c r="CZ25" s="1274"/>
      <c r="DA25" s="1274"/>
      <c r="DB25" s="1274"/>
      <c r="DC25" s="1274"/>
      <c r="DD25" s="1274"/>
      <c r="DE25" s="1274"/>
      <c r="DF25" s="1274"/>
      <c r="DG25" s="1274"/>
      <c r="DH25" s="1274"/>
      <c r="DI25" s="1274"/>
      <c r="DJ25" s="1274"/>
      <c r="DK25" s="1274"/>
      <c r="DL25" s="1274"/>
      <c r="DM25" s="1274"/>
      <c r="DN25" s="1274"/>
      <c r="DO25" s="1274"/>
      <c r="DP25" s="1274"/>
      <c r="DQ25" s="1274"/>
      <c r="DR25" s="1274"/>
      <c r="DS25" s="1274"/>
      <c r="DT25" s="1274"/>
      <c r="DU25" s="1274"/>
      <c r="DV25" s="1274"/>
      <c r="DW25" s="1274"/>
      <c r="DX25" s="1274"/>
      <c r="DY25" s="1274"/>
      <c r="DZ25" s="1274"/>
      <c r="EA25" s="1274"/>
      <c r="EB25" s="1274"/>
      <c r="EC25" s="1274"/>
      <c r="ED25" s="1274"/>
      <c r="EE25" s="1274"/>
      <c r="EF25" s="1274"/>
      <c r="EG25" s="1274"/>
      <c r="EH25" s="1274"/>
      <c r="EI25" s="1274"/>
      <c r="EJ25" s="1274"/>
      <c r="EK25" s="1274"/>
      <c r="EL25" s="1274"/>
      <c r="EM25" s="1274"/>
      <c r="EN25" s="1274"/>
      <c r="EO25" s="1274"/>
      <c r="EP25" s="1274"/>
      <c r="EQ25" s="1274"/>
      <c r="ER25" s="1274"/>
      <c r="ES25" s="1274"/>
      <c r="ET25" s="1274"/>
      <c r="EU25" s="1274"/>
      <c r="EV25" s="1274"/>
      <c r="EW25" s="1274"/>
      <c r="EX25" s="1274"/>
      <c r="EY25" s="1274"/>
      <c r="EZ25" s="1274"/>
      <c r="FA25" s="1274"/>
      <c r="FB25" s="1274"/>
      <c r="FC25" s="1274"/>
      <c r="FD25" s="1274"/>
      <c r="FE25" s="1274"/>
      <c r="FF25" s="1274"/>
      <c r="FG25" s="1274"/>
      <c r="FH25" s="1274"/>
      <c r="FI25" s="1274"/>
      <c r="FJ25" s="1274"/>
      <c r="FK25" s="1274"/>
      <c r="FL25" s="1274"/>
      <c r="FM25" s="1274"/>
      <c r="FN25" s="1274"/>
      <c r="FO25" s="1274"/>
      <c r="FP25" s="1274"/>
      <c r="FQ25" s="1274"/>
      <c r="FR25" s="1274"/>
      <c r="FS25" s="1274"/>
      <c r="FT25" s="1274"/>
      <c r="FU25" s="1274"/>
      <c r="FV25" s="1274"/>
      <c r="FW25" s="1274"/>
      <c r="FX25" s="1274"/>
      <c r="FY25" s="1274"/>
      <c r="FZ25" s="1274"/>
      <c r="GA25" s="1274"/>
    </row>
    <row r="26" spans="1:10" ht="15" customHeight="1" hidden="1" thickBot="1">
      <c r="A26" s="685"/>
      <c r="B26" s="697"/>
      <c r="C26" s="930"/>
      <c r="D26" s="936"/>
      <c r="E26" s="936"/>
      <c r="F26" s="697"/>
      <c r="G26" s="1252"/>
      <c r="H26" s="1252"/>
      <c r="I26" s="926"/>
      <c r="J26" s="1251"/>
    </row>
    <row r="27" spans="1:183" s="1275" customFormat="1" ht="15" customHeight="1" thickTop="1">
      <c r="A27" s="1270" t="s">
        <v>796</v>
      </c>
      <c r="B27" s="1191">
        <f>SUM(B11:B26)</f>
        <v>1019987903</v>
      </c>
      <c r="C27" s="1191">
        <f aca="true" t="shared" si="0" ref="C27:J27">SUM(C11:C26)</f>
        <v>0</v>
      </c>
      <c r="D27" s="1191">
        <f t="shared" si="0"/>
        <v>5186439</v>
      </c>
      <c r="E27" s="1191">
        <f t="shared" si="0"/>
        <v>2309383</v>
      </c>
      <c r="F27" s="1191">
        <f t="shared" si="0"/>
        <v>7495822</v>
      </c>
      <c r="G27" s="1191">
        <f t="shared" si="0"/>
        <v>0</v>
      </c>
      <c r="H27" s="1191">
        <f t="shared" si="0"/>
        <v>10629306</v>
      </c>
      <c r="I27" s="1191">
        <f t="shared" si="0"/>
        <v>1038454211</v>
      </c>
      <c r="J27" s="1191">
        <f t="shared" si="0"/>
        <v>0</v>
      </c>
      <c r="K27" s="1274"/>
      <c r="L27" s="1274"/>
      <c r="M27" s="1274"/>
      <c r="N27" s="1274"/>
      <c r="O27" s="1274"/>
      <c r="P27" s="1274"/>
      <c r="Q27" s="1274"/>
      <c r="R27" s="1274"/>
      <c r="S27" s="1274"/>
      <c r="T27" s="1274"/>
      <c r="U27" s="1274"/>
      <c r="V27" s="1274"/>
      <c r="W27" s="1274"/>
      <c r="X27" s="1274"/>
      <c r="Y27" s="1274"/>
      <c r="Z27" s="1274"/>
      <c r="AA27" s="1274"/>
      <c r="AB27" s="1274"/>
      <c r="AC27" s="1274"/>
      <c r="AD27" s="1274"/>
      <c r="AE27" s="1274"/>
      <c r="AF27" s="1274"/>
      <c r="AG27" s="1274"/>
      <c r="AH27" s="1274"/>
      <c r="AI27" s="1274"/>
      <c r="AJ27" s="1274"/>
      <c r="AK27" s="1274"/>
      <c r="AL27" s="1274"/>
      <c r="AM27" s="1274"/>
      <c r="AN27" s="1274"/>
      <c r="AO27" s="1274"/>
      <c r="AP27" s="1274"/>
      <c r="AQ27" s="1274"/>
      <c r="AR27" s="1274"/>
      <c r="AS27" s="1274"/>
      <c r="AT27" s="1274"/>
      <c r="AU27" s="1274"/>
      <c r="AV27" s="1274"/>
      <c r="AW27" s="1274"/>
      <c r="AX27" s="1274"/>
      <c r="AY27" s="1274"/>
      <c r="AZ27" s="1274"/>
      <c r="BA27" s="1274"/>
      <c r="BB27" s="1274"/>
      <c r="BC27" s="1274"/>
      <c r="BD27" s="1274"/>
      <c r="BE27" s="1274"/>
      <c r="BF27" s="1274"/>
      <c r="BG27" s="1274"/>
      <c r="BH27" s="1274"/>
      <c r="BI27" s="1274"/>
      <c r="BJ27" s="1274"/>
      <c r="BK27" s="1274"/>
      <c r="BL27" s="1274"/>
      <c r="BM27" s="1274"/>
      <c r="BN27" s="1274"/>
      <c r="BO27" s="1274"/>
      <c r="BP27" s="1274"/>
      <c r="BQ27" s="1274"/>
      <c r="BR27" s="1274"/>
      <c r="BS27" s="1274"/>
      <c r="BT27" s="1274"/>
      <c r="BU27" s="1274"/>
      <c r="BV27" s="1274"/>
      <c r="BW27" s="1274"/>
      <c r="BX27" s="1274"/>
      <c r="BY27" s="1274"/>
      <c r="BZ27" s="1274"/>
      <c r="CA27" s="1274"/>
      <c r="CB27" s="1274"/>
      <c r="CC27" s="1274"/>
      <c r="CD27" s="1274"/>
      <c r="CE27" s="1274"/>
      <c r="CF27" s="1274"/>
      <c r="CG27" s="1274"/>
      <c r="CH27" s="1274"/>
      <c r="CI27" s="1274"/>
      <c r="CJ27" s="1274"/>
      <c r="CK27" s="1274"/>
      <c r="CL27" s="1274"/>
      <c r="CM27" s="1274"/>
      <c r="CN27" s="1274"/>
      <c r="CO27" s="1274"/>
      <c r="CP27" s="1274"/>
      <c r="CQ27" s="1274"/>
      <c r="CR27" s="1274"/>
      <c r="CS27" s="1274"/>
      <c r="CT27" s="1274"/>
      <c r="CU27" s="1274"/>
      <c r="CV27" s="1274"/>
      <c r="CW27" s="1274"/>
      <c r="CX27" s="1274"/>
      <c r="CY27" s="1274"/>
      <c r="CZ27" s="1274"/>
      <c r="DA27" s="1274"/>
      <c r="DB27" s="1274"/>
      <c r="DC27" s="1274"/>
      <c r="DD27" s="1274"/>
      <c r="DE27" s="1274"/>
      <c r="DF27" s="1274"/>
      <c r="DG27" s="1274"/>
      <c r="DH27" s="1274"/>
      <c r="DI27" s="1274"/>
      <c r="DJ27" s="1274"/>
      <c r="DK27" s="1274"/>
      <c r="DL27" s="1274"/>
      <c r="DM27" s="1274"/>
      <c r="DN27" s="1274"/>
      <c r="DO27" s="1274"/>
      <c r="DP27" s="1274"/>
      <c r="DQ27" s="1274"/>
      <c r="DR27" s="1274"/>
      <c r="DS27" s="1274"/>
      <c r="DT27" s="1274"/>
      <c r="DU27" s="1274"/>
      <c r="DV27" s="1274"/>
      <c r="DW27" s="1274"/>
      <c r="DX27" s="1274"/>
      <c r="DY27" s="1274"/>
      <c r="DZ27" s="1274"/>
      <c r="EA27" s="1274"/>
      <c r="EB27" s="1274"/>
      <c r="EC27" s="1274"/>
      <c r="ED27" s="1274"/>
      <c r="EE27" s="1274"/>
      <c r="EF27" s="1274"/>
      <c r="EG27" s="1274"/>
      <c r="EH27" s="1274"/>
      <c r="EI27" s="1274"/>
      <c r="EJ27" s="1274"/>
      <c r="EK27" s="1274"/>
      <c r="EL27" s="1274"/>
      <c r="EM27" s="1274"/>
      <c r="EN27" s="1274"/>
      <c r="EO27" s="1274"/>
      <c r="EP27" s="1274"/>
      <c r="EQ27" s="1274"/>
      <c r="ER27" s="1274"/>
      <c r="ES27" s="1274"/>
      <c r="ET27" s="1274"/>
      <c r="EU27" s="1274"/>
      <c r="EV27" s="1274"/>
      <c r="EW27" s="1274"/>
      <c r="EX27" s="1274"/>
      <c r="EY27" s="1274"/>
      <c r="EZ27" s="1274"/>
      <c r="FA27" s="1274"/>
      <c r="FB27" s="1274"/>
      <c r="FC27" s="1274"/>
      <c r="FD27" s="1274"/>
      <c r="FE27" s="1274"/>
      <c r="FF27" s="1274"/>
      <c r="FG27" s="1274"/>
      <c r="FH27" s="1274"/>
      <c r="FI27" s="1274"/>
      <c r="FJ27" s="1274"/>
      <c r="FK27" s="1274"/>
      <c r="FL27" s="1274"/>
      <c r="FM27" s="1274"/>
      <c r="FN27" s="1274"/>
      <c r="FO27" s="1274"/>
      <c r="FP27" s="1274"/>
      <c r="FQ27" s="1274"/>
      <c r="FR27" s="1274"/>
      <c r="FS27" s="1274"/>
      <c r="FT27" s="1274"/>
      <c r="FU27" s="1274"/>
      <c r="FV27" s="1274"/>
      <c r="FW27" s="1274"/>
      <c r="FX27" s="1274"/>
      <c r="FY27" s="1274"/>
      <c r="FZ27" s="1274"/>
      <c r="GA27" s="1274"/>
    </row>
    <row r="28" ht="12.75">
      <c r="A28" s="1229"/>
    </row>
    <row r="29" ht="12.75">
      <c r="A29" s="1229"/>
    </row>
    <row r="30" ht="12.75">
      <c r="A30" s="1229"/>
    </row>
    <row r="31" ht="12.75">
      <c r="A31" s="1229"/>
    </row>
    <row r="32" ht="12.75">
      <c r="A32" s="1229"/>
    </row>
    <row r="33" ht="12.75">
      <c r="A33" s="1229"/>
    </row>
    <row r="34" ht="12.75">
      <c r="A34" s="1229"/>
    </row>
    <row r="35" ht="12.75">
      <c r="A35" s="1229"/>
    </row>
    <row r="36" ht="12.75">
      <c r="A36" s="1229"/>
    </row>
    <row r="37" ht="12.75">
      <c r="A37" s="1229"/>
    </row>
    <row r="38" ht="12.75">
      <c r="A38" s="1229"/>
    </row>
    <row r="39" ht="12.75">
      <c r="A39" s="1229"/>
    </row>
    <row r="40" ht="12.75">
      <c r="A40" s="1229"/>
    </row>
    <row r="41" ht="12.75">
      <c r="A41" s="1229"/>
    </row>
    <row r="42" ht="12.75">
      <c r="A42" s="1229"/>
    </row>
    <row r="43" ht="12.75">
      <c r="A43" s="1229"/>
    </row>
    <row r="44" ht="12.75">
      <c r="A44" s="1229"/>
    </row>
    <row r="45" ht="12.75">
      <c r="A45" s="1229"/>
    </row>
    <row r="46" ht="12.75">
      <c r="A46" s="1229"/>
    </row>
    <row r="47" ht="12.75">
      <c r="A47" s="1229"/>
    </row>
    <row r="48" ht="12.75">
      <c r="A48" s="1229"/>
    </row>
    <row r="49" ht="12.75">
      <c r="A49" s="1229"/>
    </row>
    <row r="50" ht="12.75">
      <c r="A50" s="1229"/>
    </row>
    <row r="51" ht="12.75">
      <c r="A51" s="1229"/>
    </row>
    <row r="52" ht="12.75">
      <c r="A52" s="1229"/>
    </row>
    <row r="53" ht="12.75">
      <c r="A53" s="1229"/>
    </row>
    <row r="54" ht="12.75">
      <c r="A54" s="1229"/>
    </row>
    <row r="55" ht="12.75">
      <c r="A55" s="1229"/>
    </row>
    <row r="56" ht="12.75">
      <c r="A56" s="1229"/>
    </row>
    <row r="57" ht="12.75">
      <c r="A57" s="1229"/>
    </row>
    <row r="58" ht="12.75">
      <c r="A58" s="1229"/>
    </row>
    <row r="59" ht="12.75">
      <c r="A59" s="1229"/>
    </row>
    <row r="60" ht="12.75">
      <c r="A60" s="1229"/>
    </row>
    <row r="61" ht="12.75">
      <c r="A61" s="1229"/>
    </row>
    <row r="62" ht="12.75">
      <c r="A62" s="1229"/>
    </row>
    <row r="63" ht="12.75">
      <c r="A63" s="1229"/>
    </row>
    <row r="64" ht="12.75">
      <c r="A64" s="1229"/>
    </row>
    <row r="65" ht="12.75">
      <c r="A65" s="1229"/>
    </row>
    <row r="66" ht="12.75">
      <c r="A66" s="1229"/>
    </row>
    <row r="67" ht="12.75">
      <c r="A67" s="1229"/>
    </row>
    <row r="68" ht="12.75">
      <c r="A68" s="1229"/>
    </row>
    <row r="69" ht="12.75">
      <c r="A69" s="1229"/>
    </row>
    <row r="70" ht="12.75">
      <c r="A70" s="1229"/>
    </row>
    <row r="71" ht="12.75">
      <c r="A71" s="1229"/>
    </row>
    <row r="72" ht="12.75">
      <c r="A72" s="1229"/>
    </row>
    <row r="73" ht="12.75">
      <c r="A73" s="1229"/>
    </row>
    <row r="74" ht="12.75">
      <c r="A74" s="1229"/>
    </row>
    <row r="75" ht="12.75">
      <c r="A75" s="1229"/>
    </row>
    <row r="76" ht="12.75">
      <c r="A76" s="1229"/>
    </row>
    <row r="77" ht="12.75">
      <c r="A77" s="1229"/>
    </row>
    <row r="78" ht="12.75">
      <c r="A78" s="1229"/>
    </row>
    <row r="79" ht="12.75">
      <c r="A79" s="1229"/>
    </row>
    <row r="80" ht="12.75">
      <c r="A80" s="1229"/>
    </row>
    <row r="81" ht="12.75">
      <c r="A81" s="1229"/>
    </row>
    <row r="82" ht="12.75">
      <c r="A82" s="1229"/>
    </row>
    <row r="83" ht="12.75">
      <c r="A83" s="1229"/>
    </row>
    <row r="84" ht="12.75">
      <c r="A84" s="1229"/>
    </row>
    <row r="85" ht="12.75">
      <c r="A85" s="1229"/>
    </row>
    <row r="86" ht="12.75">
      <c r="A86" s="1229"/>
    </row>
    <row r="87" ht="12.75">
      <c r="A87" s="1229"/>
    </row>
    <row r="88" ht="12.75">
      <c r="A88" s="1229"/>
    </row>
    <row r="89" ht="12.75">
      <c r="A89" s="1229"/>
    </row>
    <row r="90" ht="12.75">
      <c r="A90" s="1229"/>
    </row>
    <row r="91" ht="12.75">
      <c r="A91" s="1229"/>
    </row>
    <row r="92" ht="12.75">
      <c r="A92" s="1229"/>
    </row>
    <row r="93" ht="12.75">
      <c r="A93" s="1229"/>
    </row>
    <row r="94" ht="12.75">
      <c r="A94" s="1229"/>
    </row>
    <row r="95" ht="12.75">
      <c r="A95" s="1229"/>
    </row>
    <row r="96" ht="12.75">
      <c r="A96" s="1229"/>
    </row>
    <row r="97" ht="12.75">
      <c r="A97" s="1229"/>
    </row>
    <row r="98" ht="12.75">
      <c r="A98" s="1229"/>
    </row>
    <row r="99" ht="12.75">
      <c r="A99" s="1229"/>
    </row>
    <row r="100" ht="12.75">
      <c r="A100" s="1229"/>
    </row>
    <row r="101" ht="12.75">
      <c r="A101" s="1229"/>
    </row>
    <row r="102" ht="12.75">
      <c r="A102" s="1229"/>
    </row>
    <row r="103" ht="12.75">
      <c r="A103" s="1229"/>
    </row>
    <row r="104" ht="12.75">
      <c r="A104" s="1229"/>
    </row>
    <row r="105" ht="12.75">
      <c r="A105" s="1229"/>
    </row>
    <row r="106" ht="12.75">
      <c r="A106" s="1229"/>
    </row>
    <row r="107" ht="12.75">
      <c r="A107" s="1229"/>
    </row>
    <row r="108" ht="12.75">
      <c r="A108" s="1229"/>
    </row>
    <row r="109" ht="12.75">
      <c r="A109" s="1229"/>
    </row>
    <row r="110" ht="12.75">
      <c r="A110" s="1229"/>
    </row>
    <row r="111" ht="12.75">
      <c r="A111" s="1229"/>
    </row>
    <row r="112" ht="12.75">
      <c r="A112" s="1229"/>
    </row>
    <row r="113" ht="12.75">
      <c r="A113" s="1229"/>
    </row>
    <row r="114" ht="12.75">
      <c r="A114" s="1229"/>
    </row>
    <row r="115" ht="12.75">
      <c r="A115" s="1229"/>
    </row>
    <row r="116" ht="12.75">
      <c r="A116" s="1229"/>
    </row>
    <row r="117" ht="12.75">
      <c r="A117" s="1229"/>
    </row>
    <row r="118" ht="12.75">
      <c r="A118" s="1229"/>
    </row>
    <row r="119" ht="12.75">
      <c r="A119" s="1229"/>
    </row>
    <row r="120" ht="12.75">
      <c r="A120" s="1229"/>
    </row>
    <row r="121" ht="12.75">
      <c r="A121" s="1229"/>
    </row>
    <row r="122" ht="12.75">
      <c r="A122" s="1229"/>
    </row>
    <row r="123" ht="12.75">
      <c r="A123" s="1229"/>
    </row>
    <row r="124" ht="12.75">
      <c r="A124" s="1229"/>
    </row>
    <row r="125" ht="12.75">
      <c r="A125" s="1229"/>
    </row>
    <row r="126" ht="12.75">
      <c r="A126" s="1229"/>
    </row>
    <row r="127" ht="12.75">
      <c r="A127" s="1229"/>
    </row>
    <row r="128" ht="12.75">
      <c r="A128" s="1229"/>
    </row>
    <row r="129" ht="12.75">
      <c r="A129" s="1229"/>
    </row>
    <row r="130" ht="12.75">
      <c r="A130" s="1229"/>
    </row>
    <row r="131" ht="12.75">
      <c r="A131" s="1229"/>
    </row>
    <row r="132" ht="12.75">
      <c r="A132" s="1229"/>
    </row>
    <row r="133" ht="12.75">
      <c r="A133" s="1229"/>
    </row>
    <row r="134" ht="12.75">
      <c r="A134" s="1229"/>
    </row>
    <row r="135" ht="12.75">
      <c r="A135" s="1229"/>
    </row>
    <row r="136" ht="12.75">
      <c r="A136" s="1229"/>
    </row>
    <row r="137" ht="12.75">
      <c r="A137" s="1229"/>
    </row>
    <row r="138" ht="12.75">
      <c r="A138" s="1229"/>
    </row>
    <row r="139" ht="12.75">
      <c r="A139" s="1229"/>
    </row>
    <row r="140" ht="12.75">
      <c r="A140" s="1229"/>
    </row>
    <row r="141" ht="12.75">
      <c r="A141" s="1229"/>
    </row>
    <row r="142" ht="12.75">
      <c r="A142" s="1229"/>
    </row>
    <row r="143" ht="12.75">
      <c r="A143" s="1229"/>
    </row>
    <row r="144" ht="12.75">
      <c r="A144" s="1229"/>
    </row>
    <row r="145" ht="12.75">
      <c r="A145" s="1229"/>
    </row>
    <row r="146" ht="12.75">
      <c r="A146" s="1229"/>
    </row>
    <row r="147" ht="12.75">
      <c r="A147" s="1229"/>
    </row>
    <row r="148" ht="12.75">
      <c r="A148" s="1229"/>
    </row>
    <row r="149" ht="12.75">
      <c r="A149" s="1229"/>
    </row>
    <row r="150" ht="12.75">
      <c r="A150" s="1229"/>
    </row>
    <row r="151" ht="12.75">
      <c r="A151" s="1229"/>
    </row>
    <row r="152" ht="12.75">
      <c r="A152" s="1229"/>
    </row>
    <row r="153" ht="12.75">
      <c r="A153" s="1229"/>
    </row>
    <row r="154" ht="12.75">
      <c r="A154" s="1229"/>
    </row>
    <row r="155" ht="12.75">
      <c r="A155" s="1229"/>
    </row>
    <row r="156" ht="12.75">
      <c r="A156" s="1229"/>
    </row>
    <row r="157" ht="12.75">
      <c r="A157" s="1229"/>
    </row>
    <row r="158" ht="12.75">
      <c r="A158" s="1229"/>
    </row>
    <row r="159" ht="12.75">
      <c r="A159" s="1229"/>
    </row>
    <row r="160" ht="12.75">
      <c r="A160" s="1229"/>
    </row>
    <row r="161" ht="12.75">
      <c r="A161" s="1229"/>
    </row>
    <row r="162" ht="12.75">
      <c r="A162" s="1229"/>
    </row>
    <row r="163" ht="12.75">
      <c r="A163" s="1229"/>
    </row>
    <row r="164" ht="12.75">
      <c r="A164" s="1229"/>
    </row>
    <row r="165" ht="12.75">
      <c r="A165" s="1229"/>
    </row>
    <row r="166" ht="12.75">
      <c r="A166" s="1229"/>
    </row>
    <row r="167" ht="12.75">
      <c r="A167" s="1229"/>
    </row>
    <row r="168" ht="12.75">
      <c r="A168" s="1229"/>
    </row>
    <row r="169" ht="12.75">
      <c r="A169" s="1229"/>
    </row>
    <row r="170" ht="12.75">
      <c r="A170" s="1229"/>
    </row>
    <row r="171" ht="12.75">
      <c r="A171" s="1229"/>
    </row>
    <row r="172" ht="12.75">
      <c r="A172" s="1229"/>
    </row>
    <row r="173" ht="12.75">
      <c r="A173" s="1229"/>
    </row>
    <row r="174" ht="12.75">
      <c r="A174" s="1229"/>
    </row>
    <row r="175" ht="12.75">
      <c r="A175" s="1229"/>
    </row>
    <row r="176" ht="12.75">
      <c r="A176" s="1229"/>
    </row>
    <row r="177" ht="12.75">
      <c r="A177" s="1229"/>
    </row>
    <row r="178" ht="12.75">
      <c r="A178" s="1229"/>
    </row>
    <row r="179" ht="12.75">
      <c r="A179" s="1229"/>
    </row>
    <row r="180" ht="12.75">
      <c r="A180" s="1229"/>
    </row>
    <row r="181" ht="12.75">
      <c r="A181" s="1229"/>
    </row>
    <row r="182" ht="12.75">
      <c r="A182" s="1229"/>
    </row>
    <row r="183" ht="12.75">
      <c r="A183" s="1229"/>
    </row>
    <row r="184" ht="12.75">
      <c r="A184" s="1229"/>
    </row>
    <row r="185" ht="12.75">
      <c r="A185" s="1229"/>
    </row>
    <row r="186" ht="12.75">
      <c r="A186" s="1229"/>
    </row>
    <row r="187" ht="12.75">
      <c r="A187" s="1229"/>
    </row>
    <row r="188" ht="12.75">
      <c r="A188" s="1229"/>
    </row>
    <row r="189" ht="12.75">
      <c r="A189" s="1229"/>
    </row>
    <row r="190" ht="12.75">
      <c r="A190" s="1229"/>
    </row>
    <row r="191" ht="12.75">
      <c r="A191" s="1229"/>
    </row>
    <row r="192" ht="12.75">
      <c r="A192" s="1229"/>
    </row>
    <row r="193" ht="12.75">
      <c r="A193" s="1229"/>
    </row>
    <row r="194" ht="12.75">
      <c r="A194" s="1229"/>
    </row>
    <row r="195" ht="12.75">
      <c r="A195" s="1229"/>
    </row>
    <row r="196" ht="12.75">
      <c r="A196" s="1229"/>
    </row>
    <row r="197" ht="12.75">
      <c r="A197" s="1229"/>
    </row>
    <row r="198" ht="12.75">
      <c r="A198" s="1229"/>
    </row>
    <row r="199" ht="12.75">
      <c r="A199" s="1229"/>
    </row>
    <row r="200" ht="12.75">
      <c r="A200" s="1229"/>
    </row>
    <row r="201" ht="12.75">
      <c r="A201" s="1229"/>
    </row>
    <row r="202" ht="12.75">
      <c r="A202" s="1229"/>
    </row>
    <row r="203" ht="12.75">
      <c r="A203" s="1229"/>
    </row>
    <row r="204" ht="12.75">
      <c r="A204" s="1229"/>
    </row>
    <row r="205" ht="12.75">
      <c r="A205" s="1229"/>
    </row>
  </sheetData>
  <sheetProtection/>
  <mergeCells count="1">
    <mergeCell ref="B3:G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5" r:id="rId1"/>
  <rowBreaks count="1" manualBreakCount="1">
    <brk id="93" min="1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V16"/>
  <sheetViews>
    <sheetView view="pageBreakPreview" zoomScaleSheetLayoutView="100" zoomScalePageLayoutView="0" workbookViewId="0" topLeftCell="A1">
      <selection activeCell="V2" sqref="V2"/>
    </sheetView>
  </sheetViews>
  <sheetFormatPr defaultColWidth="9.00390625" defaultRowHeight="12.75"/>
  <cols>
    <col min="1" max="1" width="43.625" style="701" customWidth="1"/>
    <col min="2" max="2" width="15.00390625" style="701" customWidth="1"/>
    <col min="3" max="3" width="17.625" style="701" hidden="1" customWidth="1"/>
    <col min="4" max="4" width="14.00390625" style="726" customWidth="1"/>
    <col min="5" max="5" width="14.00390625" style="726" hidden="1" customWidth="1"/>
    <col min="6" max="6" width="14.50390625" style="726" customWidth="1"/>
    <col min="7" max="9" width="14.50390625" style="726" hidden="1" customWidth="1"/>
    <col min="10" max="10" width="14.875" style="726" hidden="1" customWidth="1"/>
    <col min="11" max="11" width="13.00390625" style="726" customWidth="1"/>
    <col min="12" max="12" width="11.875" style="726" customWidth="1"/>
    <col min="13" max="13" width="15.375" style="726" customWidth="1"/>
    <col min="14" max="14" width="13.00390625" style="726" customWidth="1"/>
    <col min="15" max="15" width="14.625" style="726" customWidth="1"/>
    <col min="16" max="17" width="13.00390625" style="726" customWidth="1"/>
    <col min="18" max="18" width="13.00390625" style="727" customWidth="1"/>
    <col min="19" max="19" width="14.125" style="701" customWidth="1"/>
    <col min="20" max="20" width="12.125" style="701" customWidth="1"/>
    <col min="21" max="21" width="12.00390625" style="701" customWidth="1"/>
    <col min="22" max="22" width="18.50390625" style="701" customWidth="1"/>
    <col min="23" max="16384" width="9.375" style="701" customWidth="1"/>
  </cols>
  <sheetData>
    <row r="1" ht="15.75">
      <c r="V1" s="1193" t="s">
        <v>1141</v>
      </c>
    </row>
    <row r="3" spans="4:17" ht="15.75">
      <c r="D3" s="1442" t="s">
        <v>1123</v>
      </c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</row>
    <row r="4" spans="4:17" ht="15.75">
      <c r="D4" s="1438"/>
      <c r="E4" s="1438"/>
      <c r="F4" s="1438"/>
      <c r="G4" s="1438"/>
      <c r="H4" s="1438"/>
      <c r="I4" s="1438"/>
      <c r="J4" s="1438"/>
      <c r="K4" s="1438"/>
      <c r="L4" s="1438"/>
      <c r="M4" s="1438"/>
      <c r="N4" s="1438"/>
      <c r="O4" s="1438"/>
      <c r="P4" s="1438"/>
      <c r="Q4" s="1438"/>
    </row>
    <row r="7" spans="1:22" ht="15.75" customHeight="1">
      <c r="A7" s="1446" t="s">
        <v>49</v>
      </c>
      <c r="B7" s="1447" t="s">
        <v>858</v>
      </c>
      <c r="C7" s="700"/>
      <c r="D7" s="1450" t="s">
        <v>859</v>
      </c>
      <c r="E7" s="1451"/>
      <c r="F7" s="1451"/>
      <c r="G7" s="1451"/>
      <c r="H7" s="1451"/>
      <c r="I7" s="1451"/>
      <c r="J7" s="1451"/>
      <c r="K7" s="1451"/>
      <c r="L7" s="1451"/>
      <c r="M7" s="1452"/>
      <c r="N7" s="1453" t="s">
        <v>860</v>
      </c>
      <c r="O7" s="1454"/>
      <c r="P7" s="1454"/>
      <c r="Q7" s="1455"/>
      <c r="R7" s="1462" t="s">
        <v>859</v>
      </c>
      <c r="S7" s="1462"/>
      <c r="T7" s="1462"/>
      <c r="U7" s="1462"/>
      <c r="V7" s="1462"/>
    </row>
    <row r="8" spans="1:22" ht="15.75">
      <c r="A8" s="1446"/>
      <c r="B8" s="1448"/>
      <c r="C8" s="702"/>
      <c r="D8" s="1444" t="s">
        <v>861</v>
      </c>
      <c r="E8" s="1463"/>
      <c r="F8" s="1463"/>
      <c r="G8" s="1463"/>
      <c r="H8" s="1463"/>
      <c r="I8" s="1463"/>
      <c r="J8" s="1463"/>
      <c r="K8" s="1463"/>
      <c r="L8" s="1463"/>
      <c r="M8" s="1464"/>
      <c r="N8" s="1456"/>
      <c r="O8" s="1457"/>
      <c r="P8" s="1457"/>
      <c r="Q8" s="1458"/>
      <c r="R8" s="1443" t="s">
        <v>862</v>
      </c>
      <c r="S8" s="1443"/>
      <c r="T8" s="1443"/>
      <c r="U8" s="1443"/>
      <c r="V8" s="1443"/>
    </row>
    <row r="9" spans="1:22" ht="15.75">
      <c r="A9" s="1446"/>
      <c r="B9" s="1448"/>
      <c r="C9" s="702"/>
      <c r="D9" s="1465" t="s">
        <v>863</v>
      </c>
      <c r="E9" s="1466"/>
      <c r="F9" s="1466"/>
      <c r="G9" s="1466"/>
      <c r="H9" s="1466"/>
      <c r="I9" s="1466"/>
      <c r="J9" s="1466"/>
      <c r="K9" s="1466"/>
      <c r="L9" s="1467"/>
      <c r="M9" s="1468" t="s">
        <v>1115</v>
      </c>
      <c r="N9" s="1459"/>
      <c r="O9" s="1460"/>
      <c r="P9" s="1460"/>
      <c r="Q9" s="1461"/>
      <c r="R9" s="1443"/>
      <c r="S9" s="1443"/>
      <c r="T9" s="1443"/>
      <c r="U9" s="1443"/>
      <c r="V9" s="1443"/>
    </row>
    <row r="10" spans="1:22" ht="84" customHeight="1">
      <c r="A10" s="1446"/>
      <c r="B10" s="1449"/>
      <c r="C10" s="703"/>
      <c r="D10" s="704" t="s">
        <v>160</v>
      </c>
      <c r="E10" s="705" t="s">
        <v>864</v>
      </c>
      <c r="F10" s="704" t="s">
        <v>161</v>
      </c>
      <c r="G10" s="1470" t="s">
        <v>865</v>
      </c>
      <c r="H10" s="1471"/>
      <c r="I10" s="1471"/>
      <c r="J10" s="1471"/>
      <c r="K10" s="1472"/>
      <c r="L10" s="706" t="s">
        <v>866</v>
      </c>
      <c r="M10" s="1469"/>
      <c r="N10" s="707" t="s">
        <v>160</v>
      </c>
      <c r="O10" s="707" t="s">
        <v>161</v>
      </c>
      <c r="P10" s="707" t="s">
        <v>865</v>
      </c>
      <c r="Q10" s="706" t="s">
        <v>867</v>
      </c>
      <c r="R10" s="707" t="s">
        <v>160</v>
      </c>
      <c r="S10" s="707" t="s">
        <v>161</v>
      </c>
      <c r="T10" s="707" t="s">
        <v>865</v>
      </c>
      <c r="U10" s="706" t="s">
        <v>867</v>
      </c>
      <c r="V10" s="1443" t="s">
        <v>868</v>
      </c>
    </row>
    <row r="11" spans="1:22" ht="15.75">
      <c r="A11" s="1446"/>
      <c r="B11" s="708" t="s">
        <v>869</v>
      </c>
      <c r="C11" s="709"/>
      <c r="D11" s="710" t="s">
        <v>870</v>
      </c>
      <c r="E11" s="710" t="s">
        <v>870</v>
      </c>
      <c r="F11" s="710"/>
      <c r="G11" s="1444" t="s">
        <v>871</v>
      </c>
      <c r="H11" s="1445"/>
      <c r="I11" s="1444" t="s">
        <v>872</v>
      </c>
      <c r="J11" s="1445"/>
      <c r="K11" s="711"/>
      <c r="L11" s="711"/>
      <c r="M11" s="710"/>
      <c r="N11" s="710" t="s">
        <v>870</v>
      </c>
      <c r="O11" s="710" t="s">
        <v>870</v>
      </c>
      <c r="P11" s="710"/>
      <c r="Q11" s="710"/>
      <c r="R11" s="710" t="s">
        <v>870</v>
      </c>
      <c r="S11" s="710" t="s">
        <v>870</v>
      </c>
      <c r="T11" s="710"/>
      <c r="U11" s="710"/>
      <c r="V11" s="1443"/>
    </row>
    <row r="12" spans="1:22" ht="15.75">
      <c r="A12" s="712"/>
      <c r="B12" s="708"/>
      <c r="C12" s="713"/>
      <c r="D12" s="710"/>
      <c r="E12" s="710"/>
      <c r="F12" s="710"/>
      <c r="G12" s="714" t="s">
        <v>873</v>
      </c>
      <c r="H12" s="715" t="s">
        <v>874</v>
      </c>
      <c r="I12" s="714" t="s">
        <v>873</v>
      </c>
      <c r="J12" s="715" t="s">
        <v>874</v>
      </c>
      <c r="K12" s="715"/>
      <c r="L12" s="715"/>
      <c r="M12" s="710"/>
      <c r="N12" s="710"/>
      <c r="O12" s="710"/>
      <c r="P12" s="710"/>
      <c r="Q12" s="710"/>
      <c r="R12" s="710"/>
      <c r="S12" s="710"/>
      <c r="T12" s="710"/>
      <c r="U12" s="710"/>
      <c r="V12" s="710"/>
    </row>
    <row r="13" spans="1:22" ht="38.25" customHeight="1">
      <c r="A13" s="716" t="s">
        <v>1048</v>
      </c>
      <c r="B13" s="717">
        <v>0</v>
      </c>
      <c r="C13" s="718">
        <v>492951</v>
      </c>
      <c r="D13" s="719">
        <v>0</v>
      </c>
      <c r="E13" s="719">
        <v>476651</v>
      </c>
      <c r="F13" s="719">
        <v>650000</v>
      </c>
      <c r="G13" s="719">
        <v>6833</v>
      </c>
      <c r="H13" s="719">
        <v>406358</v>
      </c>
      <c r="I13" s="719">
        <v>0</v>
      </c>
      <c r="J13" s="719">
        <v>0</v>
      </c>
      <c r="K13" s="719">
        <v>650000</v>
      </c>
      <c r="L13" s="720">
        <v>100</v>
      </c>
      <c r="M13" s="719">
        <v>2711020</v>
      </c>
      <c r="N13" s="719"/>
      <c r="O13" s="719">
        <v>3361020</v>
      </c>
      <c r="P13" s="719">
        <v>3361020</v>
      </c>
      <c r="Q13" s="720">
        <v>100</v>
      </c>
      <c r="R13" s="719">
        <v>0</v>
      </c>
      <c r="S13" s="719">
        <v>0</v>
      </c>
      <c r="T13" s="719">
        <v>0</v>
      </c>
      <c r="U13" s="720">
        <v>0</v>
      </c>
      <c r="V13" s="721"/>
    </row>
    <row r="14" spans="1:22" ht="15.75">
      <c r="A14" s="716"/>
      <c r="B14" s="722"/>
      <c r="C14" s="718"/>
      <c r="D14" s="719"/>
      <c r="E14" s="719"/>
      <c r="F14" s="719"/>
      <c r="G14" s="719"/>
      <c r="H14" s="719"/>
      <c r="I14" s="719"/>
      <c r="J14" s="719"/>
      <c r="K14" s="719"/>
      <c r="L14" s="720"/>
      <c r="M14" s="719"/>
      <c r="N14" s="719"/>
      <c r="O14" s="719"/>
      <c r="P14" s="719"/>
      <c r="Q14" s="720"/>
      <c r="R14" s="719"/>
      <c r="S14" s="719"/>
      <c r="T14" s="719"/>
      <c r="U14" s="720"/>
      <c r="V14" s="723"/>
    </row>
    <row r="15" spans="1:22" ht="15.75">
      <c r="A15" s="716"/>
      <c r="B15" s="722"/>
      <c r="C15" s="718"/>
      <c r="D15" s="719"/>
      <c r="E15" s="719"/>
      <c r="F15" s="719"/>
      <c r="G15" s="719"/>
      <c r="H15" s="719"/>
      <c r="I15" s="719"/>
      <c r="J15" s="719"/>
      <c r="K15" s="719"/>
      <c r="L15" s="720"/>
      <c r="M15" s="719"/>
      <c r="N15" s="719"/>
      <c r="O15" s="719"/>
      <c r="P15" s="719"/>
      <c r="Q15" s="720"/>
      <c r="R15" s="719"/>
      <c r="S15" s="719"/>
      <c r="T15" s="719"/>
      <c r="U15" s="720"/>
      <c r="V15" s="721"/>
    </row>
    <row r="16" spans="1:22" ht="15.75">
      <c r="A16" s="724"/>
      <c r="B16" s="725">
        <f>SUM(B13:B15)</f>
        <v>0</v>
      </c>
      <c r="C16" s="725">
        <f aca="true" t="shared" si="0" ref="C16:V16">SUM(C13:C15)</f>
        <v>492951</v>
      </c>
      <c r="D16" s="725">
        <f t="shared" si="0"/>
        <v>0</v>
      </c>
      <c r="E16" s="725">
        <f t="shared" si="0"/>
        <v>476651</v>
      </c>
      <c r="F16" s="725">
        <f t="shared" si="0"/>
        <v>650000</v>
      </c>
      <c r="G16" s="725">
        <f t="shared" si="0"/>
        <v>6833</v>
      </c>
      <c r="H16" s="725">
        <f t="shared" si="0"/>
        <v>406358</v>
      </c>
      <c r="I16" s="725">
        <f t="shared" si="0"/>
        <v>0</v>
      </c>
      <c r="J16" s="725">
        <f t="shared" si="0"/>
        <v>0</v>
      </c>
      <c r="K16" s="725">
        <f t="shared" si="0"/>
        <v>650000</v>
      </c>
      <c r="L16" s="725">
        <f t="shared" si="0"/>
        <v>100</v>
      </c>
      <c r="M16" s="725">
        <f t="shared" si="0"/>
        <v>2711020</v>
      </c>
      <c r="N16" s="725">
        <f t="shared" si="0"/>
        <v>0</v>
      </c>
      <c r="O16" s="725">
        <f t="shared" si="0"/>
        <v>3361020</v>
      </c>
      <c r="P16" s="725">
        <f t="shared" si="0"/>
        <v>3361020</v>
      </c>
      <c r="Q16" s="725">
        <f t="shared" si="0"/>
        <v>100</v>
      </c>
      <c r="R16" s="725">
        <f t="shared" si="0"/>
        <v>0</v>
      </c>
      <c r="S16" s="725">
        <f t="shared" si="0"/>
        <v>0</v>
      </c>
      <c r="T16" s="725">
        <f t="shared" si="0"/>
        <v>0</v>
      </c>
      <c r="U16" s="725">
        <f t="shared" si="0"/>
        <v>0</v>
      </c>
      <c r="V16" s="725">
        <f t="shared" si="0"/>
        <v>0</v>
      </c>
    </row>
  </sheetData>
  <sheetProtection/>
  <mergeCells count="14">
    <mergeCell ref="R8:V9"/>
    <mergeCell ref="D9:L9"/>
    <mergeCell ref="M9:M10"/>
    <mergeCell ref="G10:K10"/>
    <mergeCell ref="D3:Q4"/>
    <mergeCell ref="V10:V11"/>
    <mergeCell ref="G11:H11"/>
    <mergeCell ref="I11:J11"/>
    <mergeCell ref="A7:A11"/>
    <mergeCell ref="B7:B10"/>
    <mergeCell ref="D7:M7"/>
    <mergeCell ref="N7:Q9"/>
    <mergeCell ref="R7:V7"/>
    <mergeCell ref="D8:M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5" r:id="rId1"/>
  <rowBreaks count="1" manualBreakCount="1">
    <brk id="47" min="1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2:K21"/>
  <sheetViews>
    <sheetView view="pageBreakPreview" zoomScale="115" zoomScaleSheetLayoutView="115" zoomScalePageLayoutView="0" workbookViewId="0" topLeftCell="A1">
      <selection activeCell="K22" sqref="K22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2" spans="3:8" ht="12.75">
      <c r="C2" s="1432" t="s">
        <v>1107</v>
      </c>
      <c r="D2" s="1473"/>
      <c r="E2" s="1473"/>
      <c r="F2" s="1473"/>
      <c r="G2" s="1473"/>
      <c r="H2" s="1473"/>
    </row>
    <row r="3" spans="3:8" ht="12.75">
      <c r="C3" s="1473"/>
      <c r="D3" s="1473"/>
      <c r="E3" s="1473"/>
      <c r="F3" s="1473"/>
      <c r="G3" s="1473"/>
      <c r="H3" s="1473"/>
    </row>
    <row r="4" spans="1:11" ht="14.25" thickBot="1">
      <c r="A4" s="60"/>
      <c r="B4" s="61"/>
      <c r="C4" s="61"/>
      <c r="D4" s="61"/>
      <c r="E4" s="61"/>
      <c r="F4" s="61"/>
      <c r="G4" s="61"/>
      <c r="H4" s="61"/>
      <c r="I4" s="61"/>
      <c r="J4" s="62" t="s">
        <v>643</v>
      </c>
      <c r="K4" s="1434" t="s">
        <v>1142</v>
      </c>
    </row>
    <row r="5" spans="1:11" s="66" customFormat="1" ht="26.25" customHeight="1">
      <c r="A5" s="1476" t="s">
        <v>56</v>
      </c>
      <c r="B5" s="1478" t="s">
        <v>166</v>
      </c>
      <c r="C5" s="1478" t="s">
        <v>167</v>
      </c>
      <c r="D5" s="1478" t="s">
        <v>168</v>
      </c>
      <c r="E5" s="1478" t="s">
        <v>650</v>
      </c>
      <c r="F5" s="63" t="s">
        <v>169</v>
      </c>
      <c r="G5" s="64"/>
      <c r="H5" s="64"/>
      <c r="I5" s="65"/>
      <c r="J5" s="1474" t="s">
        <v>170</v>
      </c>
      <c r="K5" s="1434"/>
    </row>
    <row r="6" spans="1:11" s="70" customFormat="1" ht="32.25" customHeight="1" thickBot="1">
      <c r="A6" s="1477"/>
      <c r="B6" s="1479"/>
      <c r="C6" s="1479"/>
      <c r="D6" s="1480"/>
      <c r="E6" s="1480"/>
      <c r="F6" s="67" t="s">
        <v>641</v>
      </c>
      <c r="G6" s="68" t="s">
        <v>645</v>
      </c>
      <c r="H6" s="68" t="s">
        <v>652</v>
      </c>
      <c r="I6" s="69" t="s">
        <v>653</v>
      </c>
      <c r="J6" s="1475"/>
      <c r="K6" s="1434"/>
    </row>
    <row r="7" spans="1:11" s="72" customFormat="1" ht="13.5" customHeight="1" thickBot="1">
      <c r="A7" s="317" t="s">
        <v>350</v>
      </c>
      <c r="B7" s="71" t="s">
        <v>470</v>
      </c>
      <c r="C7" s="318" t="s">
        <v>352</v>
      </c>
      <c r="D7" s="318" t="s">
        <v>353</v>
      </c>
      <c r="E7" s="318" t="s">
        <v>354</v>
      </c>
      <c r="F7" s="318" t="s">
        <v>431</v>
      </c>
      <c r="G7" s="318" t="s">
        <v>432</v>
      </c>
      <c r="H7" s="318" t="s">
        <v>433</v>
      </c>
      <c r="I7" s="318" t="s">
        <v>434</v>
      </c>
      <c r="J7" s="319" t="s">
        <v>502</v>
      </c>
      <c r="K7" s="1434"/>
    </row>
    <row r="8" spans="1:11" ht="33.75" customHeight="1">
      <c r="A8" s="73" t="s">
        <v>6</v>
      </c>
      <c r="B8" s="74" t="s">
        <v>171</v>
      </c>
      <c r="C8" s="75"/>
      <c r="D8" s="76">
        <f aca="true" t="shared" si="0" ref="D8:I8">SUM(D9:D10)</f>
        <v>0</v>
      </c>
      <c r="E8" s="76">
        <f t="shared" si="0"/>
        <v>0</v>
      </c>
      <c r="F8" s="76">
        <f t="shared" si="0"/>
        <v>0</v>
      </c>
      <c r="G8" s="76">
        <f t="shared" si="0"/>
        <v>0</v>
      </c>
      <c r="H8" s="76">
        <f t="shared" si="0"/>
        <v>0</v>
      </c>
      <c r="I8" s="77">
        <f t="shared" si="0"/>
        <v>0</v>
      </c>
      <c r="J8" s="78">
        <f aca="true" t="shared" si="1" ref="J8:J20">SUM(F8:I8)</f>
        <v>0</v>
      </c>
      <c r="K8" s="1434"/>
    </row>
    <row r="9" spans="1:11" ht="21" customHeight="1">
      <c r="A9" s="79" t="s">
        <v>7</v>
      </c>
      <c r="B9" s="80" t="s">
        <v>172</v>
      </c>
      <c r="C9" s="81"/>
      <c r="D9" s="2"/>
      <c r="E9" s="2"/>
      <c r="F9" s="2"/>
      <c r="G9" s="2"/>
      <c r="H9" s="2"/>
      <c r="I9" s="42"/>
      <c r="J9" s="82">
        <f t="shared" si="1"/>
        <v>0</v>
      </c>
      <c r="K9" s="1434"/>
    </row>
    <row r="10" spans="1:11" ht="21" customHeight="1">
      <c r="A10" s="79" t="s">
        <v>8</v>
      </c>
      <c r="B10" s="80" t="s">
        <v>172</v>
      </c>
      <c r="C10" s="81"/>
      <c r="D10" s="2"/>
      <c r="E10" s="2"/>
      <c r="F10" s="2"/>
      <c r="G10" s="2"/>
      <c r="H10" s="2"/>
      <c r="I10" s="42"/>
      <c r="J10" s="82">
        <f t="shared" si="1"/>
        <v>0</v>
      </c>
      <c r="K10" s="1434"/>
    </row>
    <row r="11" spans="1:11" ht="36" customHeight="1">
      <c r="A11" s="79" t="s">
        <v>9</v>
      </c>
      <c r="B11" s="83" t="s">
        <v>173</v>
      </c>
      <c r="C11" s="84"/>
      <c r="D11" s="85">
        <f aca="true" t="shared" si="2" ref="D11:I11">SUM(D12:D13)</f>
        <v>0</v>
      </c>
      <c r="E11" s="85">
        <f t="shared" si="2"/>
        <v>0</v>
      </c>
      <c r="F11" s="85">
        <f t="shared" si="2"/>
        <v>0</v>
      </c>
      <c r="G11" s="85">
        <f t="shared" si="2"/>
        <v>0</v>
      </c>
      <c r="H11" s="85">
        <f t="shared" si="2"/>
        <v>0</v>
      </c>
      <c r="I11" s="86">
        <f t="shared" si="2"/>
        <v>0</v>
      </c>
      <c r="J11" s="87">
        <f t="shared" si="1"/>
        <v>0</v>
      </c>
      <c r="K11" s="1434"/>
    </row>
    <row r="12" spans="1:11" ht="21" customHeight="1">
      <c r="A12" s="79" t="s">
        <v>10</v>
      </c>
      <c r="B12" s="80" t="s">
        <v>172</v>
      </c>
      <c r="C12" s="81"/>
      <c r="D12" s="2"/>
      <c r="E12" s="2"/>
      <c r="F12" s="2"/>
      <c r="G12" s="2"/>
      <c r="H12" s="2"/>
      <c r="I12" s="42"/>
      <c r="J12" s="82">
        <f t="shared" si="1"/>
        <v>0</v>
      </c>
      <c r="K12" s="1434"/>
    </row>
    <row r="13" spans="1:11" ht="18" customHeight="1">
      <c r="A13" s="79" t="s">
        <v>11</v>
      </c>
      <c r="B13" s="80" t="s">
        <v>172</v>
      </c>
      <c r="C13" s="81"/>
      <c r="D13" s="2"/>
      <c r="E13" s="2"/>
      <c r="F13" s="2"/>
      <c r="G13" s="2"/>
      <c r="H13" s="2"/>
      <c r="I13" s="42"/>
      <c r="J13" s="82">
        <f t="shared" si="1"/>
        <v>0</v>
      </c>
      <c r="K13" s="1434"/>
    </row>
    <row r="14" spans="1:11" ht="21" customHeight="1">
      <c r="A14" s="79" t="s">
        <v>12</v>
      </c>
      <c r="B14" s="88" t="s">
        <v>174</v>
      </c>
      <c r="C14" s="84"/>
      <c r="D14" s="85">
        <f aca="true" t="shared" si="3" ref="D14:I14">SUM(D15:D15)</f>
        <v>0</v>
      </c>
      <c r="E14" s="85">
        <f t="shared" si="3"/>
        <v>0</v>
      </c>
      <c r="F14" s="85">
        <f t="shared" si="3"/>
        <v>0</v>
      </c>
      <c r="G14" s="85">
        <f t="shared" si="3"/>
        <v>0</v>
      </c>
      <c r="H14" s="85">
        <f t="shared" si="3"/>
        <v>0</v>
      </c>
      <c r="I14" s="86">
        <f t="shared" si="3"/>
        <v>0</v>
      </c>
      <c r="J14" s="87">
        <f t="shared" si="1"/>
        <v>0</v>
      </c>
      <c r="K14" s="1434"/>
    </row>
    <row r="15" spans="1:11" ht="21" customHeight="1">
      <c r="A15" s="79" t="s">
        <v>13</v>
      </c>
      <c r="B15" s="80" t="s">
        <v>172</v>
      </c>
      <c r="C15" s="81"/>
      <c r="D15" s="2"/>
      <c r="E15" s="2"/>
      <c r="F15" s="2"/>
      <c r="G15" s="2"/>
      <c r="H15" s="2"/>
      <c r="I15" s="42"/>
      <c r="J15" s="82">
        <f t="shared" si="1"/>
        <v>0</v>
      </c>
      <c r="K15" s="1434"/>
    </row>
    <row r="16" spans="1:11" ht="21" customHeight="1">
      <c r="A16" s="79" t="s">
        <v>14</v>
      </c>
      <c r="B16" s="88" t="s">
        <v>175</v>
      </c>
      <c r="C16" s="84"/>
      <c r="D16" s="85">
        <f aca="true" t="shared" si="4" ref="D16:I16">SUM(D17:D17)</f>
        <v>0</v>
      </c>
      <c r="E16" s="85">
        <f t="shared" si="4"/>
        <v>0</v>
      </c>
      <c r="F16" s="85">
        <f t="shared" si="4"/>
        <v>0</v>
      </c>
      <c r="G16" s="85">
        <f t="shared" si="4"/>
        <v>0</v>
      </c>
      <c r="H16" s="85">
        <f t="shared" si="4"/>
        <v>0</v>
      </c>
      <c r="I16" s="86">
        <f t="shared" si="4"/>
        <v>0</v>
      </c>
      <c r="J16" s="87">
        <f t="shared" si="1"/>
        <v>0</v>
      </c>
      <c r="K16" s="1434"/>
    </row>
    <row r="17" spans="1:11" ht="21" customHeight="1">
      <c r="A17" s="79" t="s">
        <v>15</v>
      </c>
      <c r="B17" s="80" t="s">
        <v>172</v>
      </c>
      <c r="C17" s="81"/>
      <c r="D17" s="2"/>
      <c r="E17" s="2"/>
      <c r="F17" s="2"/>
      <c r="G17" s="2"/>
      <c r="H17" s="2"/>
      <c r="I17" s="42"/>
      <c r="J17" s="82">
        <f t="shared" si="1"/>
        <v>0</v>
      </c>
      <c r="K17" s="1434"/>
    </row>
    <row r="18" spans="1:11" ht="21" customHeight="1">
      <c r="A18" s="89" t="s">
        <v>16</v>
      </c>
      <c r="B18" s="90" t="s">
        <v>176</v>
      </c>
      <c r="C18" s="91"/>
      <c r="D18" s="92">
        <f aca="true" t="shared" si="5" ref="D18:I18">SUM(D19:D20)</f>
        <v>0</v>
      </c>
      <c r="E18" s="92">
        <f t="shared" si="5"/>
        <v>0</v>
      </c>
      <c r="F18" s="92">
        <f t="shared" si="5"/>
        <v>0</v>
      </c>
      <c r="G18" s="92">
        <f t="shared" si="5"/>
        <v>0</v>
      </c>
      <c r="H18" s="92">
        <f t="shared" si="5"/>
        <v>0</v>
      </c>
      <c r="I18" s="93">
        <f t="shared" si="5"/>
        <v>0</v>
      </c>
      <c r="J18" s="87">
        <f t="shared" si="1"/>
        <v>0</v>
      </c>
      <c r="K18" s="1434"/>
    </row>
    <row r="19" spans="1:11" ht="21" customHeight="1">
      <c r="A19" s="89" t="s">
        <v>17</v>
      </c>
      <c r="B19" s="80" t="s">
        <v>172</v>
      </c>
      <c r="C19" s="81"/>
      <c r="D19" s="2"/>
      <c r="E19" s="2"/>
      <c r="F19" s="2"/>
      <c r="G19" s="2"/>
      <c r="H19" s="2"/>
      <c r="I19" s="42"/>
      <c r="J19" s="82">
        <f t="shared" si="1"/>
        <v>0</v>
      </c>
      <c r="K19" s="1434"/>
    </row>
    <row r="20" spans="1:11" ht="21" customHeight="1" thickBot="1">
      <c r="A20" s="89" t="s">
        <v>18</v>
      </c>
      <c r="B20" s="80" t="s">
        <v>172</v>
      </c>
      <c r="C20" s="94"/>
      <c r="D20" s="95"/>
      <c r="E20" s="95"/>
      <c r="F20" s="95"/>
      <c r="G20" s="95"/>
      <c r="H20" s="95"/>
      <c r="I20" s="96"/>
      <c r="J20" s="82">
        <f t="shared" si="1"/>
        <v>0</v>
      </c>
      <c r="K20" s="1434"/>
    </row>
    <row r="21" spans="1:11" ht="21" customHeight="1" thickBot="1">
      <c r="A21" s="97" t="s">
        <v>19</v>
      </c>
      <c r="B21" s="98" t="s">
        <v>177</v>
      </c>
      <c r="C21" s="99"/>
      <c r="D21" s="100">
        <f aca="true" t="shared" si="6" ref="D21:J21">D8+D11+D14+D16+D18</f>
        <v>0</v>
      </c>
      <c r="E21" s="100">
        <f t="shared" si="6"/>
        <v>0</v>
      </c>
      <c r="F21" s="100">
        <f t="shared" si="6"/>
        <v>0</v>
      </c>
      <c r="G21" s="100">
        <f t="shared" si="6"/>
        <v>0</v>
      </c>
      <c r="H21" s="100">
        <f t="shared" si="6"/>
        <v>0</v>
      </c>
      <c r="I21" s="101">
        <f t="shared" si="6"/>
        <v>0</v>
      </c>
      <c r="J21" s="102">
        <f t="shared" si="6"/>
        <v>0</v>
      </c>
      <c r="K21" s="1434"/>
    </row>
  </sheetData>
  <sheetProtection/>
  <mergeCells count="8">
    <mergeCell ref="C2:H3"/>
    <mergeCell ref="J5:J6"/>
    <mergeCell ref="K4:K21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1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1" width="6.875" style="1067" customWidth="1"/>
    <col min="2" max="2" width="55.125" style="1071" customWidth="1"/>
    <col min="3" max="5" width="16.375" style="1067" customWidth="1"/>
    <col min="6" max="6" width="55.125" style="1067" customWidth="1"/>
    <col min="7" max="9" width="16.375" style="1067" customWidth="1"/>
    <col min="10" max="10" width="4.875" style="1067" customWidth="1"/>
    <col min="11" max="11" width="9.375" style="1070" hidden="1" customWidth="1"/>
    <col min="12" max="16384" width="9.375" style="1067" customWidth="1"/>
  </cols>
  <sheetData>
    <row r="1" spans="2:10" ht="39.75" customHeight="1">
      <c r="B1" s="1068" t="s">
        <v>99</v>
      </c>
      <c r="C1" s="1069"/>
      <c r="D1" s="1069"/>
      <c r="E1" s="1069"/>
      <c r="F1" s="1069"/>
      <c r="G1" s="1069"/>
      <c r="H1" s="1069"/>
      <c r="I1" s="1069"/>
      <c r="J1" s="1331" t="s">
        <v>1125</v>
      </c>
    </row>
    <row r="2" spans="7:10" ht="14.25" thickBot="1">
      <c r="G2" s="1072"/>
      <c r="H2" s="1072"/>
      <c r="I2" s="1072" t="s">
        <v>643</v>
      </c>
      <c r="J2" s="1331"/>
    </row>
    <row r="3" spans="1:10" ht="18" customHeight="1" thickBot="1">
      <c r="A3" s="1332" t="s">
        <v>56</v>
      </c>
      <c r="B3" s="1073" t="s">
        <v>42</v>
      </c>
      <c r="C3" s="1074"/>
      <c r="D3" s="1074"/>
      <c r="E3" s="1074"/>
      <c r="F3" s="1073" t="s">
        <v>43</v>
      </c>
      <c r="G3" s="1075"/>
      <c r="H3" s="1075"/>
      <c r="I3" s="1075"/>
      <c r="J3" s="1331"/>
    </row>
    <row r="4" spans="1:11" s="1081" customFormat="1" ht="35.25" customHeight="1" thickBot="1">
      <c r="A4" s="1333"/>
      <c r="B4" s="1076" t="s">
        <v>49</v>
      </c>
      <c r="C4" s="1077" t="str">
        <f>+CONCATENATE(LEFT('1.mell Bevételek kiadások.'!C3,4),". évi eredeti előirányzat")</f>
        <v>2018. évi eredeti előirányzat</v>
      </c>
      <c r="D4" s="1078" t="str">
        <f>+CONCATENATE(LEFT('1.mell Bevételek kiadások.'!C3,4),". évi módosított előirányzat")</f>
        <v>2018. évi módosított előirányzat</v>
      </c>
      <c r="E4" s="1077" t="str">
        <f>+CONCATENATE(LEFT('1.mell Bevételek kiadások.'!C3,4),". évi teljesítés")</f>
        <v>2018. évi teljesítés</v>
      </c>
      <c r="F4" s="1076" t="s">
        <v>49</v>
      </c>
      <c r="G4" s="1077" t="s">
        <v>1040</v>
      </c>
      <c r="H4" s="1077" t="s">
        <v>658</v>
      </c>
      <c r="I4" s="1079" t="str">
        <f>+E4</f>
        <v>2018. évi teljesítés</v>
      </c>
      <c r="J4" s="1331"/>
      <c r="K4" s="1080"/>
    </row>
    <row r="5" spans="1:11" s="1087" customFormat="1" ht="12" customHeight="1" thickBot="1">
      <c r="A5" s="1082" t="s">
        <v>350</v>
      </c>
      <c r="B5" s="1083" t="s">
        <v>351</v>
      </c>
      <c r="C5" s="1084" t="s">
        <v>352</v>
      </c>
      <c r="D5" s="1084" t="s">
        <v>353</v>
      </c>
      <c r="E5" s="1084" t="s">
        <v>354</v>
      </c>
      <c r="F5" s="1083" t="s">
        <v>431</v>
      </c>
      <c r="G5" s="1084" t="s">
        <v>432</v>
      </c>
      <c r="H5" s="1084" t="s">
        <v>433</v>
      </c>
      <c r="I5" s="1085" t="s">
        <v>434</v>
      </c>
      <c r="J5" s="1331"/>
      <c r="K5" s="1086"/>
    </row>
    <row r="6" spans="1:11" ht="15" customHeight="1">
      <c r="A6" s="1088" t="s">
        <v>6</v>
      </c>
      <c r="B6" s="1089" t="s">
        <v>407</v>
      </c>
      <c r="C6" s="1090">
        <v>140330444</v>
      </c>
      <c r="D6" s="1090">
        <v>145888960</v>
      </c>
      <c r="E6" s="1090">
        <v>145888960</v>
      </c>
      <c r="F6" s="1089" t="s">
        <v>50</v>
      </c>
      <c r="G6" s="1090">
        <v>114587158</v>
      </c>
      <c r="H6" s="1090">
        <v>124062736</v>
      </c>
      <c r="I6" s="1091">
        <v>119693331</v>
      </c>
      <c r="J6" s="1331"/>
      <c r="K6" s="1070" t="s">
        <v>505</v>
      </c>
    </row>
    <row r="7" spans="1:11" ht="15" customHeight="1">
      <c r="A7" s="1092" t="s">
        <v>7</v>
      </c>
      <c r="B7" s="1093" t="s">
        <v>408</v>
      </c>
      <c r="C7" s="1094">
        <v>15613374</v>
      </c>
      <c r="D7" s="1094">
        <v>31509435</v>
      </c>
      <c r="E7" s="1094">
        <v>31509435</v>
      </c>
      <c r="F7" s="1093" t="s">
        <v>115</v>
      </c>
      <c r="G7" s="1094">
        <v>24972316</v>
      </c>
      <c r="H7" s="1094">
        <v>25800690</v>
      </c>
      <c r="I7" s="1095">
        <v>24207739</v>
      </c>
      <c r="J7" s="1331"/>
      <c r="K7" s="1070" t="s">
        <v>506</v>
      </c>
    </row>
    <row r="8" spans="1:11" ht="15" customHeight="1">
      <c r="A8" s="1092" t="s">
        <v>8</v>
      </c>
      <c r="B8" s="1093" t="s">
        <v>409</v>
      </c>
      <c r="C8" s="1094"/>
      <c r="D8" s="1094"/>
      <c r="E8" s="1094"/>
      <c r="F8" s="1093" t="s">
        <v>143</v>
      </c>
      <c r="G8" s="1094">
        <v>132012910</v>
      </c>
      <c r="H8" s="1094">
        <v>140009024</v>
      </c>
      <c r="I8" s="1095">
        <v>111938502</v>
      </c>
      <c r="J8" s="1331"/>
      <c r="K8" s="1070" t="s">
        <v>507</v>
      </c>
    </row>
    <row r="9" spans="1:11" ht="15" customHeight="1">
      <c r="A9" s="1092" t="s">
        <v>9</v>
      </c>
      <c r="B9" s="1093" t="s">
        <v>106</v>
      </c>
      <c r="C9" s="1094">
        <v>60200000</v>
      </c>
      <c r="D9" s="1094">
        <v>134321473</v>
      </c>
      <c r="E9" s="1094">
        <v>92680830</v>
      </c>
      <c r="F9" s="1093" t="s">
        <v>116</v>
      </c>
      <c r="G9" s="1094">
        <v>7060000</v>
      </c>
      <c r="H9" s="1094">
        <v>7865500</v>
      </c>
      <c r="I9" s="1095">
        <v>4776987</v>
      </c>
      <c r="J9" s="1331"/>
      <c r="K9" s="1070" t="s">
        <v>508</v>
      </c>
    </row>
    <row r="10" spans="1:11" ht="15" customHeight="1">
      <c r="A10" s="1092" t="s">
        <v>10</v>
      </c>
      <c r="B10" s="1096" t="s">
        <v>410</v>
      </c>
      <c r="C10" s="1094"/>
      <c r="D10" s="1094">
        <v>455000</v>
      </c>
      <c r="E10" s="1094">
        <v>455000</v>
      </c>
      <c r="F10" s="1093" t="s">
        <v>117</v>
      </c>
      <c r="G10" s="1094">
        <v>4250000</v>
      </c>
      <c r="H10" s="1094">
        <v>6567689</v>
      </c>
      <c r="I10" s="1095">
        <v>5862214</v>
      </c>
      <c r="J10" s="1331"/>
      <c r="K10" s="1070" t="s">
        <v>509</v>
      </c>
    </row>
    <row r="11" spans="1:11" ht="15" customHeight="1">
      <c r="A11" s="1092" t="s">
        <v>11</v>
      </c>
      <c r="B11" s="1093" t="s">
        <v>490</v>
      </c>
      <c r="C11" s="1097"/>
      <c r="D11" s="1097"/>
      <c r="E11" s="1097"/>
      <c r="F11" s="1093" t="s">
        <v>37</v>
      </c>
      <c r="G11" s="1094">
        <v>4920000</v>
      </c>
      <c r="H11" s="1094">
        <v>95416263</v>
      </c>
      <c r="I11" s="1095"/>
      <c r="J11" s="1331"/>
      <c r="K11" s="1070" t="s">
        <v>510</v>
      </c>
    </row>
    <row r="12" spans="1:11" ht="15" customHeight="1">
      <c r="A12" s="1092" t="s">
        <v>12</v>
      </c>
      <c r="B12" s="1093" t="s">
        <v>280</v>
      </c>
      <c r="C12" s="1094">
        <v>32992166</v>
      </c>
      <c r="D12" s="1094">
        <v>45370527</v>
      </c>
      <c r="E12" s="1094">
        <v>40271136</v>
      </c>
      <c r="F12" s="1098"/>
      <c r="G12" s="1094"/>
      <c r="H12" s="1094"/>
      <c r="I12" s="1095"/>
      <c r="J12" s="1331"/>
      <c r="K12" s="1070" t="s">
        <v>511</v>
      </c>
    </row>
    <row r="13" spans="1:10" ht="15" customHeight="1">
      <c r="A13" s="1092" t="s">
        <v>13</v>
      </c>
      <c r="B13" s="1098"/>
      <c r="C13" s="1094"/>
      <c r="D13" s="1094"/>
      <c r="E13" s="1094"/>
      <c r="F13" s="1098"/>
      <c r="G13" s="1094"/>
      <c r="H13" s="1094"/>
      <c r="I13" s="1095"/>
      <c r="J13" s="1331"/>
    </row>
    <row r="14" spans="1:10" ht="15" customHeight="1">
      <c r="A14" s="1092" t="s">
        <v>14</v>
      </c>
      <c r="B14" s="1099"/>
      <c r="C14" s="1097"/>
      <c r="D14" s="1097"/>
      <c r="E14" s="1097"/>
      <c r="F14" s="1098"/>
      <c r="G14" s="1094"/>
      <c r="H14" s="1094"/>
      <c r="I14" s="1095"/>
      <c r="J14" s="1331"/>
    </row>
    <row r="15" spans="1:10" ht="15" customHeight="1">
      <c r="A15" s="1092" t="s">
        <v>15</v>
      </c>
      <c r="B15" s="1098"/>
      <c r="C15" s="1094"/>
      <c r="D15" s="1094"/>
      <c r="E15" s="1094"/>
      <c r="F15" s="1098"/>
      <c r="G15" s="1094"/>
      <c r="H15" s="1094"/>
      <c r="I15" s="1095"/>
      <c r="J15" s="1331"/>
    </row>
    <row r="16" spans="1:10" ht="15" customHeight="1">
      <c r="A16" s="1092" t="s">
        <v>16</v>
      </c>
      <c r="B16" s="1098"/>
      <c r="C16" s="1094"/>
      <c r="D16" s="1094"/>
      <c r="E16" s="1094"/>
      <c r="F16" s="1098"/>
      <c r="G16" s="1094"/>
      <c r="H16" s="1094"/>
      <c r="I16" s="1095"/>
      <c r="J16" s="1331"/>
    </row>
    <row r="17" spans="1:10" ht="15" customHeight="1" thickBot="1">
      <c r="A17" s="1092" t="s">
        <v>17</v>
      </c>
      <c r="B17" s="1100"/>
      <c r="C17" s="1101"/>
      <c r="D17" s="1101"/>
      <c r="E17" s="1101"/>
      <c r="F17" s="1098"/>
      <c r="G17" s="1101"/>
      <c r="H17" s="1101"/>
      <c r="I17" s="1102"/>
      <c r="J17" s="1331"/>
    </row>
    <row r="18" spans="1:11" ht="17.25" customHeight="1" thickBot="1">
      <c r="A18" s="1103" t="s">
        <v>18</v>
      </c>
      <c r="B18" s="1104" t="s">
        <v>411</v>
      </c>
      <c r="C18" s="1105">
        <f>+C6+C7+C9+C10+C12+C13+C14+C15+C16+C17</f>
        <v>249135984</v>
      </c>
      <c r="D18" s="1105">
        <f>+D6+D7+D9+D10+D12+D13+D14+D15+D16+D17</f>
        <v>357545395</v>
      </c>
      <c r="E18" s="1105">
        <f>+E6+E7+E9+E10+E12+E13+E14+E15+E16+E17</f>
        <v>310805361</v>
      </c>
      <c r="F18" s="1104" t="s">
        <v>418</v>
      </c>
      <c r="G18" s="1105">
        <f>SUM(G6:G17)</f>
        <v>287802384</v>
      </c>
      <c r="H18" s="1105">
        <f>SUM(H6:H17)</f>
        <v>399721902</v>
      </c>
      <c r="I18" s="1105">
        <f>SUM(I6:I17)</f>
        <v>266478773</v>
      </c>
      <c r="J18" s="1331"/>
      <c r="K18" s="1070" t="s">
        <v>512</v>
      </c>
    </row>
    <row r="19" spans="1:11" ht="15" customHeight="1">
      <c r="A19" s="1106" t="s">
        <v>19</v>
      </c>
      <c r="B19" s="1107" t="s">
        <v>412</v>
      </c>
      <c r="C19" s="1108">
        <f>+C20+C21+C22+C23</f>
        <v>43785412</v>
      </c>
      <c r="D19" s="1108">
        <f>+D20+D21+D22+D23</f>
        <v>42645832</v>
      </c>
      <c r="E19" s="1108">
        <f>+E20+E21+E22+E23</f>
        <v>42973832</v>
      </c>
      <c r="F19" s="1093" t="s">
        <v>123</v>
      </c>
      <c r="G19" s="1109"/>
      <c r="H19" s="1109"/>
      <c r="I19" s="1109"/>
      <c r="J19" s="1331"/>
      <c r="K19" s="1070" t="s">
        <v>513</v>
      </c>
    </row>
    <row r="20" spans="1:11" ht="15" customHeight="1">
      <c r="A20" s="1092" t="s">
        <v>20</v>
      </c>
      <c r="B20" s="1093" t="s">
        <v>136</v>
      </c>
      <c r="C20" s="1094">
        <v>43785412</v>
      </c>
      <c r="D20" s="1094">
        <v>42645832</v>
      </c>
      <c r="E20" s="1094">
        <v>42973832</v>
      </c>
      <c r="F20" s="1093" t="s">
        <v>419</v>
      </c>
      <c r="G20" s="1094"/>
      <c r="H20" s="1094"/>
      <c r="I20" s="1094"/>
      <c r="J20" s="1331"/>
      <c r="K20" s="1070" t="s">
        <v>514</v>
      </c>
    </row>
    <row r="21" spans="1:11" ht="15" customHeight="1">
      <c r="A21" s="1092" t="s">
        <v>21</v>
      </c>
      <c r="B21" s="1093" t="s">
        <v>137</v>
      </c>
      <c r="C21" s="1094"/>
      <c r="D21" s="1094"/>
      <c r="E21" s="1094"/>
      <c r="F21" s="1093" t="s">
        <v>97</v>
      </c>
      <c r="G21" s="1094"/>
      <c r="H21" s="1094"/>
      <c r="I21" s="1094"/>
      <c r="J21" s="1331"/>
      <c r="K21" s="1070" t="s">
        <v>515</v>
      </c>
    </row>
    <row r="22" spans="1:11" ht="15" customHeight="1">
      <c r="A22" s="1092" t="s">
        <v>22</v>
      </c>
      <c r="B22" s="1093" t="s">
        <v>141</v>
      </c>
      <c r="C22" s="1094"/>
      <c r="D22" s="1094"/>
      <c r="E22" s="1094"/>
      <c r="F22" s="1093" t="s">
        <v>98</v>
      </c>
      <c r="G22" s="1094"/>
      <c r="H22" s="1094"/>
      <c r="I22" s="1094"/>
      <c r="J22" s="1331"/>
      <c r="K22" s="1070" t="s">
        <v>516</v>
      </c>
    </row>
    <row r="23" spans="1:11" ht="15" customHeight="1">
      <c r="A23" s="1092" t="s">
        <v>23</v>
      </c>
      <c r="B23" s="1093" t="s">
        <v>142</v>
      </c>
      <c r="C23" s="1094"/>
      <c r="D23" s="1094"/>
      <c r="E23" s="1094"/>
      <c r="F23" s="1107" t="s">
        <v>144</v>
      </c>
      <c r="G23" s="1094"/>
      <c r="H23" s="1094"/>
      <c r="I23" s="1094"/>
      <c r="J23" s="1331"/>
      <c r="K23" s="1070" t="s">
        <v>517</v>
      </c>
    </row>
    <row r="24" spans="1:11" ht="15" customHeight="1">
      <c r="A24" s="1092" t="s">
        <v>24</v>
      </c>
      <c r="B24" s="1093" t="s">
        <v>413</v>
      </c>
      <c r="C24" s="1110">
        <f>+C25+C26</f>
        <v>0</v>
      </c>
      <c r="D24" s="1110">
        <f>+D25+D26</f>
        <v>0</v>
      </c>
      <c r="E24" s="1110">
        <f>+E25+E26</f>
        <v>0</v>
      </c>
      <c r="F24" s="1093" t="s">
        <v>124</v>
      </c>
      <c r="G24" s="1094"/>
      <c r="H24" s="1094"/>
      <c r="I24" s="1094"/>
      <c r="J24" s="1331"/>
      <c r="K24" s="1070" t="s">
        <v>518</v>
      </c>
    </row>
    <row r="25" spans="1:11" ht="15" customHeight="1">
      <c r="A25" s="1106" t="s">
        <v>25</v>
      </c>
      <c r="B25" s="1107" t="s">
        <v>414</v>
      </c>
      <c r="C25" s="1109"/>
      <c r="D25" s="1109"/>
      <c r="E25" s="1109"/>
      <c r="F25" s="1089" t="s">
        <v>125</v>
      </c>
      <c r="G25" s="1109"/>
      <c r="H25" s="1109"/>
      <c r="I25" s="1109"/>
      <c r="J25" s="1331"/>
      <c r="K25" s="1070" t="s">
        <v>519</v>
      </c>
    </row>
    <row r="26" spans="1:11" ht="15" customHeight="1">
      <c r="A26" s="1092" t="s">
        <v>26</v>
      </c>
      <c r="B26" s="1093" t="s">
        <v>415</v>
      </c>
      <c r="C26" s="1094"/>
      <c r="D26" s="1094"/>
      <c r="E26" s="1094"/>
      <c r="F26" s="1098" t="s">
        <v>394</v>
      </c>
      <c r="G26" s="1094">
        <v>5119012</v>
      </c>
      <c r="H26" s="1094">
        <v>5119012</v>
      </c>
      <c r="I26" s="1094">
        <v>5119012</v>
      </c>
      <c r="J26" s="1331"/>
      <c r="K26" s="1070" t="s">
        <v>520</v>
      </c>
    </row>
    <row r="27" spans="1:10" ht="15" customHeight="1" thickBot="1">
      <c r="A27" s="1106" t="s">
        <v>27</v>
      </c>
      <c r="B27" s="1107" t="s">
        <v>329</v>
      </c>
      <c r="C27" s="1109"/>
      <c r="D27" s="1109">
        <v>4649687</v>
      </c>
      <c r="E27" s="1109">
        <v>4649687</v>
      </c>
      <c r="F27" s="1111"/>
      <c r="G27" s="1109"/>
      <c r="H27" s="1109"/>
      <c r="I27" s="1109"/>
      <c r="J27" s="1331"/>
    </row>
    <row r="28" spans="1:11" ht="17.25" customHeight="1" thickBot="1">
      <c r="A28" s="1103" t="s">
        <v>27</v>
      </c>
      <c r="B28" s="1104" t="s">
        <v>416</v>
      </c>
      <c r="C28" s="1105">
        <f>+C19+C24</f>
        <v>43785412</v>
      </c>
      <c r="D28" s="1105">
        <f>+D19+D24+D27</f>
        <v>47295519</v>
      </c>
      <c r="E28" s="1105">
        <f>+E19+E24+E27</f>
        <v>47623519</v>
      </c>
      <c r="F28" s="1104" t="s">
        <v>420</v>
      </c>
      <c r="G28" s="1105">
        <f>SUM(G19:G26)</f>
        <v>5119012</v>
      </c>
      <c r="H28" s="1105">
        <f>SUM(H19:H26)</f>
        <v>5119012</v>
      </c>
      <c r="I28" s="1105">
        <f>SUM(I19:I26)</f>
        <v>5119012</v>
      </c>
      <c r="J28" s="1331"/>
      <c r="K28" s="1070" t="s">
        <v>521</v>
      </c>
    </row>
    <row r="29" spans="1:11" ht="17.25" customHeight="1" thickBot="1">
      <c r="A29" s="1103" t="s">
        <v>28</v>
      </c>
      <c r="B29" s="1112" t="s">
        <v>417</v>
      </c>
      <c r="C29" s="1113">
        <f>+C18+C28</f>
        <v>292921396</v>
      </c>
      <c r="D29" s="1113">
        <f>+D18+D28</f>
        <v>404840914</v>
      </c>
      <c r="E29" s="1114">
        <f>+E18+E28</f>
        <v>358428880</v>
      </c>
      <c r="F29" s="1112" t="s">
        <v>421</v>
      </c>
      <c r="G29" s="1113">
        <f>+G18+G28</f>
        <v>292921396</v>
      </c>
      <c r="H29" s="1113">
        <f>+H18+H28</f>
        <v>404840914</v>
      </c>
      <c r="I29" s="1113">
        <f>+I18+I28</f>
        <v>271597785</v>
      </c>
      <c r="J29" s="1331"/>
      <c r="K29" s="1070" t="s">
        <v>522</v>
      </c>
    </row>
    <row r="30" spans="1:11" ht="17.25" customHeight="1" thickBot="1">
      <c r="A30" s="1103" t="s">
        <v>29</v>
      </c>
      <c r="B30" s="1112" t="s">
        <v>101</v>
      </c>
      <c r="C30" s="1113">
        <f>IF(C18-G18&lt;0,G18-C18,"-")</f>
        <v>38666400</v>
      </c>
      <c r="D30" s="1113">
        <f>IF(D18-H18&lt;0,H18-D18,"-")</f>
        <v>42176507</v>
      </c>
      <c r="E30" s="1114" t="str">
        <f>IF(E18-I18&lt;0,I18-E18,"-")</f>
        <v>-</v>
      </c>
      <c r="F30" s="1112" t="s">
        <v>102</v>
      </c>
      <c r="G30" s="1113" t="str">
        <f>IF(C18-G18&gt;0,C18-G18,"-")</f>
        <v>-</v>
      </c>
      <c r="H30" s="1113" t="str">
        <f>IF(D18-H18&gt;0,D18-H18,"-")</f>
        <v>-</v>
      </c>
      <c r="I30" s="1113">
        <f>IF(E18-I18&gt;0,E18-I18,"-")</f>
        <v>44326588</v>
      </c>
      <c r="J30" s="1331"/>
      <c r="K30" s="1070" t="s">
        <v>523</v>
      </c>
    </row>
    <row r="31" spans="1:11" ht="17.25" customHeight="1" thickBot="1">
      <c r="A31" s="1103" t="s">
        <v>30</v>
      </c>
      <c r="B31" s="1112" t="s">
        <v>145</v>
      </c>
      <c r="C31" s="1113" t="str">
        <f>IF(C29-G29&lt;0,G29-C29,"-")</f>
        <v>-</v>
      </c>
      <c r="D31" s="1113" t="str">
        <f>IF(D29-H29&lt;0,H29-D29,"-")</f>
        <v>-</v>
      </c>
      <c r="E31" s="1114" t="str">
        <f>IF(E29-I29&lt;0,I29-E29,"-")</f>
        <v>-</v>
      </c>
      <c r="F31" s="1112" t="s">
        <v>146</v>
      </c>
      <c r="G31" s="1113" t="str">
        <f>IF(C29-G29&gt;0,C29-G29,"-")</f>
        <v>-</v>
      </c>
      <c r="H31" s="1113" t="str">
        <f>IF(D29-H29&gt;0,D29-H29,"-")</f>
        <v>-</v>
      </c>
      <c r="I31" s="1113">
        <f>IF(E29-I29&gt;0,E29-I29,"-")</f>
        <v>86831095</v>
      </c>
      <c r="J31" s="1331"/>
      <c r="K31" s="1070" t="s">
        <v>524</v>
      </c>
    </row>
  </sheetData>
  <sheetProtection/>
  <mergeCells count="2">
    <mergeCell ref="J1:J31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BreakPreview" zoomScale="115" zoomScaleSheetLayoutView="115" zoomScalePageLayoutView="0" workbookViewId="0" topLeftCell="A1">
      <selection activeCell="O9" sqref="O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1486" t="s">
        <v>1092</v>
      </c>
      <c r="B1" s="1487"/>
      <c r="C1" s="1487"/>
      <c r="D1" s="1487"/>
      <c r="E1" s="1487"/>
      <c r="F1" s="1487"/>
      <c r="G1" s="1487"/>
      <c r="H1" s="1487"/>
      <c r="I1" s="1487"/>
      <c r="J1" s="1488" t="s">
        <v>1143</v>
      </c>
    </row>
    <row r="2" spans="8:10" ht="14.25" thickBot="1">
      <c r="H2" s="1489" t="s">
        <v>646</v>
      </c>
      <c r="I2" s="1489"/>
      <c r="J2" s="1488"/>
    </row>
    <row r="3" spans="1:10" ht="13.5" thickBot="1">
      <c r="A3" s="1490" t="s">
        <v>4</v>
      </c>
      <c r="B3" s="1492" t="s">
        <v>178</v>
      </c>
      <c r="C3" s="1494" t="s">
        <v>179</v>
      </c>
      <c r="D3" s="1498" t="s">
        <v>180</v>
      </c>
      <c r="E3" s="1499"/>
      <c r="F3" s="1499"/>
      <c r="G3" s="1499"/>
      <c r="H3" s="1499"/>
      <c r="I3" s="1500" t="s">
        <v>181</v>
      </c>
      <c r="J3" s="1488"/>
    </row>
    <row r="4" spans="1:10" s="19" customFormat="1" ht="42" customHeight="1" thickBot="1">
      <c r="A4" s="1491"/>
      <c r="B4" s="1493"/>
      <c r="C4" s="1495"/>
      <c r="D4" s="106" t="s">
        <v>182</v>
      </c>
      <c r="E4" s="106" t="s">
        <v>183</v>
      </c>
      <c r="F4" s="106" t="s">
        <v>184</v>
      </c>
      <c r="G4" s="107" t="s">
        <v>185</v>
      </c>
      <c r="H4" s="107" t="s">
        <v>186</v>
      </c>
      <c r="I4" s="1501"/>
      <c r="J4" s="1488"/>
    </row>
    <row r="5" spans="1:10" s="19" customFormat="1" ht="12" customHeight="1" thickBot="1">
      <c r="A5" s="315" t="s">
        <v>350</v>
      </c>
      <c r="B5" s="108" t="s">
        <v>351</v>
      </c>
      <c r="C5" s="108" t="s">
        <v>352</v>
      </c>
      <c r="D5" s="108" t="s">
        <v>353</v>
      </c>
      <c r="E5" s="108" t="s">
        <v>354</v>
      </c>
      <c r="F5" s="108" t="s">
        <v>431</v>
      </c>
      <c r="G5" s="108" t="s">
        <v>432</v>
      </c>
      <c r="H5" s="108" t="s">
        <v>471</v>
      </c>
      <c r="I5" s="109" t="s">
        <v>472</v>
      </c>
      <c r="J5" s="1488"/>
    </row>
    <row r="6" spans="1:10" s="19" customFormat="1" ht="18" customHeight="1">
      <c r="A6" s="1502" t="s">
        <v>187</v>
      </c>
      <c r="B6" s="1503"/>
      <c r="C6" s="1503"/>
      <c r="D6" s="1503"/>
      <c r="E6" s="1503"/>
      <c r="F6" s="1503"/>
      <c r="G6" s="1503"/>
      <c r="H6" s="1503"/>
      <c r="I6" s="1504"/>
      <c r="J6" s="1488"/>
    </row>
    <row r="7" spans="1:10" ht="15.75" customHeight="1">
      <c r="A7" s="31" t="s">
        <v>6</v>
      </c>
      <c r="B7" s="29" t="s">
        <v>188</v>
      </c>
      <c r="C7" s="22"/>
      <c r="D7" s="22"/>
      <c r="E7" s="22"/>
      <c r="F7" s="22"/>
      <c r="G7" s="111"/>
      <c r="H7" s="112">
        <f aca="true" t="shared" si="0" ref="H7:H13">SUM(D7:G7)</f>
        <v>0</v>
      </c>
      <c r="I7" s="32">
        <f aca="true" t="shared" si="1" ref="I7:I13">C7+H7</f>
        <v>0</v>
      </c>
      <c r="J7" s="1488"/>
    </row>
    <row r="8" spans="1:10" ht="22.5">
      <c r="A8" s="31" t="s">
        <v>7</v>
      </c>
      <c r="B8" s="29" t="s">
        <v>132</v>
      </c>
      <c r="C8" s="22"/>
      <c r="D8" s="22"/>
      <c r="E8" s="22"/>
      <c r="F8" s="22"/>
      <c r="G8" s="111"/>
      <c r="H8" s="112">
        <f t="shared" si="0"/>
        <v>0</v>
      </c>
      <c r="I8" s="32">
        <f t="shared" si="1"/>
        <v>0</v>
      </c>
      <c r="J8" s="1488"/>
    </row>
    <row r="9" spans="1:10" ht="22.5">
      <c r="A9" s="31" t="s">
        <v>8</v>
      </c>
      <c r="B9" s="29" t="s">
        <v>133</v>
      </c>
      <c r="C9" s="22"/>
      <c r="D9" s="22"/>
      <c r="E9" s="22"/>
      <c r="F9" s="22"/>
      <c r="G9" s="111"/>
      <c r="H9" s="112">
        <f t="shared" si="0"/>
        <v>0</v>
      </c>
      <c r="I9" s="32">
        <f t="shared" si="1"/>
        <v>0</v>
      </c>
      <c r="J9" s="1488"/>
    </row>
    <row r="10" spans="1:10" ht="15.75" customHeight="1">
      <c r="A10" s="31" t="s">
        <v>9</v>
      </c>
      <c r="B10" s="29" t="s">
        <v>134</v>
      </c>
      <c r="C10" s="22"/>
      <c r="D10" s="22"/>
      <c r="E10" s="22"/>
      <c r="F10" s="22"/>
      <c r="G10" s="111"/>
      <c r="H10" s="112">
        <f t="shared" si="0"/>
        <v>0</v>
      </c>
      <c r="I10" s="32">
        <f t="shared" si="1"/>
        <v>0</v>
      </c>
      <c r="J10" s="1488"/>
    </row>
    <row r="11" spans="1:10" ht="22.5">
      <c r="A11" s="31" t="s">
        <v>10</v>
      </c>
      <c r="B11" s="29" t="s">
        <v>135</v>
      </c>
      <c r="C11" s="22"/>
      <c r="D11" s="22"/>
      <c r="E11" s="22"/>
      <c r="F11" s="22"/>
      <c r="G11" s="111"/>
      <c r="H11" s="112">
        <f t="shared" si="0"/>
        <v>0</v>
      </c>
      <c r="I11" s="32">
        <f t="shared" si="1"/>
        <v>0</v>
      </c>
      <c r="J11" s="1488"/>
    </row>
    <row r="12" spans="1:10" ht="15.75" customHeight="1">
      <c r="A12" s="33" t="s">
        <v>11</v>
      </c>
      <c r="B12" s="34" t="s">
        <v>189</v>
      </c>
      <c r="C12" s="23">
        <v>0</v>
      </c>
      <c r="D12" s="23">
        <v>0</v>
      </c>
      <c r="E12" s="23"/>
      <c r="F12" s="23"/>
      <c r="G12" s="113"/>
      <c r="H12" s="112">
        <f t="shared" si="0"/>
        <v>0</v>
      </c>
      <c r="I12" s="32">
        <f t="shared" si="1"/>
        <v>0</v>
      </c>
      <c r="J12" s="1488"/>
    </row>
    <row r="13" spans="1:10" ht="15.75" customHeight="1" thickBot="1">
      <c r="A13" s="114" t="s">
        <v>12</v>
      </c>
      <c r="B13" s="115" t="s">
        <v>190</v>
      </c>
      <c r="C13" s="117"/>
      <c r="D13" s="117"/>
      <c r="E13" s="117"/>
      <c r="F13" s="117"/>
      <c r="G13" s="118"/>
      <c r="H13" s="112">
        <f t="shared" si="0"/>
        <v>0</v>
      </c>
      <c r="I13" s="32">
        <f t="shared" si="1"/>
        <v>0</v>
      </c>
      <c r="J13" s="1488"/>
    </row>
    <row r="14" spans="1:10" s="24" customFormat="1" ht="18" customHeight="1" thickBot="1">
      <c r="A14" s="1481" t="s">
        <v>191</v>
      </c>
      <c r="B14" s="1482"/>
      <c r="C14" s="35">
        <f aca="true" t="shared" si="2" ref="C14:I14">SUM(C7:C13)</f>
        <v>0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19">
        <f t="shared" si="2"/>
        <v>0</v>
      </c>
      <c r="H14" s="119">
        <f t="shared" si="2"/>
        <v>0</v>
      </c>
      <c r="I14" s="36">
        <f t="shared" si="2"/>
        <v>0</v>
      </c>
      <c r="J14" s="1488"/>
    </row>
    <row r="15" spans="1:10" s="21" customFormat="1" ht="18" customHeight="1">
      <c r="A15" s="1483" t="s">
        <v>192</v>
      </c>
      <c r="B15" s="1484"/>
      <c r="C15" s="1484"/>
      <c r="D15" s="1484"/>
      <c r="E15" s="1484"/>
      <c r="F15" s="1484"/>
      <c r="G15" s="1484"/>
      <c r="H15" s="1484"/>
      <c r="I15" s="1485"/>
      <c r="J15" s="1488"/>
    </row>
    <row r="16" spans="1:10" s="21" customFormat="1" ht="12.75">
      <c r="A16" s="31" t="s">
        <v>6</v>
      </c>
      <c r="B16" s="29" t="s">
        <v>193</v>
      </c>
      <c r="C16" s="22"/>
      <c r="D16" s="22"/>
      <c r="E16" s="22"/>
      <c r="F16" s="22"/>
      <c r="G16" s="111"/>
      <c r="H16" s="112">
        <f>SUM(D16:G16)</f>
        <v>0</v>
      </c>
      <c r="I16" s="32">
        <f>C16+H16</f>
        <v>0</v>
      </c>
      <c r="J16" s="1488"/>
    </row>
    <row r="17" spans="1:10" ht="13.5" thickBot="1">
      <c r="A17" s="114" t="s">
        <v>7</v>
      </c>
      <c r="B17" s="115" t="s">
        <v>190</v>
      </c>
      <c r="C17" s="117"/>
      <c r="D17" s="117"/>
      <c r="E17" s="117"/>
      <c r="F17" s="117"/>
      <c r="G17" s="118"/>
      <c r="H17" s="112">
        <f>SUM(D17:G17)</f>
        <v>0</v>
      </c>
      <c r="I17" s="120">
        <f>C17+H17</f>
        <v>0</v>
      </c>
      <c r="J17" s="1488"/>
    </row>
    <row r="18" spans="1:10" ht="15.75" customHeight="1" thickBot="1">
      <c r="A18" s="1481" t="s">
        <v>194</v>
      </c>
      <c r="B18" s="1482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19">
        <f t="shared" si="3"/>
        <v>0</v>
      </c>
      <c r="H18" s="119">
        <f t="shared" si="3"/>
        <v>0</v>
      </c>
      <c r="I18" s="36">
        <f t="shared" si="3"/>
        <v>0</v>
      </c>
      <c r="J18" s="1488"/>
    </row>
    <row r="19" spans="1:10" ht="18" customHeight="1" thickBot="1">
      <c r="A19" s="1496" t="s">
        <v>195</v>
      </c>
      <c r="B19" s="1497"/>
      <c r="C19" s="121">
        <f aca="true" t="shared" si="4" ref="C19:I19">C14+C18</f>
        <v>0</v>
      </c>
      <c r="D19" s="121">
        <f t="shared" si="4"/>
        <v>0</v>
      </c>
      <c r="E19" s="121">
        <f t="shared" si="4"/>
        <v>0</v>
      </c>
      <c r="F19" s="121">
        <f t="shared" si="4"/>
        <v>0</v>
      </c>
      <c r="G19" s="121">
        <f t="shared" si="4"/>
        <v>0</v>
      </c>
      <c r="H19" s="121">
        <f t="shared" si="4"/>
        <v>0</v>
      </c>
      <c r="I19" s="36">
        <f t="shared" si="4"/>
        <v>0</v>
      </c>
      <c r="J19" s="1488"/>
    </row>
  </sheetData>
  <sheetProtection/>
  <mergeCells count="13">
    <mergeCell ref="D3:H3"/>
    <mergeCell ref="I3:I4"/>
    <mergeCell ref="A6:I6"/>
    <mergeCell ref="A14:B14"/>
    <mergeCell ref="A15:I15"/>
    <mergeCell ref="A18:B18"/>
    <mergeCell ref="A1:I1"/>
    <mergeCell ref="J1:J19"/>
    <mergeCell ref="H2:I2"/>
    <mergeCell ref="A3:A4"/>
    <mergeCell ref="B3:B4"/>
    <mergeCell ref="C3:C4"/>
    <mergeCell ref="A19:B1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M103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11.50390625" style="897" customWidth="1"/>
    <col min="2" max="2" width="58.50390625" style="894" customWidth="1"/>
    <col min="3" max="3" width="15.375" style="886" customWidth="1"/>
    <col min="4" max="4" width="17.125" style="797" customWidth="1"/>
    <col min="5" max="5" width="17.50390625" style="729" customWidth="1"/>
    <col min="6" max="6" width="18.125" style="886" customWidth="1"/>
    <col min="7" max="7" width="16.875" style="797" customWidth="1"/>
    <col min="8" max="8" width="17.125" style="729" customWidth="1"/>
    <col min="9" max="9" width="17.125" style="797" customWidth="1"/>
    <col min="10" max="10" width="9.875" style="896" hidden="1" customWidth="1"/>
    <col min="11" max="11" width="35.875" style="893" hidden="1" customWidth="1"/>
    <col min="12" max="12" width="38.125" style="893" hidden="1" customWidth="1"/>
    <col min="13" max="13" width="23.875" style="797" bestFit="1" customWidth="1"/>
    <col min="14" max="16384" width="9.375" style="797" customWidth="1"/>
  </cols>
  <sheetData>
    <row r="1" ht="12">
      <c r="I1" s="284" t="s">
        <v>1144</v>
      </c>
    </row>
    <row r="2" ht="12">
      <c r="I2" s="284"/>
    </row>
    <row r="3" spans="2:9" ht="12">
      <c r="B3" s="1517" t="s">
        <v>1108</v>
      </c>
      <c r="C3" s="1518"/>
      <c r="D3" s="1518"/>
      <c r="E3" s="1518"/>
      <c r="F3" s="1518"/>
      <c r="G3" s="1518"/>
      <c r="H3" s="1518"/>
      <c r="I3" s="284"/>
    </row>
    <row r="4" spans="2:9" ht="12">
      <c r="B4" s="1518"/>
      <c r="C4" s="1518"/>
      <c r="D4" s="1518"/>
      <c r="E4" s="1518"/>
      <c r="F4" s="1518"/>
      <c r="G4" s="1518"/>
      <c r="H4" s="1518"/>
      <c r="I4" s="284"/>
    </row>
    <row r="5" ht="12.75" thickBot="1"/>
    <row r="6" spans="1:12" s="729" customFormat="1" ht="12.75" customHeight="1" thickBot="1">
      <c r="A6" s="1505" t="s">
        <v>875</v>
      </c>
      <c r="B6" s="1508" t="s">
        <v>49</v>
      </c>
      <c r="C6" s="1511" t="s">
        <v>1093</v>
      </c>
      <c r="D6" s="1512"/>
      <c r="E6" s="1513"/>
      <c r="F6" s="1511" t="s">
        <v>876</v>
      </c>
      <c r="G6" s="1512"/>
      <c r="H6" s="1513"/>
      <c r="I6" s="1508" t="s">
        <v>877</v>
      </c>
      <c r="J6" s="1514" t="s">
        <v>878</v>
      </c>
      <c r="K6" s="1508" t="s">
        <v>879</v>
      </c>
      <c r="L6" s="728"/>
    </row>
    <row r="7" spans="1:12" s="729" customFormat="1" ht="12.75" customHeight="1">
      <c r="A7" s="1506"/>
      <c r="B7" s="1509"/>
      <c r="C7" s="1519" t="s">
        <v>880</v>
      </c>
      <c r="D7" s="1521" t="s">
        <v>881</v>
      </c>
      <c r="E7" s="1523" t="s">
        <v>882</v>
      </c>
      <c r="F7" s="1519" t="s">
        <v>880</v>
      </c>
      <c r="G7" s="1521" t="s">
        <v>881</v>
      </c>
      <c r="H7" s="1523" t="s">
        <v>882</v>
      </c>
      <c r="I7" s="1509"/>
      <c r="J7" s="1515"/>
      <c r="K7" s="1509"/>
      <c r="L7" s="728"/>
    </row>
    <row r="8" spans="1:12" s="730" customFormat="1" ht="12">
      <c r="A8" s="1507"/>
      <c r="B8" s="1510"/>
      <c r="C8" s="1520"/>
      <c r="D8" s="1522"/>
      <c r="E8" s="1524"/>
      <c r="F8" s="1520"/>
      <c r="G8" s="1522"/>
      <c r="H8" s="1524"/>
      <c r="I8" s="1510"/>
      <c r="J8" s="1516"/>
      <c r="K8" s="1510"/>
      <c r="L8" s="728"/>
    </row>
    <row r="9" spans="1:12" s="740" customFormat="1" ht="12.75" thickBot="1">
      <c r="A9" s="731">
        <v>1</v>
      </c>
      <c r="B9" s="732">
        <v>2</v>
      </c>
      <c r="C9" s="733">
        <v>3</v>
      </c>
      <c r="D9" s="734">
        <v>4</v>
      </c>
      <c r="E9" s="735">
        <v>5</v>
      </c>
      <c r="F9" s="733">
        <v>6</v>
      </c>
      <c r="G9" s="734">
        <v>7</v>
      </c>
      <c r="H9" s="735">
        <v>8</v>
      </c>
      <c r="I9" s="736" t="s">
        <v>883</v>
      </c>
      <c r="J9" s="737" t="s">
        <v>884</v>
      </c>
      <c r="K9" s="738">
        <v>12</v>
      </c>
      <c r="L9" s="739"/>
    </row>
    <row r="10" spans="1:12" s="729" customFormat="1" ht="12.75" thickTop="1">
      <c r="A10" s="741" t="s">
        <v>885</v>
      </c>
      <c r="B10" s="742" t="s">
        <v>886</v>
      </c>
      <c r="C10" s="743">
        <v>6.53</v>
      </c>
      <c r="D10" s="744">
        <v>4580000</v>
      </c>
      <c r="E10" s="745">
        <v>29907400</v>
      </c>
      <c r="F10" s="743">
        <v>6.53</v>
      </c>
      <c r="G10" s="744">
        <v>4580000</v>
      </c>
      <c r="H10" s="745">
        <v>29907400</v>
      </c>
      <c r="I10" s="745">
        <v>0</v>
      </c>
      <c r="J10" s="746"/>
      <c r="K10" s="747"/>
      <c r="L10" s="748"/>
    </row>
    <row r="11" spans="1:12" s="757" customFormat="1" ht="12">
      <c r="A11" s="749" t="s">
        <v>887</v>
      </c>
      <c r="B11" s="750" t="s">
        <v>888</v>
      </c>
      <c r="C11" s="751">
        <v>307.9</v>
      </c>
      <c r="D11" s="752">
        <v>22300</v>
      </c>
      <c r="E11" s="753">
        <v>6866170</v>
      </c>
      <c r="F11" s="751">
        <v>307.9</v>
      </c>
      <c r="G11" s="752">
        <v>22300</v>
      </c>
      <c r="H11" s="753">
        <v>6866170</v>
      </c>
      <c r="I11" s="753">
        <v>0</v>
      </c>
      <c r="J11" s="754"/>
      <c r="K11" s="755"/>
      <c r="L11" s="756"/>
    </row>
    <row r="12" spans="1:12" s="757" customFormat="1" ht="12">
      <c r="A12" s="749" t="s">
        <v>889</v>
      </c>
      <c r="B12" s="758" t="s">
        <v>890</v>
      </c>
      <c r="C12" s="751"/>
      <c r="D12" s="752"/>
      <c r="E12" s="753">
        <v>8000000</v>
      </c>
      <c r="F12" s="751"/>
      <c r="G12" s="752"/>
      <c r="H12" s="753">
        <v>8000000</v>
      </c>
      <c r="I12" s="753">
        <v>0</v>
      </c>
      <c r="J12" s="754"/>
      <c r="K12" s="759"/>
      <c r="L12" s="756"/>
    </row>
    <row r="13" spans="1:12" s="757" customFormat="1" ht="12">
      <c r="A13" s="749" t="s">
        <v>891</v>
      </c>
      <c r="B13" s="758" t="s">
        <v>892</v>
      </c>
      <c r="C13" s="751"/>
      <c r="D13" s="752"/>
      <c r="E13" s="753">
        <v>100000</v>
      </c>
      <c r="F13" s="751"/>
      <c r="G13" s="752"/>
      <c r="H13" s="753">
        <v>100000</v>
      </c>
      <c r="I13" s="753">
        <v>0</v>
      </c>
      <c r="J13" s="754"/>
      <c r="K13" s="759"/>
      <c r="L13" s="756"/>
    </row>
    <row r="14" spans="1:12" s="757" customFormat="1" ht="12">
      <c r="A14" s="749" t="s">
        <v>893</v>
      </c>
      <c r="B14" s="760" t="s">
        <v>894</v>
      </c>
      <c r="C14" s="751"/>
      <c r="D14" s="752"/>
      <c r="E14" s="753">
        <v>3407270</v>
      </c>
      <c r="F14" s="751"/>
      <c r="G14" s="752"/>
      <c r="H14" s="753">
        <v>3407270</v>
      </c>
      <c r="I14" s="753">
        <v>0</v>
      </c>
      <c r="J14" s="754"/>
      <c r="K14" s="761"/>
      <c r="L14" s="756"/>
    </row>
    <row r="15" spans="1:12" s="729" customFormat="1" ht="24">
      <c r="A15" s="762" t="s">
        <v>895</v>
      </c>
      <c r="B15" s="763" t="s">
        <v>896</v>
      </c>
      <c r="C15" s="764"/>
      <c r="D15" s="765"/>
      <c r="E15" s="766">
        <f>SUM(E11:E14)</f>
        <v>18373440</v>
      </c>
      <c r="F15" s="764"/>
      <c r="G15" s="765"/>
      <c r="H15" s="766">
        <f>SUM(H11:H14)</f>
        <v>18373440</v>
      </c>
      <c r="I15" s="766">
        <v>0</v>
      </c>
      <c r="J15" s="767"/>
      <c r="K15" s="768"/>
      <c r="L15" s="748"/>
    </row>
    <row r="16" spans="1:12" s="729" customFormat="1" ht="12">
      <c r="A16" s="741" t="s">
        <v>897</v>
      </c>
      <c r="B16" s="769" t="s">
        <v>898</v>
      </c>
      <c r="C16" s="770">
        <v>2267</v>
      </c>
      <c r="D16" s="771">
        <v>2700</v>
      </c>
      <c r="E16" s="745">
        <v>321028</v>
      </c>
      <c r="F16" s="770">
        <v>2267</v>
      </c>
      <c r="G16" s="771">
        <v>2700</v>
      </c>
      <c r="H16" s="745">
        <v>321028</v>
      </c>
      <c r="I16" s="745">
        <v>0</v>
      </c>
      <c r="J16" s="767"/>
      <c r="K16" s="747"/>
      <c r="L16" s="748"/>
    </row>
    <row r="17" spans="1:12" s="729" customFormat="1" ht="12">
      <c r="A17" s="772" t="s">
        <v>899</v>
      </c>
      <c r="B17" s="763" t="s">
        <v>900</v>
      </c>
      <c r="C17" s="773">
        <v>363</v>
      </c>
      <c r="D17" s="774">
        <v>2550</v>
      </c>
      <c r="E17" s="766">
        <v>925650</v>
      </c>
      <c r="F17" s="773">
        <v>363</v>
      </c>
      <c r="G17" s="774">
        <v>2550</v>
      </c>
      <c r="H17" s="766">
        <v>925650</v>
      </c>
      <c r="I17" s="766">
        <v>0</v>
      </c>
      <c r="J17" s="767"/>
      <c r="K17" s="775"/>
      <c r="L17" s="748"/>
    </row>
    <row r="18" spans="1:12" s="729" customFormat="1" ht="12">
      <c r="A18" s="741" t="s">
        <v>901</v>
      </c>
      <c r="B18" s="763" t="s">
        <v>902</v>
      </c>
      <c r="C18" s="773"/>
      <c r="D18" s="776">
        <v>1</v>
      </c>
      <c r="E18" s="766">
        <v>3708900</v>
      </c>
      <c r="F18" s="773"/>
      <c r="G18" s="776">
        <v>1</v>
      </c>
      <c r="H18" s="766">
        <v>3708900</v>
      </c>
      <c r="I18" s="766">
        <v>0</v>
      </c>
      <c r="J18" s="746"/>
      <c r="K18" s="768"/>
      <c r="L18" s="748"/>
    </row>
    <row r="19" spans="1:12" s="729" customFormat="1" ht="12.75" thickBot="1">
      <c r="A19" s="762" t="s">
        <v>903</v>
      </c>
      <c r="B19" s="763" t="s">
        <v>904</v>
      </c>
      <c r="C19" s="764"/>
      <c r="D19" s="765"/>
      <c r="E19" s="766">
        <v>0</v>
      </c>
      <c r="F19" s="764"/>
      <c r="G19" s="765"/>
      <c r="H19" s="766"/>
      <c r="I19" s="766">
        <v>0</v>
      </c>
      <c r="J19" s="746"/>
      <c r="K19" s="768"/>
      <c r="L19" s="748"/>
    </row>
    <row r="20" spans="1:12" s="729" customFormat="1" ht="24.75" thickBot="1">
      <c r="A20" s="777" t="s">
        <v>905</v>
      </c>
      <c r="B20" s="778" t="s">
        <v>906</v>
      </c>
      <c r="C20" s="779"/>
      <c r="D20" s="780"/>
      <c r="E20" s="781">
        <f>SUM(E15:E19)+E10</f>
        <v>53236418</v>
      </c>
      <c r="F20" s="779"/>
      <c r="G20" s="780"/>
      <c r="H20" s="781">
        <f>SUM(H15:H19)+H10</f>
        <v>53236418</v>
      </c>
      <c r="I20" s="781">
        <v>0</v>
      </c>
      <c r="J20" s="782"/>
      <c r="K20" s="783"/>
      <c r="L20" s="748"/>
    </row>
    <row r="21" spans="1:12" s="729" customFormat="1" ht="12">
      <c r="A21" s="784" t="s">
        <v>1094</v>
      </c>
      <c r="B21" s="785" t="s">
        <v>1095</v>
      </c>
      <c r="C21" s="786"/>
      <c r="D21" s="787"/>
      <c r="E21" s="788">
        <v>0</v>
      </c>
      <c r="F21" s="786"/>
      <c r="G21" s="787"/>
      <c r="H21" s="788">
        <v>70638</v>
      </c>
      <c r="I21" s="745">
        <v>0</v>
      </c>
      <c r="J21" s="789"/>
      <c r="K21" s="790"/>
      <c r="L21" s="748"/>
    </row>
    <row r="22" spans="1:12" s="729" customFormat="1" ht="12.75" thickBot="1">
      <c r="A22" s="784" t="s">
        <v>907</v>
      </c>
      <c r="B22" s="785" t="s">
        <v>908</v>
      </c>
      <c r="C22" s="786"/>
      <c r="D22" s="787"/>
      <c r="E22" s="788">
        <v>1041000</v>
      </c>
      <c r="F22" s="786"/>
      <c r="G22" s="787"/>
      <c r="H22" s="788">
        <v>1041000</v>
      </c>
      <c r="I22" s="745">
        <v>0</v>
      </c>
      <c r="J22" s="789"/>
      <c r="K22" s="790"/>
      <c r="L22" s="748"/>
    </row>
    <row r="23" spans="1:12" s="729" customFormat="1" ht="24.75" thickBot="1">
      <c r="A23" s="777"/>
      <c r="B23" s="778" t="s">
        <v>909</v>
      </c>
      <c r="C23" s="779"/>
      <c r="D23" s="780"/>
      <c r="E23" s="781">
        <f>SUM(E20:E22)</f>
        <v>54277418</v>
      </c>
      <c r="F23" s="779"/>
      <c r="G23" s="780"/>
      <c r="H23" s="781">
        <f>SUM(H20:H22)</f>
        <v>54348056</v>
      </c>
      <c r="I23" s="781">
        <v>0</v>
      </c>
      <c r="J23" s="782"/>
      <c r="K23" s="783"/>
      <c r="L23" s="748"/>
    </row>
    <row r="24" spans="1:12" ht="12">
      <c r="A24" s="791" t="s">
        <v>910</v>
      </c>
      <c r="B24" s="792" t="s">
        <v>911</v>
      </c>
      <c r="C24" s="793">
        <v>6.2</v>
      </c>
      <c r="D24" s="787">
        <v>4419000</v>
      </c>
      <c r="E24" s="794">
        <v>18265200</v>
      </c>
      <c r="F24" s="793">
        <v>6.3</v>
      </c>
      <c r="G24" s="787">
        <v>4419000</v>
      </c>
      <c r="H24" s="794">
        <v>18559800</v>
      </c>
      <c r="I24" s="794">
        <f>H24-E24</f>
        <v>294600</v>
      </c>
      <c r="J24" s="754"/>
      <c r="K24" s="795"/>
      <c r="L24" s="796"/>
    </row>
    <row r="25" spans="1:12" ht="12">
      <c r="A25" s="791" t="s">
        <v>910</v>
      </c>
      <c r="B25" s="792" t="s">
        <v>912</v>
      </c>
      <c r="C25" s="793">
        <v>3</v>
      </c>
      <c r="D25" s="787">
        <v>2205000</v>
      </c>
      <c r="E25" s="794">
        <v>4410000</v>
      </c>
      <c r="F25" s="793">
        <v>3</v>
      </c>
      <c r="G25" s="787">
        <v>2205000</v>
      </c>
      <c r="H25" s="794">
        <v>4410000</v>
      </c>
      <c r="I25" s="794">
        <f>H25-E25</f>
        <v>0</v>
      </c>
      <c r="J25" s="754"/>
      <c r="K25" s="798"/>
      <c r="L25" s="796"/>
    </row>
    <row r="26" spans="1:12" ht="12">
      <c r="A26" s="791" t="s">
        <v>910</v>
      </c>
      <c r="B26" s="792" t="s">
        <v>913</v>
      </c>
      <c r="C26" s="793">
        <v>5.8</v>
      </c>
      <c r="D26" s="787">
        <v>4419000</v>
      </c>
      <c r="E26" s="794">
        <v>8543400</v>
      </c>
      <c r="F26" s="793">
        <v>6.2</v>
      </c>
      <c r="G26" s="787">
        <v>4419000</v>
      </c>
      <c r="H26" s="794">
        <v>9132600</v>
      </c>
      <c r="I26" s="794">
        <f>H26-E26</f>
        <v>589200</v>
      </c>
      <c r="J26" s="754"/>
      <c r="K26" s="798"/>
      <c r="L26" s="796"/>
    </row>
    <row r="27" spans="1:12" ht="12">
      <c r="A27" s="791" t="s">
        <v>910</v>
      </c>
      <c r="B27" s="792" t="s">
        <v>914</v>
      </c>
      <c r="C27" s="793">
        <v>3</v>
      </c>
      <c r="D27" s="787">
        <v>2205000</v>
      </c>
      <c r="E27" s="794">
        <v>2205000</v>
      </c>
      <c r="F27" s="793">
        <v>3</v>
      </c>
      <c r="G27" s="787">
        <v>2205000</v>
      </c>
      <c r="H27" s="794">
        <v>2205000</v>
      </c>
      <c r="I27" s="794">
        <f>H27-E27</f>
        <v>0</v>
      </c>
      <c r="J27" s="754"/>
      <c r="K27" s="798"/>
      <c r="L27" s="796"/>
    </row>
    <row r="28" spans="1:12" ht="12" hidden="1">
      <c r="A28" s="791" t="s">
        <v>910</v>
      </c>
      <c r="B28" s="792" t="s">
        <v>915</v>
      </c>
      <c r="C28" s="793"/>
      <c r="D28" s="787"/>
      <c r="E28" s="794"/>
      <c r="F28" s="793"/>
      <c r="G28" s="787"/>
      <c r="H28" s="794"/>
      <c r="I28" s="794"/>
      <c r="J28" s="754"/>
      <c r="K28" s="798"/>
      <c r="L28" s="796"/>
    </row>
    <row r="29" spans="1:13" ht="24" hidden="1">
      <c r="A29" s="791" t="s">
        <v>916</v>
      </c>
      <c r="B29" s="792" t="s">
        <v>917</v>
      </c>
      <c r="C29" s="751"/>
      <c r="D29" s="787"/>
      <c r="E29" s="794"/>
      <c r="F29" s="751"/>
      <c r="G29" s="787"/>
      <c r="H29" s="794"/>
      <c r="I29" s="794"/>
      <c r="J29" s="754"/>
      <c r="K29" s="798"/>
      <c r="L29" s="796"/>
      <c r="M29" s="799"/>
    </row>
    <row r="30" spans="1:13" ht="24" hidden="1">
      <c r="A30" s="791" t="s">
        <v>918</v>
      </c>
      <c r="B30" s="792" t="s">
        <v>919</v>
      </c>
      <c r="C30" s="751"/>
      <c r="D30" s="787"/>
      <c r="E30" s="794"/>
      <c r="F30" s="751"/>
      <c r="G30" s="787"/>
      <c r="H30" s="794"/>
      <c r="I30" s="794"/>
      <c r="J30" s="754"/>
      <c r="K30" s="798"/>
      <c r="L30" s="796"/>
      <c r="M30" s="799"/>
    </row>
    <row r="31" spans="1:13" ht="24" hidden="1">
      <c r="A31" s="791" t="s">
        <v>920</v>
      </c>
      <c r="B31" s="792" t="s">
        <v>921</v>
      </c>
      <c r="C31" s="751"/>
      <c r="D31" s="787"/>
      <c r="E31" s="794"/>
      <c r="F31" s="751"/>
      <c r="G31" s="787"/>
      <c r="H31" s="794"/>
      <c r="I31" s="794"/>
      <c r="J31" s="754"/>
      <c r="K31" s="798"/>
      <c r="L31" s="796"/>
      <c r="M31" s="799"/>
    </row>
    <row r="32" spans="1:13" ht="24" hidden="1">
      <c r="A32" s="791" t="s">
        <v>922</v>
      </c>
      <c r="B32" s="792" t="s">
        <v>923</v>
      </c>
      <c r="C32" s="751"/>
      <c r="D32" s="787"/>
      <c r="E32" s="794"/>
      <c r="F32" s="751"/>
      <c r="G32" s="787"/>
      <c r="H32" s="794"/>
      <c r="I32" s="794"/>
      <c r="J32" s="754"/>
      <c r="K32" s="798"/>
      <c r="L32" s="796"/>
      <c r="M32" s="799"/>
    </row>
    <row r="33" spans="1:13" ht="24" hidden="1">
      <c r="A33" s="791" t="s">
        <v>924</v>
      </c>
      <c r="B33" s="792" t="s">
        <v>925</v>
      </c>
      <c r="C33" s="751"/>
      <c r="D33" s="787"/>
      <c r="E33" s="794"/>
      <c r="F33" s="751"/>
      <c r="G33" s="787"/>
      <c r="H33" s="794"/>
      <c r="I33" s="794"/>
      <c r="J33" s="754"/>
      <c r="K33" s="798"/>
      <c r="L33" s="796"/>
      <c r="M33" s="799"/>
    </row>
    <row r="34" spans="1:13" ht="24" hidden="1">
      <c r="A34" s="791" t="s">
        <v>926</v>
      </c>
      <c r="B34" s="792" t="s">
        <v>927</v>
      </c>
      <c r="C34" s="751"/>
      <c r="D34" s="787"/>
      <c r="E34" s="794"/>
      <c r="F34" s="751"/>
      <c r="G34" s="787"/>
      <c r="H34" s="794"/>
      <c r="I34" s="794"/>
      <c r="J34" s="754"/>
      <c r="K34" s="798"/>
      <c r="L34" s="796"/>
      <c r="M34" s="799"/>
    </row>
    <row r="35" spans="1:13" s="729" customFormat="1" ht="12">
      <c r="A35" s="800"/>
      <c r="B35" s="785" t="s">
        <v>928</v>
      </c>
      <c r="C35" s="801"/>
      <c r="D35" s="802"/>
      <c r="E35" s="788">
        <f>SUM(E24:E34)</f>
        <v>33423600</v>
      </c>
      <c r="F35" s="801"/>
      <c r="G35" s="802"/>
      <c r="H35" s="788">
        <f>SUM(H24:H34)</f>
        <v>34307400</v>
      </c>
      <c r="I35" s="788">
        <f>SUM(I24:I34)</f>
        <v>883800</v>
      </c>
      <c r="J35" s="754"/>
      <c r="K35" s="803"/>
      <c r="L35" s="796"/>
      <c r="M35" s="799"/>
    </row>
    <row r="36" spans="1:13" ht="12">
      <c r="A36" s="791" t="s">
        <v>929</v>
      </c>
      <c r="B36" s="792" t="s">
        <v>930</v>
      </c>
      <c r="C36" s="793">
        <v>63</v>
      </c>
      <c r="D36" s="787">
        <v>81700</v>
      </c>
      <c r="E36" s="794">
        <v>3431400</v>
      </c>
      <c r="F36" s="793">
        <v>64</v>
      </c>
      <c r="G36" s="787">
        <v>81700</v>
      </c>
      <c r="H36" s="794">
        <v>3485867</v>
      </c>
      <c r="I36" s="794">
        <f>H36-E36</f>
        <v>54467</v>
      </c>
      <c r="J36" s="754"/>
      <c r="K36" s="804"/>
      <c r="L36" s="796"/>
      <c r="M36" s="799"/>
    </row>
    <row r="37" spans="1:13" ht="12">
      <c r="A37" s="791" t="s">
        <v>929</v>
      </c>
      <c r="B37" s="792" t="s">
        <v>930</v>
      </c>
      <c r="C37" s="793">
        <v>59</v>
      </c>
      <c r="D37" s="787">
        <v>81700</v>
      </c>
      <c r="E37" s="794">
        <v>1606767</v>
      </c>
      <c r="F37" s="793">
        <v>61</v>
      </c>
      <c r="G37" s="787">
        <v>81700</v>
      </c>
      <c r="H37" s="794">
        <v>1661233</v>
      </c>
      <c r="I37" s="794">
        <f>H37-E37</f>
        <v>54466</v>
      </c>
      <c r="J37" s="754"/>
      <c r="K37" s="804"/>
      <c r="L37" s="796"/>
      <c r="M37" s="799"/>
    </row>
    <row r="38" spans="1:13" s="729" customFormat="1" ht="12.75" thickBot="1">
      <c r="A38" s="741"/>
      <c r="B38" s="769" t="s">
        <v>931</v>
      </c>
      <c r="C38" s="805"/>
      <c r="D38" s="744"/>
      <c r="E38" s="745">
        <f>SUM(E36:E37)</f>
        <v>5038167</v>
      </c>
      <c r="F38" s="805"/>
      <c r="G38" s="744"/>
      <c r="H38" s="745">
        <f>SUM(H36:H37)</f>
        <v>5147100</v>
      </c>
      <c r="I38" s="745">
        <f>SUM(I36:I37)</f>
        <v>108933</v>
      </c>
      <c r="J38" s="806"/>
      <c r="K38" s="807"/>
      <c r="L38" s="796"/>
      <c r="M38" s="799"/>
    </row>
    <row r="39" spans="1:13" s="729" customFormat="1" ht="24.75" thickBot="1">
      <c r="A39" s="777" t="s">
        <v>932</v>
      </c>
      <c r="B39" s="778" t="s">
        <v>933</v>
      </c>
      <c r="C39" s="779"/>
      <c r="D39" s="780"/>
      <c r="E39" s="781">
        <f>E35+E38</f>
        <v>38461767</v>
      </c>
      <c r="F39" s="779"/>
      <c r="G39" s="780"/>
      <c r="H39" s="781">
        <f>H35+H38</f>
        <v>39454500</v>
      </c>
      <c r="I39" s="781">
        <f>I38+I35</f>
        <v>992733</v>
      </c>
      <c r="J39" s="808"/>
      <c r="K39" s="783"/>
      <c r="L39" s="748"/>
      <c r="M39" s="799"/>
    </row>
    <row r="40" spans="1:12" ht="12">
      <c r="A40" s="791" t="s">
        <v>934</v>
      </c>
      <c r="B40" s="792" t="s">
        <v>669</v>
      </c>
      <c r="C40" s="786"/>
      <c r="D40" s="787"/>
      <c r="E40" s="794">
        <v>15015000</v>
      </c>
      <c r="F40" s="786"/>
      <c r="G40" s="787"/>
      <c r="H40" s="794">
        <v>15015000</v>
      </c>
      <c r="I40" s="794">
        <v>0</v>
      </c>
      <c r="J40" s="809"/>
      <c r="K40" s="804"/>
      <c r="L40" s="810"/>
    </row>
    <row r="41" spans="1:12" ht="12.75" thickBot="1">
      <c r="A41" s="791" t="s">
        <v>935</v>
      </c>
      <c r="B41" s="792" t="s">
        <v>936</v>
      </c>
      <c r="C41" s="786">
        <v>42</v>
      </c>
      <c r="D41" s="787">
        <v>55360</v>
      </c>
      <c r="E41" s="794">
        <v>2325120</v>
      </c>
      <c r="F41" s="786">
        <v>48</v>
      </c>
      <c r="G41" s="787">
        <v>55360</v>
      </c>
      <c r="H41" s="794">
        <v>2657280</v>
      </c>
      <c r="I41" s="794">
        <f>H41-E41</f>
        <v>332160</v>
      </c>
      <c r="J41" s="809"/>
      <c r="K41" s="803"/>
      <c r="L41" s="810"/>
    </row>
    <row r="42" spans="1:12" ht="12">
      <c r="A42" s="811" t="s">
        <v>1096</v>
      </c>
      <c r="B42" s="812" t="s">
        <v>1037</v>
      </c>
      <c r="C42" s="813">
        <v>12</v>
      </c>
      <c r="D42" s="814">
        <v>3100000</v>
      </c>
      <c r="E42" s="815">
        <v>3100000</v>
      </c>
      <c r="F42" s="813">
        <v>12</v>
      </c>
      <c r="G42" s="814">
        <v>3100000</v>
      </c>
      <c r="H42" s="815">
        <v>3100000</v>
      </c>
      <c r="I42" s="815">
        <v>0</v>
      </c>
      <c r="J42" s="816"/>
      <c r="K42" s="817"/>
      <c r="L42" s="810"/>
    </row>
    <row r="43" spans="1:12" s="729" customFormat="1" ht="12.75" thickBot="1">
      <c r="A43" s="821"/>
      <c r="B43" s="822" t="s">
        <v>937</v>
      </c>
      <c r="C43" s="823"/>
      <c r="D43" s="824"/>
      <c r="E43" s="825">
        <f>SUM(E40:E42)</f>
        <v>20440120</v>
      </c>
      <c r="F43" s="823"/>
      <c r="G43" s="824"/>
      <c r="H43" s="825">
        <f>SUM(H40:H42)</f>
        <v>20772280</v>
      </c>
      <c r="I43" s="825">
        <f>SUM(I40:I42)</f>
        <v>332160</v>
      </c>
      <c r="J43" s="826"/>
      <c r="K43" s="827"/>
      <c r="L43" s="810"/>
    </row>
    <row r="44" spans="1:12" ht="12">
      <c r="A44" s="791" t="s">
        <v>938</v>
      </c>
      <c r="B44" s="792" t="s">
        <v>939</v>
      </c>
      <c r="C44" s="751">
        <v>4.93</v>
      </c>
      <c r="D44" s="787">
        <v>1900000</v>
      </c>
      <c r="E44" s="794">
        <v>9367000</v>
      </c>
      <c r="F44" s="751">
        <v>5.01</v>
      </c>
      <c r="G44" s="787">
        <v>1900000</v>
      </c>
      <c r="H44" s="794">
        <v>9519000</v>
      </c>
      <c r="I44" s="794">
        <f>H44-E44</f>
        <v>152000</v>
      </c>
      <c r="J44" s="754"/>
      <c r="K44" s="836"/>
      <c r="L44" s="810"/>
    </row>
    <row r="45" spans="1:12" ht="12">
      <c r="A45" s="791" t="s">
        <v>940</v>
      </c>
      <c r="B45" s="792" t="s">
        <v>941</v>
      </c>
      <c r="C45" s="786"/>
      <c r="D45" s="787"/>
      <c r="E45" s="794">
        <v>13966049</v>
      </c>
      <c r="F45" s="786"/>
      <c r="G45" s="787"/>
      <c r="H45" s="794">
        <v>12420975</v>
      </c>
      <c r="I45" s="794">
        <f>H45-E45</f>
        <v>-1545074</v>
      </c>
      <c r="J45" s="754"/>
      <c r="K45" s="804"/>
      <c r="L45" s="810"/>
    </row>
    <row r="46" spans="1:12" ht="24">
      <c r="A46" s="791" t="s">
        <v>942</v>
      </c>
      <c r="B46" s="792" t="s">
        <v>943</v>
      </c>
      <c r="C46" s="818">
        <v>1886</v>
      </c>
      <c r="D46" s="819">
        <v>570</v>
      </c>
      <c r="E46" s="794">
        <v>1075020</v>
      </c>
      <c r="F46" s="818">
        <v>1485</v>
      </c>
      <c r="G46" s="819">
        <v>570</v>
      </c>
      <c r="H46" s="794">
        <v>846450</v>
      </c>
      <c r="I46" s="794">
        <f>H46-E46</f>
        <v>-228570</v>
      </c>
      <c r="J46" s="754"/>
      <c r="K46" s="803"/>
      <c r="L46" s="810"/>
    </row>
    <row r="47" spans="1:12" s="729" customFormat="1" ht="12.75" thickBot="1">
      <c r="A47" s="821"/>
      <c r="B47" s="822" t="s">
        <v>944</v>
      </c>
      <c r="C47" s="823"/>
      <c r="D47" s="824"/>
      <c r="E47" s="825">
        <f>SUM(E44:E46)</f>
        <v>24408069</v>
      </c>
      <c r="F47" s="823"/>
      <c r="G47" s="824"/>
      <c r="H47" s="825">
        <f>SUM(H44:H46)</f>
        <v>22786425</v>
      </c>
      <c r="I47" s="825">
        <f>SUM(I44:I46)</f>
        <v>-1621644</v>
      </c>
      <c r="J47" s="835"/>
      <c r="K47" s="827"/>
      <c r="L47" s="810"/>
    </row>
    <row r="48" spans="1:12" ht="12" hidden="1">
      <c r="A48" s="791" t="s">
        <v>945</v>
      </c>
      <c r="B48" s="837" t="s">
        <v>946</v>
      </c>
      <c r="C48" s="751"/>
      <c r="D48" s="787"/>
      <c r="E48" s="794"/>
      <c r="F48" s="751"/>
      <c r="G48" s="787"/>
      <c r="H48" s="794"/>
      <c r="I48" s="794"/>
      <c r="J48" s="754"/>
      <c r="K48" s="804"/>
      <c r="L48" s="810"/>
    </row>
    <row r="49" spans="1:12" ht="12" hidden="1">
      <c r="A49" s="791" t="s">
        <v>945</v>
      </c>
      <c r="B49" s="837" t="s">
        <v>947</v>
      </c>
      <c r="C49" s="751"/>
      <c r="D49" s="787"/>
      <c r="E49" s="794"/>
      <c r="F49" s="751"/>
      <c r="G49" s="787"/>
      <c r="H49" s="794"/>
      <c r="I49" s="794"/>
      <c r="J49" s="754"/>
      <c r="K49" s="804"/>
      <c r="L49" s="810"/>
    </row>
    <row r="50" spans="1:12" ht="12" hidden="1">
      <c r="A50" s="791" t="s">
        <v>948</v>
      </c>
      <c r="B50" s="792" t="s">
        <v>949</v>
      </c>
      <c r="C50" s="751"/>
      <c r="D50" s="787"/>
      <c r="E50" s="794"/>
      <c r="F50" s="751"/>
      <c r="G50" s="787"/>
      <c r="H50" s="794"/>
      <c r="I50" s="794"/>
      <c r="J50" s="754"/>
      <c r="K50" s="804"/>
      <c r="L50" s="810"/>
    </row>
    <row r="51" spans="1:12" ht="12" hidden="1">
      <c r="A51" s="838"/>
      <c r="B51" s="792" t="s">
        <v>950</v>
      </c>
      <c r="C51" s="786"/>
      <c r="D51" s="787"/>
      <c r="E51" s="788"/>
      <c r="F51" s="786"/>
      <c r="G51" s="787"/>
      <c r="H51" s="788"/>
      <c r="I51" s="788"/>
      <c r="J51" s="809"/>
      <c r="K51" s="807"/>
      <c r="L51" s="810"/>
    </row>
    <row r="52" spans="1:12" ht="12.75" hidden="1" thickBot="1">
      <c r="A52" s="821"/>
      <c r="B52" s="822" t="s">
        <v>951</v>
      </c>
      <c r="C52" s="833"/>
      <c r="D52" s="834"/>
      <c r="E52" s="825"/>
      <c r="F52" s="833"/>
      <c r="G52" s="834"/>
      <c r="H52" s="825"/>
      <c r="I52" s="825"/>
      <c r="J52" s="839"/>
      <c r="K52" s="827"/>
      <c r="L52" s="810"/>
    </row>
    <row r="53" spans="1:12" ht="12" hidden="1">
      <c r="A53" s="791" t="s">
        <v>952</v>
      </c>
      <c r="B53" s="792" t="s">
        <v>953</v>
      </c>
      <c r="C53" s="813"/>
      <c r="D53" s="819"/>
      <c r="E53" s="794"/>
      <c r="F53" s="813"/>
      <c r="G53" s="819"/>
      <c r="H53" s="794"/>
      <c r="I53" s="794"/>
      <c r="J53" s="809"/>
      <c r="K53" s="803"/>
      <c r="L53" s="810"/>
    </row>
    <row r="54" spans="1:12" ht="12.75" hidden="1" thickBot="1">
      <c r="A54" s="791"/>
      <c r="B54" s="792" t="s">
        <v>954</v>
      </c>
      <c r="C54" s="820"/>
      <c r="D54" s="819"/>
      <c r="E54" s="794"/>
      <c r="F54" s="820"/>
      <c r="G54" s="819"/>
      <c r="H54" s="794"/>
      <c r="I54" s="840"/>
      <c r="J54" s="809"/>
      <c r="K54" s="803"/>
      <c r="L54" s="810"/>
    </row>
    <row r="55" spans="1:12" s="729" customFormat="1" ht="24.75" thickBot="1">
      <c r="A55" s="777" t="s">
        <v>955</v>
      </c>
      <c r="B55" s="778" t="s">
        <v>956</v>
      </c>
      <c r="C55" s="841"/>
      <c r="D55" s="842"/>
      <c r="E55" s="781">
        <f>E43+E47</f>
        <v>44848189</v>
      </c>
      <c r="F55" s="841"/>
      <c r="G55" s="842"/>
      <c r="H55" s="781">
        <f>H43+H47</f>
        <v>43558705</v>
      </c>
      <c r="I55" s="843"/>
      <c r="J55" s="782"/>
      <c r="K55" s="783"/>
      <c r="L55" s="748"/>
    </row>
    <row r="56" spans="1:12" ht="12.75" hidden="1" thickBot="1">
      <c r="A56" s="844" t="s">
        <v>957</v>
      </c>
      <c r="B56" s="845" t="s">
        <v>958</v>
      </c>
      <c r="C56" s="841"/>
      <c r="D56" s="842"/>
      <c r="E56" s="781"/>
      <c r="F56" s="841"/>
      <c r="G56" s="842"/>
      <c r="H56" s="781"/>
      <c r="I56" s="843"/>
      <c r="J56" s="782"/>
      <c r="K56" s="846"/>
      <c r="L56" s="810"/>
    </row>
    <row r="57" spans="1:12" ht="24">
      <c r="A57" s="847" t="s">
        <v>1097</v>
      </c>
      <c r="B57" s="848" t="s">
        <v>1098</v>
      </c>
      <c r="C57" s="818"/>
      <c r="D57" s="819">
        <v>1210</v>
      </c>
      <c r="E57" s="794">
        <v>2743070</v>
      </c>
      <c r="F57" s="818"/>
      <c r="G57" s="819">
        <v>1210</v>
      </c>
      <c r="H57" s="794">
        <v>2743070</v>
      </c>
      <c r="I57" s="840">
        <v>0</v>
      </c>
      <c r="J57" s="754"/>
      <c r="K57" s="804"/>
      <c r="L57" s="810"/>
    </row>
    <row r="58" spans="1:12" ht="12" hidden="1">
      <c r="A58" s="847" t="s">
        <v>959</v>
      </c>
      <c r="B58" s="848" t="s">
        <v>960</v>
      </c>
      <c r="C58" s="818"/>
      <c r="D58" s="819"/>
      <c r="E58" s="794"/>
      <c r="F58" s="818"/>
      <c r="G58" s="819"/>
      <c r="H58" s="794"/>
      <c r="I58" s="840"/>
      <c r="J58" s="754"/>
      <c r="K58" s="804"/>
      <c r="L58" s="810"/>
    </row>
    <row r="59" spans="1:12" ht="12" hidden="1">
      <c r="A59" s="847" t="s">
        <v>961</v>
      </c>
      <c r="B59" s="848" t="s">
        <v>962</v>
      </c>
      <c r="C59" s="818"/>
      <c r="D59" s="819"/>
      <c r="E59" s="794"/>
      <c r="F59" s="818"/>
      <c r="G59" s="819"/>
      <c r="H59" s="794"/>
      <c r="I59" s="840"/>
      <c r="J59" s="754"/>
      <c r="K59" s="804"/>
      <c r="L59" s="810"/>
    </row>
    <row r="60" spans="1:12" ht="12" hidden="1">
      <c r="A60" s="791" t="s">
        <v>963</v>
      </c>
      <c r="B60" s="849" t="s">
        <v>964</v>
      </c>
      <c r="C60" s="818"/>
      <c r="D60" s="819"/>
      <c r="E60" s="850"/>
      <c r="F60" s="818"/>
      <c r="G60" s="819"/>
      <c r="H60" s="850"/>
      <c r="I60" s="851"/>
      <c r="J60" s="852"/>
      <c r="K60" s="803"/>
      <c r="L60" s="796"/>
    </row>
    <row r="61" spans="1:12" ht="12" hidden="1">
      <c r="A61" s="791" t="s">
        <v>965</v>
      </c>
      <c r="B61" s="849" t="s">
        <v>966</v>
      </c>
      <c r="C61" s="818"/>
      <c r="D61" s="819"/>
      <c r="E61" s="850"/>
      <c r="F61" s="818"/>
      <c r="G61" s="819"/>
      <c r="H61" s="850"/>
      <c r="I61" s="851"/>
      <c r="J61" s="852"/>
      <c r="K61" s="803"/>
      <c r="L61" s="796"/>
    </row>
    <row r="62" spans="1:12" ht="12" hidden="1">
      <c r="A62" s="791" t="s">
        <v>967</v>
      </c>
      <c r="B62" s="849" t="s">
        <v>968</v>
      </c>
      <c r="C62" s="818"/>
      <c r="D62" s="819"/>
      <c r="E62" s="850"/>
      <c r="F62" s="818"/>
      <c r="G62" s="819"/>
      <c r="H62" s="850"/>
      <c r="I62" s="851"/>
      <c r="J62" s="852"/>
      <c r="K62" s="803"/>
      <c r="L62" s="796"/>
    </row>
    <row r="63" spans="1:12" s="729" customFormat="1" ht="12.75" thickBot="1">
      <c r="A63" s="853"/>
      <c r="B63" s="854" t="s">
        <v>969</v>
      </c>
      <c r="C63" s="855"/>
      <c r="D63" s="856"/>
      <c r="E63" s="857">
        <f>SUM(E57:E62)</f>
        <v>2743070</v>
      </c>
      <c r="F63" s="855"/>
      <c r="G63" s="856"/>
      <c r="H63" s="857">
        <f>H57</f>
        <v>2743070</v>
      </c>
      <c r="I63" s="858">
        <v>0</v>
      </c>
      <c r="J63" s="754"/>
      <c r="K63" s="803"/>
      <c r="L63" s="796"/>
    </row>
    <row r="64" spans="1:12" ht="24.75" thickBot="1">
      <c r="A64" s="859" t="s">
        <v>970</v>
      </c>
      <c r="B64" s="860" t="s">
        <v>971</v>
      </c>
      <c r="C64" s="823"/>
      <c r="D64" s="834"/>
      <c r="E64" s="861">
        <f>E63</f>
        <v>2743070</v>
      </c>
      <c r="F64" s="823"/>
      <c r="G64" s="834"/>
      <c r="H64" s="861">
        <f>H63</f>
        <v>2743070</v>
      </c>
      <c r="I64" s="862">
        <v>0</v>
      </c>
      <c r="J64" s="835"/>
      <c r="K64" s="846"/>
      <c r="L64" s="810"/>
    </row>
    <row r="65" spans="1:12" ht="12.75" thickBot="1">
      <c r="A65" s="844"/>
      <c r="B65" s="778" t="s">
        <v>972</v>
      </c>
      <c r="C65" s="779"/>
      <c r="D65" s="780"/>
      <c r="E65" s="781">
        <f>E23+E39+E55+E64</f>
        <v>140330444</v>
      </c>
      <c r="F65" s="779"/>
      <c r="G65" s="780"/>
      <c r="H65" s="781">
        <f>H23+H39+H55+H64</f>
        <v>140104331</v>
      </c>
      <c r="I65" s="781">
        <f>I23+I39+I55+I64</f>
        <v>992733</v>
      </c>
      <c r="J65" s="808"/>
      <c r="K65" s="846"/>
      <c r="L65" s="810"/>
    </row>
    <row r="66" spans="1:12" ht="12.75" thickBot="1">
      <c r="A66" s="844"/>
      <c r="B66" s="778" t="s">
        <v>973</v>
      </c>
      <c r="C66" s="779"/>
      <c r="D66" s="780"/>
      <c r="E66" s="781">
        <f>E65</f>
        <v>140330444</v>
      </c>
      <c r="F66" s="779"/>
      <c r="G66" s="780"/>
      <c r="H66" s="781">
        <f>H65</f>
        <v>140104331</v>
      </c>
      <c r="I66" s="781">
        <f>I65</f>
        <v>992733</v>
      </c>
      <c r="J66" s="808"/>
      <c r="K66" s="846"/>
      <c r="L66" s="810"/>
    </row>
    <row r="67" spans="1:12" ht="12" hidden="1">
      <c r="A67" s="863"/>
      <c r="B67" s="864" t="s">
        <v>974</v>
      </c>
      <c r="C67" s="865"/>
      <c r="D67" s="866"/>
      <c r="E67" s="867"/>
      <c r="F67" s="865"/>
      <c r="G67" s="866"/>
      <c r="H67" s="867"/>
      <c r="I67" s="868"/>
      <c r="J67" s="869"/>
      <c r="K67" s="870"/>
      <c r="L67" s="810"/>
    </row>
    <row r="68" spans="1:12" ht="12.75" hidden="1" thickBot="1">
      <c r="A68" s="871"/>
      <c r="B68" s="831" t="s">
        <v>975</v>
      </c>
      <c r="C68" s="770"/>
      <c r="D68" s="771"/>
      <c r="E68" s="832"/>
      <c r="F68" s="770"/>
      <c r="G68" s="771"/>
      <c r="H68" s="832"/>
      <c r="I68" s="832"/>
      <c r="J68" s="806"/>
      <c r="K68" s="872"/>
      <c r="L68" s="873"/>
    </row>
    <row r="69" spans="1:12" ht="15.75" customHeight="1" hidden="1" thickBot="1">
      <c r="A69" s="874"/>
      <c r="B69" s="828"/>
      <c r="C69" s="875"/>
      <c r="D69" s="876"/>
      <c r="E69" s="829"/>
      <c r="F69" s="875"/>
      <c r="G69" s="876"/>
      <c r="H69" s="829"/>
      <c r="I69" s="829"/>
      <c r="J69" s="830"/>
      <c r="K69" s="877"/>
      <c r="L69" s="878"/>
    </row>
    <row r="70" spans="1:12" ht="15.75" customHeight="1">
      <c r="A70" s="879"/>
      <c r="B70" s="880"/>
      <c r="C70" s="881"/>
      <c r="D70" s="881"/>
      <c r="E70" s="882"/>
      <c r="F70" s="881"/>
      <c r="G70" s="881"/>
      <c r="H70" s="882"/>
      <c r="I70" s="881"/>
      <c r="J70" s="883"/>
      <c r="K70" s="810"/>
      <c r="L70" s="810"/>
    </row>
    <row r="71" spans="1:12" ht="18" customHeight="1">
      <c r="A71" s="884"/>
      <c r="B71" s="885"/>
      <c r="E71" s="887"/>
      <c r="H71" s="888"/>
      <c r="I71" s="889"/>
      <c r="J71" s="890"/>
      <c r="K71" s="797"/>
      <c r="L71" s="797"/>
    </row>
    <row r="72" spans="1:12" ht="12">
      <c r="A72" s="892"/>
      <c r="B72" s="892"/>
      <c r="C72" s="892"/>
      <c r="D72" s="892"/>
      <c r="E72" s="882"/>
      <c r="F72" s="882"/>
      <c r="G72" s="882"/>
      <c r="H72" s="893"/>
      <c r="I72" s="891"/>
      <c r="J72" s="890"/>
      <c r="K72" s="797"/>
      <c r="L72" s="797"/>
    </row>
    <row r="73" spans="1:12" ht="12">
      <c r="A73" s="884"/>
      <c r="B73" s="884"/>
      <c r="C73" s="884"/>
      <c r="D73" s="884"/>
      <c r="E73" s="881"/>
      <c r="F73" s="881"/>
      <c r="G73" s="882"/>
      <c r="H73" s="893"/>
      <c r="I73" s="891"/>
      <c r="J73" s="890"/>
      <c r="K73" s="797"/>
      <c r="L73" s="797"/>
    </row>
    <row r="74" spans="1:12" ht="12">
      <c r="A74" s="797"/>
      <c r="C74" s="797"/>
      <c r="D74" s="887"/>
      <c r="E74" s="886"/>
      <c r="G74" s="886"/>
      <c r="H74" s="886"/>
      <c r="I74" s="891"/>
      <c r="J74" s="890"/>
      <c r="K74" s="797"/>
      <c r="L74" s="888"/>
    </row>
    <row r="75" spans="1:12" ht="12">
      <c r="A75" s="797"/>
      <c r="C75" s="797"/>
      <c r="D75" s="729"/>
      <c r="E75" s="886"/>
      <c r="G75" s="886"/>
      <c r="H75" s="886"/>
      <c r="I75" s="886"/>
      <c r="J75" s="895"/>
      <c r="K75" s="740"/>
      <c r="L75" s="888"/>
    </row>
    <row r="76" spans="1:12" ht="12">
      <c r="A76" s="797"/>
      <c r="C76" s="797"/>
      <c r="D76" s="887"/>
      <c r="E76" s="797"/>
      <c r="F76" s="797"/>
      <c r="G76" s="729"/>
      <c r="H76" s="886"/>
      <c r="I76" s="886"/>
      <c r="K76" s="891"/>
      <c r="L76" s="888"/>
    </row>
    <row r="77" spans="1:12" ht="12">
      <c r="A77" s="797"/>
      <c r="C77" s="797"/>
      <c r="D77" s="729"/>
      <c r="E77" s="886"/>
      <c r="F77" s="797"/>
      <c r="G77" s="887"/>
      <c r="H77" s="886"/>
      <c r="I77" s="886"/>
      <c r="K77" s="891"/>
      <c r="L77" s="888"/>
    </row>
    <row r="78" spans="5:12" ht="12">
      <c r="E78" s="887"/>
      <c r="K78" s="891"/>
      <c r="L78" s="888"/>
    </row>
    <row r="79" spans="8:11" ht="12">
      <c r="H79" s="887"/>
      <c r="K79" s="891"/>
    </row>
    <row r="80" spans="9:11" ht="12">
      <c r="I80" s="886"/>
      <c r="K80" s="891"/>
    </row>
    <row r="81" spans="8:11" ht="12">
      <c r="H81" s="887"/>
      <c r="I81" s="886"/>
      <c r="K81" s="891"/>
    </row>
    <row r="82" ht="12">
      <c r="K82" s="891"/>
    </row>
    <row r="83" ht="12">
      <c r="K83" s="891"/>
    </row>
    <row r="84" spans="9:10" ht="12">
      <c r="I84" s="729"/>
      <c r="J84" s="898"/>
    </row>
    <row r="85" spans="9:10" ht="12">
      <c r="I85" s="886"/>
      <c r="J85" s="898"/>
    </row>
    <row r="86" spans="9:11" ht="12">
      <c r="I86" s="887"/>
      <c r="K86" s="888"/>
    </row>
    <row r="87" spans="8:11" ht="12">
      <c r="H87" s="797"/>
      <c r="I87" s="886"/>
      <c r="K87" s="888"/>
    </row>
    <row r="88" spans="8:11" ht="12">
      <c r="H88" s="797"/>
      <c r="I88" s="886"/>
      <c r="K88" s="888"/>
    </row>
    <row r="89" spans="8:11" ht="12">
      <c r="H89" s="797"/>
      <c r="I89" s="886"/>
      <c r="K89" s="888"/>
    </row>
    <row r="90" spans="1:12" ht="12">
      <c r="A90" s="797"/>
      <c r="B90" s="797"/>
      <c r="C90" s="887"/>
      <c r="F90" s="887"/>
      <c r="H90" s="797"/>
      <c r="I90" s="886"/>
      <c r="K90" s="888"/>
      <c r="L90" s="797"/>
    </row>
    <row r="91" ht="12">
      <c r="I91" s="886"/>
    </row>
    <row r="102" spans="10:11" ht="12">
      <c r="J102" s="797"/>
      <c r="K102" s="797"/>
    </row>
    <row r="103" ht="12">
      <c r="H103" s="797"/>
    </row>
  </sheetData>
  <sheetProtection/>
  <mergeCells count="14">
    <mergeCell ref="B3:H4"/>
    <mergeCell ref="K6:K8"/>
    <mergeCell ref="C7:C8"/>
    <mergeCell ref="D7:D8"/>
    <mergeCell ref="E7:E8"/>
    <mergeCell ref="F7:F8"/>
    <mergeCell ref="G7:G8"/>
    <mergeCell ref="H7:H8"/>
    <mergeCell ref="A6:A8"/>
    <mergeCell ref="B6:B8"/>
    <mergeCell ref="C6:E6"/>
    <mergeCell ref="F6:H6"/>
    <mergeCell ref="I6:I8"/>
    <mergeCell ref="J6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50.375" style="907" customWidth="1"/>
    <col min="2" max="2" width="16.625" style="907" customWidth="1"/>
    <col min="3" max="3" width="17.00390625" style="907" customWidth="1"/>
    <col min="4" max="4" width="14.375" style="907" bestFit="1" customWidth="1"/>
    <col min="5" max="5" width="1.00390625" style="906" customWidth="1"/>
    <col min="6" max="6" width="1.12109375" style="906" customWidth="1"/>
    <col min="7" max="7" width="53.375" style="906" bestFit="1" customWidth="1"/>
    <col min="8" max="8" width="17.875" style="907" customWidth="1"/>
    <col min="9" max="9" width="16.875" style="907" bestFit="1" customWidth="1"/>
    <col min="10" max="10" width="12.625" style="966" customWidth="1"/>
    <col min="11" max="16384" width="9.375" style="907" customWidth="1"/>
  </cols>
  <sheetData>
    <row r="1" ht="12.75">
      <c r="J1" s="1192" t="s">
        <v>1145</v>
      </c>
    </row>
    <row r="3" spans="2:7" ht="12.75">
      <c r="B3" s="1525" t="s">
        <v>1111</v>
      </c>
      <c r="C3" s="1390"/>
      <c r="D3" s="1390"/>
      <c r="E3" s="1390"/>
      <c r="F3" s="1390"/>
      <c r="G3" s="1390"/>
    </row>
    <row r="4" spans="2:7" ht="12.75">
      <c r="B4" s="1390"/>
      <c r="C4" s="1390"/>
      <c r="D4" s="1390"/>
      <c r="E4" s="1390"/>
      <c r="F4" s="1390"/>
      <c r="G4" s="1390"/>
    </row>
    <row r="6" spans="1:13" ht="15.75">
      <c r="A6" s="899" t="s">
        <v>806</v>
      </c>
      <c r="B6" s="900" t="s">
        <v>976</v>
      </c>
      <c r="C6" s="900" t="s">
        <v>641</v>
      </c>
      <c r="D6" s="901" t="s">
        <v>977</v>
      </c>
      <c r="E6" s="902"/>
      <c r="F6" s="903"/>
      <c r="G6" s="904" t="s">
        <v>89</v>
      </c>
      <c r="H6" s="900" t="s">
        <v>976</v>
      </c>
      <c r="I6" s="900" t="s">
        <v>641</v>
      </c>
      <c r="J6" s="905" t="s">
        <v>977</v>
      </c>
      <c r="K6" s="906"/>
      <c r="L6" s="906"/>
      <c r="M6" s="906"/>
    </row>
    <row r="7" spans="1:13" ht="12.75">
      <c r="A7" s="908" t="s">
        <v>978</v>
      </c>
      <c r="B7" s="909" t="s">
        <v>642</v>
      </c>
      <c r="C7" s="909"/>
      <c r="D7" s="910" t="s">
        <v>979</v>
      </c>
      <c r="E7" s="911"/>
      <c r="F7" s="912"/>
      <c r="G7" s="913"/>
      <c r="H7" s="909" t="s">
        <v>642</v>
      </c>
      <c r="I7" s="909"/>
      <c r="J7" s="914" t="s">
        <v>979</v>
      </c>
      <c r="K7" s="906"/>
      <c r="L7" s="906"/>
      <c r="M7" s="906"/>
    </row>
    <row r="8" spans="1:13" ht="12.75">
      <c r="A8" s="915"/>
      <c r="B8" s="916"/>
      <c r="C8" s="917"/>
      <c r="D8" s="918" t="s">
        <v>980</v>
      </c>
      <c r="E8" s="919"/>
      <c r="F8" s="920"/>
      <c r="G8" s="921"/>
      <c r="H8" s="916"/>
      <c r="I8" s="917"/>
      <c r="J8" s="922" t="s">
        <v>980</v>
      </c>
      <c r="K8" s="906"/>
      <c r="L8" s="906"/>
      <c r="M8" s="906"/>
    </row>
    <row r="9" spans="1:13" ht="12.75">
      <c r="A9" s="923" t="s">
        <v>981</v>
      </c>
      <c r="B9" s="924">
        <v>803247253</v>
      </c>
      <c r="C9" s="924">
        <v>832412638</v>
      </c>
      <c r="D9" s="925">
        <f>(C9/B9)*100</f>
        <v>103.63093491961186</v>
      </c>
      <c r="E9" s="926"/>
      <c r="F9" s="927"/>
      <c r="G9" s="928" t="s">
        <v>982</v>
      </c>
      <c r="H9" s="924">
        <f>SUM(H10:H15)</f>
        <v>938475618</v>
      </c>
      <c r="I9" s="924">
        <f>SUM(I10:I15)</f>
        <v>1021109043</v>
      </c>
      <c r="J9" s="929">
        <f>(I9/H9)*100</f>
        <v>108.80506892401758</v>
      </c>
      <c r="K9" s="906"/>
      <c r="L9" s="906"/>
      <c r="M9" s="906"/>
    </row>
    <row r="10" spans="1:10" ht="12.75">
      <c r="A10" s="930" t="s">
        <v>983</v>
      </c>
      <c r="B10" s="931">
        <v>4989983</v>
      </c>
      <c r="C10" s="931">
        <v>7059245</v>
      </c>
      <c r="D10" s="932">
        <f>(C10/B10)*100</f>
        <v>141.468317627535</v>
      </c>
      <c r="E10" s="933"/>
      <c r="F10" s="934"/>
      <c r="G10" s="935" t="s">
        <v>483</v>
      </c>
      <c r="H10" s="936">
        <v>892691094</v>
      </c>
      <c r="I10" s="936">
        <v>892691094</v>
      </c>
      <c r="J10" s="937">
        <f>(I10/H10)*100</f>
        <v>100</v>
      </c>
    </row>
    <row r="11" spans="1:10" ht="12.75">
      <c r="A11" s="930" t="s">
        <v>984</v>
      </c>
      <c r="B11" s="936">
        <f>SUM(B12:B16)</f>
        <v>794157270</v>
      </c>
      <c r="C11" s="936">
        <f>SUM(C12:C16)</f>
        <v>820223393</v>
      </c>
      <c r="D11" s="932">
        <f>(C11/B11)*100</f>
        <v>103.28223690504024</v>
      </c>
      <c r="E11" s="933"/>
      <c r="F11" s="934"/>
      <c r="G11" s="935" t="s">
        <v>484</v>
      </c>
      <c r="H11" s="936">
        <v>-2500000</v>
      </c>
      <c r="I11" s="936">
        <v>-2500000</v>
      </c>
      <c r="J11" s="937">
        <f aca="true" t="shared" si="0" ref="J11:J20">(I11/H11)*100</f>
        <v>100</v>
      </c>
    </row>
    <row r="12" spans="1:10" ht="12.75">
      <c r="A12" s="938" t="s">
        <v>985</v>
      </c>
      <c r="B12" s="939">
        <v>759216663</v>
      </c>
      <c r="C12" s="939">
        <v>784442190</v>
      </c>
      <c r="D12" s="940">
        <f>(C12/B12)*100</f>
        <v>103.32257288720757</v>
      </c>
      <c r="E12" s="933"/>
      <c r="F12" s="934"/>
      <c r="G12" s="935" t="s">
        <v>485</v>
      </c>
      <c r="H12" s="936">
        <v>49199585</v>
      </c>
      <c r="I12" s="936">
        <v>49199585</v>
      </c>
      <c r="J12" s="937">
        <f t="shared" si="0"/>
        <v>100</v>
      </c>
    </row>
    <row r="13" spans="1:10" ht="12.75">
      <c r="A13" s="938" t="s">
        <v>986</v>
      </c>
      <c r="B13" s="939">
        <v>33568693</v>
      </c>
      <c r="C13" s="939">
        <v>31028872</v>
      </c>
      <c r="D13" s="940">
        <f>(C13/B13)*100</f>
        <v>92.43395922504341</v>
      </c>
      <c r="E13" s="933"/>
      <c r="F13" s="934"/>
      <c r="G13" s="935" t="s">
        <v>987</v>
      </c>
      <c r="H13" s="936">
        <v>893271</v>
      </c>
      <c r="I13" s="936">
        <v>-915061</v>
      </c>
      <c r="J13" s="937">
        <f t="shared" si="0"/>
        <v>-102.43934931280654</v>
      </c>
    </row>
    <row r="14" spans="1:10" ht="12.75">
      <c r="A14" s="938" t="s">
        <v>988</v>
      </c>
      <c r="B14" s="939">
        <v>0</v>
      </c>
      <c r="C14" s="939">
        <v>0</v>
      </c>
      <c r="D14" s="940">
        <v>0</v>
      </c>
      <c r="E14" s="933"/>
      <c r="F14" s="934"/>
      <c r="G14" s="935" t="s">
        <v>486</v>
      </c>
      <c r="H14" s="936">
        <v>0</v>
      </c>
      <c r="I14" s="936">
        <v>0</v>
      </c>
      <c r="J14" s="937">
        <v>0</v>
      </c>
    </row>
    <row r="15" spans="1:10" ht="12.75">
      <c r="A15" s="938" t="s">
        <v>989</v>
      </c>
      <c r="B15" s="939">
        <v>1371914</v>
      </c>
      <c r="C15" s="939">
        <v>4752331</v>
      </c>
      <c r="D15" s="940">
        <f>(C15/B15)*100</f>
        <v>346.4015237106699</v>
      </c>
      <c r="E15" s="933"/>
      <c r="F15" s="934"/>
      <c r="G15" s="935" t="s">
        <v>487</v>
      </c>
      <c r="H15" s="936">
        <v>-1808332</v>
      </c>
      <c r="I15" s="936">
        <v>82633425</v>
      </c>
      <c r="J15" s="937">
        <f t="shared" si="0"/>
        <v>-4569.5936918663165</v>
      </c>
    </row>
    <row r="16" spans="1:10" ht="12.75">
      <c r="A16" s="938" t="s">
        <v>990</v>
      </c>
      <c r="B16" s="939">
        <v>0</v>
      </c>
      <c r="C16" s="939">
        <v>0</v>
      </c>
      <c r="D16" s="940">
        <v>0</v>
      </c>
      <c r="E16" s="933"/>
      <c r="F16" s="934"/>
      <c r="G16" s="935"/>
      <c r="H16" s="936"/>
      <c r="I16" s="936"/>
      <c r="J16" s="937"/>
    </row>
    <row r="17" spans="1:10" ht="12.75">
      <c r="A17" s="930" t="s">
        <v>991</v>
      </c>
      <c r="B17" s="936">
        <f>SUM(B18:B20)</f>
        <v>4100000</v>
      </c>
      <c r="C17" s="936">
        <f>SUM(C18:C20)</f>
        <v>5130000</v>
      </c>
      <c r="D17" s="932">
        <f>(C17/B17)*100</f>
        <v>125.1219512195122</v>
      </c>
      <c r="E17" s="933"/>
      <c r="F17" s="934"/>
      <c r="G17" s="941" t="s">
        <v>992</v>
      </c>
      <c r="H17" s="942">
        <f>SUM(H18:H20)</f>
        <v>6969530</v>
      </c>
      <c r="I17" s="942">
        <f>SUM(I18:I20)</f>
        <v>7445936</v>
      </c>
      <c r="J17" s="1181">
        <f t="shared" si="0"/>
        <v>106.83555419088518</v>
      </c>
    </row>
    <row r="18" spans="1:10" ht="12.75">
      <c r="A18" s="938" t="s">
        <v>993</v>
      </c>
      <c r="B18" s="939">
        <v>4100000</v>
      </c>
      <c r="C18" s="939">
        <v>5130000</v>
      </c>
      <c r="D18" s="940">
        <f>(C18/B18)*100</f>
        <v>125.1219512195122</v>
      </c>
      <c r="E18" s="933"/>
      <c r="F18" s="934"/>
      <c r="G18" s="935" t="s">
        <v>504</v>
      </c>
      <c r="H18" s="936">
        <v>23</v>
      </c>
      <c r="I18" s="936">
        <v>0</v>
      </c>
      <c r="J18" s="937">
        <f t="shared" si="0"/>
        <v>0</v>
      </c>
    </row>
    <row r="19" spans="1:10" ht="12.75">
      <c r="A19" s="938" t="s">
        <v>994</v>
      </c>
      <c r="B19" s="939">
        <v>0</v>
      </c>
      <c r="C19" s="939">
        <v>0</v>
      </c>
      <c r="D19" s="940">
        <v>0</v>
      </c>
      <c r="E19" s="933"/>
      <c r="F19" s="934"/>
      <c r="G19" s="935" t="s">
        <v>488</v>
      </c>
      <c r="H19" s="936">
        <v>5119012</v>
      </c>
      <c r="I19" s="936">
        <v>5136553</v>
      </c>
      <c r="J19" s="937">
        <f t="shared" si="0"/>
        <v>100.34266377965122</v>
      </c>
    </row>
    <row r="20" spans="1:10" ht="12.75">
      <c r="A20" s="938" t="s">
        <v>995</v>
      </c>
      <c r="B20" s="939">
        <v>0</v>
      </c>
      <c r="C20" s="939">
        <v>0</v>
      </c>
      <c r="D20" s="940">
        <v>0</v>
      </c>
      <c r="E20" s="933"/>
      <c r="F20" s="934"/>
      <c r="G20" s="935" t="s">
        <v>489</v>
      </c>
      <c r="H20" s="936">
        <v>1850495</v>
      </c>
      <c r="I20" s="936">
        <v>2309383</v>
      </c>
      <c r="J20" s="937">
        <f t="shared" si="0"/>
        <v>124.79812158368438</v>
      </c>
    </row>
    <row r="21" spans="1:10" ht="12.75">
      <c r="A21" s="930" t="s">
        <v>473</v>
      </c>
      <c r="B21" s="936">
        <v>0</v>
      </c>
      <c r="C21" s="936">
        <v>0</v>
      </c>
      <c r="D21" s="940">
        <v>0</v>
      </c>
      <c r="E21" s="933"/>
      <c r="F21" s="934"/>
      <c r="G21" s="943"/>
      <c r="H21" s="944"/>
      <c r="I21" s="944"/>
      <c r="J21" s="937"/>
    </row>
    <row r="22" spans="1:10" ht="12.75">
      <c r="A22" s="946"/>
      <c r="B22" s="944"/>
      <c r="C22" s="944"/>
      <c r="D22" s="932"/>
      <c r="E22" s="933"/>
      <c r="F22" s="934"/>
      <c r="G22" s="941" t="s">
        <v>996</v>
      </c>
      <c r="H22" s="942">
        <v>0</v>
      </c>
      <c r="I22" s="942">
        <v>0</v>
      </c>
      <c r="J22" s="1181">
        <v>0</v>
      </c>
    </row>
    <row r="23" spans="1:10" ht="12.75">
      <c r="A23" s="947" t="s">
        <v>997</v>
      </c>
      <c r="B23" s="942">
        <v>0</v>
      </c>
      <c r="C23" s="942">
        <v>0</v>
      </c>
      <c r="D23" s="1180">
        <v>0</v>
      </c>
      <c r="E23" s="933"/>
      <c r="F23" s="934"/>
      <c r="G23" s="943"/>
      <c r="H23" s="944"/>
      <c r="I23" s="944"/>
      <c r="J23" s="937"/>
    </row>
    <row r="24" spans="1:10" ht="12.75">
      <c r="A24" s="930" t="s">
        <v>474</v>
      </c>
      <c r="B24" s="936">
        <v>0</v>
      </c>
      <c r="C24" s="936">
        <v>0</v>
      </c>
      <c r="D24" s="932">
        <v>0</v>
      </c>
      <c r="E24" s="933"/>
      <c r="F24" s="934"/>
      <c r="G24" s="941" t="s">
        <v>998</v>
      </c>
      <c r="H24" s="942">
        <v>0</v>
      </c>
      <c r="I24" s="942">
        <v>4022882</v>
      </c>
      <c r="J24" s="1181">
        <v>0</v>
      </c>
    </row>
    <row r="25" spans="1:10" ht="12.75">
      <c r="A25" s="930" t="s">
        <v>475</v>
      </c>
      <c r="B25" s="936">
        <v>0</v>
      </c>
      <c r="C25" s="936">
        <v>0</v>
      </c>
      <c r="D25" s="932">
        <v>0</v>
      </c>
      <c r="E25" s="933"/>
      <c r="F25" s="934"/>
      <c r="G25" s="941"/>
      <c r="H25" s="942"/>
      <c r="I25" s="942"/>
      <c r="J25" s="948"/>
    </row>
    <row r="26" spans="1:10" ht="12.75">
      <c r="A26" s="946"/>
      <c r="B26" s="944"/>
      <c r="C26" s="944"/>
      <c r="D26" s="932"/>
      <c r="E26" s="933"/>
      <c r="F26" s="934"/>
      <c r="G26" s="941"/>
      <c r="H26" s="942"/>
      <c r="I26" s="942"/>
      <c r="J26" s="948"/>
    </row>
    <row r="27" spans="1:10" ht="12.75">
      <c r="A27" s="947" t="s">
        <v>999</v>
      </c>
      <c r="B27" s="942">
        <f>SUM(B28:B31)</f>
        <v>137499850</v>
      </c>
      <c r="C27" s="942">
        <f>SUM(C28:C31)</f>
        <v>155456660</v>
      </c>
      <c r="D27" s="1180">
        <f>(C27/B27)*100</f>
        <v>113.059512428559</v>
      </c>
      <c r="E27" s="933"/>
      <c r="F27" s="934"/>
      <c r="G27" s="943"/>
      <c r="H27" s="944"/>
      <c r="I27" s="944"/>
      <c r="J27" s="945"/>
    </row>
    <row r="28" spans="1:10" ht="12.75">
      <c r="A28" s="930" t="s">
        <v>476</v>
      </c>
      <c r="B28" s="936">
        <v>0</v>
      </c>
      <c r="C28" s="936">
        <v>0</v>
      </c>
      <c r="D28" s="932">
        <v>0</v>
      </c>
      <c r="E28" s="933"/>
      <c r="F28" s="934"/>
      <c r="G28" s="943"/>
      <c r="H28" s="944"/>
      <c r="I28" s="944"/>
      <c r="J28" s="945"/>
    </row>
    <row r="29" spans="1:10" ht="12.75">
      <c r="A29" s="930" t="s">
        <v>477</v>
      </c>
      <c r="B29" s="936">
        <v>0</v>
      </c>
      <c r="C29" s="936">
        <v>90255</v>
      </c>
      <c r="D29" s="932">
        <v>0</v>
      </c>
      <c r="E29" s="933"/>
      <c r="F29" s="934"/>
      <c r="G29" s="943"/>
      <c r="H29" s="944"/>
      <c r="I29" s="944"/>
      <c r="J29" s="945"/>
    </row>
    <row r="30" spans="1:10" ht="12.75">
      <c r="A30" s="930" t="s">
        <v>478</v>
      </c>
      <c r="B30" s="936">
        <v>137499850</v>
      </c>
      <c r="C30" s="936">
        <v>155366405</v>
      </c>
      <c r="D30" s="932">
        <f>(C30/B30)*100</f>
        <v>112.99387235695167</v>
      </c>
      <c r="E30" s="933"/>
      <c r="F30" s="934"/>
      <c r="G30" s="943"/>
      <c r="H30" s="944"/>
      <c r="I30" s="944"/>
      <c r="J30" s="945"/>
    </row>
    <row r="31" spans="1:10" ht="12.75">
      <c r="A31" s="930" t="s">
        <v>479</v>
      </c>
      <c r="B31" s="936">
        <v>0</v>
      </c>
      <c r="C31" s="936">
        <v>0</v>
      </c>
      <c r="D31" s="932">
        <v>0</v>
      </c>
      <c r="E31" s="933"/>
      <c r="F31" s="934"/>
      <c r="G31" s="943"/>
      <c r="H31" s="944"/>
      <c r="I31" s="944"/>
      <c r="J31" s="945"/>
    </row>
    <row r="32" spans="1:10" ht="12.75">
      <c r="A32" s="947"/>
      <c r="B32" s="942"/>
      <c r="C32" s="942"/>
      <c r="D32" s="932"/>
      <c r="E32" s="933"/>
      <c r="F32" s="934"/>
      <c r="G32" s="943"/>
      <c r="H32" s="944"/>
      <c r="I32" s="944"/>
      <c r="J32" s="945"/>
    </row>
    <row r="33" spans="1:10" ht="12.75">
      <c r="A33" s="947" t="s">
        <v>1000</v>
      </c>
      <c r="B33" s="942">
        <f>SUM(B34:B36)</f>
        <v>4914764</v>
      </c>
      <c r="C33" s="942">
        <f>SUM(C34:C36)</f>
        <v>45060243</v>
      </c>
      <c r="D33" s="1180">
        <f>(C33/B33)*100</f>
        <v>916.8343179855634</v>
      </c>
      <c r="E33" s="933"/>
      <c r="F33" s="934"/>
      <c r="G33" s="943"/>
      <c r="H33" s="944"/>
      <c r="I33" s="944"/>
      <c r="J33" s="949"/>
    </row>
    <row r="34" spans="1:10" ht="12.75">
      <c r="A34" s="930" t="s">
        <v>480</v>
      </c>
      <c r="B34" s="936">
        <v>4691120</v>
      </c>
      <c r="C34" s="936">
        <v>44573576</v>
      </c>
      <c r="D34" s="932">
        <f>(C34/B34)*100</f>
        <v>950.1691706884496</v>
      </c>
      <c r="E34" s="933"/>
      <c r="F34" s="934"/>
      <c r="G34" s="943"/>
      <c r="H34" s="944"/>
      <c r="I34" s="944"/>
      <c r="J34" s="949"/>
    </row>
    <row r="35" spans="1:10" ht="12.75">
      <c r="A35" s="930" t="s">
        <v>481</v>
      </c>
      <c r="B35" s="936">
        <v>0</v>
      </c>
      <c r="C35" s="936">
        <v>0</v>
      </c>
      <c r="D35" s="932">
        <v>0</v>
      </c>
      <c r="E35" s="933"/>
      <c r="F35" s="934"/>
      <c r="G35" s="943"/>
      <c r="H35" s="944"/>
      <c r="I35" s="944"/>
      <c r="J35" s="949"/>
    </row>
    <row r="36" spans="1:10" ht="12.75">
      <c r="A36" s="930" t="s">
        <v>482</v>
      </c>
      <c r="B36" s="936">
        <v>223644</v>
      </c>
      <c r="C36" s="936">
        <v>486667</v>
      </c>
      <c r="D36" s="932">
        <f>(C36/B36)*100</f>
        <v>217.6078946897748</v>
      </c>
      <c r="E36" s="933"/>
      <c r="F36" s="934"/>
      <c r="G36" s="943"/>
      <c r="H36" s="944"/>
      <c r="I36" s="944"/>
      <c r="J36" s="945"/>
    </row>
    <row r="37" spans="1:10" ht="12.75">
      <c r="A37" s="947"/>
      <c r="B37" s="942"/>
      <c r="C37" s="942"/>
      <c r="D37" s="932"/>
      <c r="E37" s="933"/>
      <c r="F37" s="934"/>
      <c r="G37" s="943"/>
      <c r="H37" s="944"/>
      <c r="I37" s="944"/>
      <c r="J37" s="945"/>
    </row>
    <row r="38" spans="1:10" ht="12.75">
      <c r="A38" s="950" t="s">
        <v>1001</v>
      </c>
      <c r="B38" s="942">
        <f>SUM(B39:B41)</f>
        <v>-216719</v>
      </c>
      <c r="C38" s="942">
        <f>SUM(C39:C41)</f>
        <v>-351680</v>
      </c>
      <c r="D38" s="1180">
        <f>(C38/B38)*100</f>
        <v>162.2746505843973</v>
      </c>
      <c r="E38" s="933"/>
      <c r="F38" s="934"/>
      <c r="G38" s="943"/>
      <c r="H38" s="944"/>
      <c r="I38" s="944"/>
      <c r="J38" s="945"/>
    </row>
    <row r="39" spans="1:10" ht="25.5">
      <c r="A39" s="951" t="s">
        <v>1002</v>
      </c>
      <c r="B39" s="936">
        <v>6025</v>
      </c>
      <c r="C39" s="936">
        <v>0</v>
      </c>
      <c r="D39" s="932">
        <f>(C39/B39)*100</f>
        <v>0</v>
      </c>
      <c r="E39" s="933"/>
      <c r="F39" s="934"/>
      <c r="G39" s="943"/>
      <c r="H39" s="944"/>
      <c r="I39" s="944"/>
      <c r="J39" s="945"/>
    </row>
    <row r="40" spans="1:10" ht="12.75">
      <c r="A40" s="951" t="s">
        <v>654</v>
      </c>
      <c r="B40" s="936">
        <v>-222744</v>
      </c>
      <c r="C40" s="936">
        <v>-351680</v>
      </c>
      <c r="D40" s="932">
        <f>(C40/B40)*100</f>
        <v>157.88528534999818</v>
      </c>
      <c r="E40" s="933"/>
      <c r="F40" s="934"/>
      <c r="G40" s="943"/>
      <c r="H40" s="944"/>
      <c r="I40" s="944"/>
      <c r="J40" s="945"/>
    </row>
    <row r="41" spans="1:10" ht="12.75">
      <c r="A41" s="930" t="s">
        <v>1003</v>
      </c>
      <c r="B41" s="936"/>
      <c r="C41" s="936"/>
      <c r="D41" s="932">
        <v>0</v>
      </c>
      <c r="E41" s="933"/>
      <c r="F41" s="934"/>
      <c r="G41" s="943"/>
      <c r="H41" s="944"/>
      <c r="I41" s="944"/>
      <c r="J41" s="945"/>
    </row>
    <row r="42" spans="1:10" ht="12.75">
      <c r="A42" s="950"/>
      <c r="B42" s="942"/>
      <c r="C42" s="942"/>
      <c r="D42" s="932"/>
      <c r="E42" s="933"/>
      <c r="F42" s="934"/>
      <c r="G42" s="943"/>
      <c r="H42" s="944"/>
      <c r="I42" s="944"/>
      <c r="J42" s="945"/>
    </row>
    <row r="43" spans="1:10" ht="13.5" thickBot="1">
      <c r="A43" s="952" t="s">
        <v>1004</v>
      </c>
      <c r="B43" s="953">
        <v>0</v>
      </c>
      <c r="C43" s="953">
        <v>0</v>
      </c>
      <c r="D43" s="932">
        <v>0</v>
      </c>
      <c r="E43" s="954"/>
      <c r="F43" s="955"/>
      <c r="G43" s="956"/>
      <c r="H43" s="957"/>
      <c r="I43" s="957"/>
      <c r="J43" s="958"/>
    </row>
    <row r="44" spans="1:10" ht="16.5" thickTop="1">
      <c r="A44" s="959" t="s">
        <v>1005</v>
      </c>
      <c r="B44" s="960">
        <v>945445148</v>
      </c>
      <c r="C44" s="960">
        <v>1032577861</v>
      </c>
      <c r="D44" s="961">
        <f>(C44/B44)*100</f>
        <v>109.21605163285474</v>
      </c>
      <c r="E44" s="962"/>
      <c r="F44" s="963"/>
      <c r="G44" s="964" t="s">
        <v>1006</v>
      </c>
      <c r="H44" s="960">
        <f>H24+H17+H9</f>
        <v>945445148</v>
      </c>
      <c r="I44" s="960">
        <f>I24+I17+I9</f>
        <v>1032577861</v>
      </c>
      <c r="J44" s="965">
        <f>(I44/H44)*100</f>
        <v>109.21605163285474</v>
      </c>
    </row>
    <row r="45" ht="12.75">
      <c r="D45" s="966"/>
    </row>
    <row r="46" spans="1:8" ht="12.75">
      <c r="A46" s="967" t="s">
        <v>1007</v>
      </c>
      <c r="B46" s="968" t="s">
        <v>221</v>
      </c>
      <c r="C46" s="968" t="s">
        <v>813</v>
      </c>
      <c r="D46" s="969" t="s">
        <v>1008</v>
      </c>
      <c r="G46" s="970" t="s">
        <v>1009</v>
      </c>
      <c r="H46" s="971"/>
    </row>
    <row r="47" spans="1:8" ht="12.75">
      <c r="A47" s="908"/>
      <c r="B47" s="972" t="s">
        <v>830</v>
      </c>
      <c r="C47" s="972" t="s">
        <v>1010</v>
      </c>
      <c r="D47" s="973" t="s">
        <v>830</v>
      </c>
      <c r="G47" s="970" t="s">
        <v>1011</v>
      </c>
      <c r="H47" s="971"/>
    </row>
    <row r="48" spans="1:8" ht="12.75">
      <c r="A48" s="908"/>
      <c r="B48" s="974"/>
      <c r="C48" s="974" t="s">
        <v>1012</v>
      </c>
      <c r="D48" s="975"/>
      <c r="G48" s="970" t="s">
        <v>1013</v>
      </c>
      <c r="H48" s="971"/>
    </row>
    <row r="49" spans="1:4" ht="12.75">
      <c r="A49" s="915"/>
      <c r="B49" s="976" t="s">
        <v>642</v>
      </c>
      <c r="C49" s="976"/>
      <c r="D49" s="977"/>
    </row>
    <row r="50" spans="1:8" ht="12.75">
      <c r="A50" s="978" t="s">
        <v>1014</v>
      </c>
      <c r="B50" s="1182">
        <f>SUM(B51:B54)</f>
        <v>24001770</v>
      </c>
      <c r="C50" s="1182">
        <v>4926293824</v>
      </c>
      <c r="D50" s="1183">
        <v>0</v>
      </c>
      <c r="G50" s="967" t="s">
        <v>49</v>
      </c>
      <c r="H50" s="969" t="s">
        <v>1015</v>
      </c>
    </row>
    <row r="51" spans="1:8" ht="12.75">
      <c r="A51" s="946" t="s">
        <v>1016</v>
      </c>
      <c r="B51" s="944">
        <v>1855997</v>
      </c>
      <c r="C51" s="944">
        <v>1855997</v>
      </c>
      <c r="D51" s="1184">
        <v>0</v>
      </c>
      <c r="G51" s="915"/>
      <c r="H51" s="979" t="s">
        <v>1017</v>
      </c>
    </row>
    <row r="52" spans="1:8" ht="12.75">
      <c r="A52" s="946" t="s">
        <v>1018</v>
      </c>
      <c r="B52" s="944">
        <v>0</v>
      </c>
      <c r="C52" s="944">
        <v>0</v>
      </c>
      <c r="D52" s="1184">
        <v>0</v>
      </c>
      <c r="G52" s="1185" t="s">
        <v>1019</v>
      </c>
      <c r="H52" s="1186">
        <f>18823158+15684+100000+240802137</f>
        <v>259740979</v>
      </c>
    </row>
    <row r="53" spans="1:8" ht="12.75">
      <c r="A53" s="946" t="s">
        <v>1020</v>
      </c>
      <c r="B53" s="944">
        <v>22145773</v>
      </c>
      <c r="C53" s="944">
        <v>22145773</v>
      </c>
      <c r="D53" s="1184">
        <v>0</v>
      </c>
      <c r="G53" s="946" t="s">
        <v>1021</v>
      </c>
      <c r="H53" s="949">
        <f>4683000+4194000+924000+71801930+8701008+324148327+363894+3893326+23800+21570758+6171000+391734750</f>
        <v>838209793</v>
      </c>
    </row>
    <row r="54" spans="1:8" ht="13.5" thickBot="1">
      <c r="A54" s="946" t="s">
        <v>1022</v>
      </c>
      <c r="B54" s="944">
        <v>0</v>
      </c>
      <c r="C54" s="944">
        <v>0</v>
      </c>
      <c r="D54" s="1184">
        <v>0</v>
      </c>
      <c r="G54" s="1187" t="s">
        <v>1023</v>
      </c>
      <c r="H54" s="1188">
        <f>4896160+3204500+4139782+11076235+15225405+368150+161600+1741992</f>
        <v>40813824</v>
      </c>
    </row>
    <row r="55" spans="1:8" ht="26.25" thickTop="1">
      <c r="A55" s="980" t="s">
        <v>1024</v>
      </c>
      <c r="B55" s="1189">
        <v>0</v>
      </c>
      <c r="C55" s="1189">
        <v>0</v>
      </c>
      <c r="D55" s="1183">
        <v>0</v>
      </c>
      <c r="G55" s="1190" t="s">
        <v>39</v>
      </c>
      <c r="H55" s="1191">
        <f>SUM(H52:H54)</f>
        <v>1138764596</v>
      </c>
    </row>
    <row r="56" spans="1:10" s="906" customFormat="1" ht="12.75">
      <c r="A56" s="950" t="s">
        <v>1025</v>
      </c>
      <c r="B56" s="1189">
        <v>0</v>
      </c>
      <c r="C56" s="1189">
        <v>0</v>
      </c>
      <c r="D56" s="1183">
        <v>0</v>
      </c>
      <c r="H56" s="907"/>
      <c r="I56" s="907"/>
      <c r="J56" s="966"/>
    </row>
    <row r="57" spans="1:10" s="906" customFormat="1" ht="12.75">
      <c r="A57" s="950" t="s">
        <v>1026</v>
      </c>
      <c r="B57" s="1189">
        <v>0</v>
      </c>
      <c r="C57" s="1189">
        <v>0</v>
      </c>
      <c r="D57" s="1183">
        <v>0</v>
      </c>
      <c r="H57" s="907"/>
      <c r="I57" s="907"/>
      <c r="J57" s="966"/>
    </row>
    <row r="58" spans="1:10" s="906" customFormat="1" ht="12.75">
      <c r="A58" s="981" t="s">
        <v>1027</v>
      </c>
      <c r="B58" s="982">
        <v>0</v>
      </c>
      <c r="C58" s="982">
        <v>0</v>
      </c>
      <c r="D58" s="983">
        <v>0</v>
      </c>
      <c r="H58" s="907"/>
      <c r="I58" s="907"/>
      <c r="J58" s="966"/>
    </row>
  </sheetData>
  <sheetProtection/>
  <mergeCells count="1">
    <mergeCell ref="B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D35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875" style="141" customWidth="1"/>
    <col min="2" max="2" width="55.875" style="1" customWidth="1"/>
    <col min="3" max="4" width="14.875" style="1" customWidth="1"/>
    <col min="5" max="16384" width="9.375" style="1" customWidth="1"/>
  </cols>
  <sheetData>
    <row r="1" ht="12.75">
      <c r="D1" s="284" t="s">
        <v>1146</v>
      </c>
    </row>
    <row r="3" spans="2:3" ht="12.75">
      <c r="B3" s="1486" t="s">
        <v>1112</v>
      </c>
      <c r="C3" s="1527"/>
    </row>
    <row r="4" spans="2:3" ht="12.75">
      <c r="B4" s="1527"/>
      <c r="C4" s="1527"/>
    </row>
    <row r="6" spans="1:4" s="18" customFormat="1" ht="15.75" thickBot="1">
      <c r="A6" s="103"/>
      <c r="D6" s="104" t="s">
        <v>644</v>
      </c>
    </row>
    <row r="7" spans="1:4" s="19" customFormat="1" ht="48" customHeight="1" thickBot="1">
      <c r="A7" s="122" t="s">
        <v>4</v>
      </c>
      <c r="B7" s="106" t="s">
        <v>5</v>
      </c>
      <c r="C7" s="106" t="s">
        <v>196</v>
      </c>
      <c r="D7" s="123" t="s">
        <v>197</v>
      </c>
    </row>
    <row r="8" spans="1:4" s="19" customFormat="1" ht="13.5" customHeight="1" thickBot="1">
      <c r="A8" s="124" t="s">
        <v>350</v>
      </c>
      <c r="B8" s="125" t="s">
        <v>351</v>
      </c>
      <c r="C8" s="125" t="s">
        <v>352</v>
      </c>
      <c r="D8" s="126" t="s">
        <v>353</v>
      </c>
    </row>
    <row r="9" spans="1:4" ht="18" customHeight="1">
      <c r="A9" s="127" t="s">
        <v>6</v>
      </c>
      <c r="B9" s="128" t="s">
        <v>198</v>
      </c>
      <c r="C9" s="129"/>
      <c r="D9" s="130"/>
    </row>
    <row r="10" spans="1:4" ht="18" customHeight="1">
      <c r="A10" s="131" t="s">
        <v>7</v>
      </c>
      <c r="B10" s="132" t="s">
        <v>199</v>
      </c>
      <c r="C10" s="133"/>
      <c r="D10" s="134"/>
    </row>
    <row r="11" spans="1:4" ht="18" customHeight="1">
      <c r="A11" s="131" t="s">
        <v>8</v>
      </c>
      <c r="B11" s="132" t="s">
        <v>200</v>
      </c>
      <c r="C11" s="133"/>
      <c r="D11" s="134"/>
    </row>
    <row r="12" spans="1:4" ht="18" customHeight="1">
      <c r="A12" s="131" t="s">
        <v>9</v>
      </c>
      <c r="B12" s="132" t="s">
        <v>201</v>
      </c>
      <c r="C12" s="133"/>
      <c r="D12" s="134"/>
    </row>
    <row r="13" spans="1:4" ht="18" customHeight="1">
      <c r="A13" s="135" t="s">
        <v>10</v>
      </c>
      <c r="B13" s="132" t="s">
        <v>202</v>
      </c>
      <c r="C13" s="133">
        <v>4194000</v>
      </c>
      <c r="D13" s="134">
        <v>467700</v>
      </c>
    </row>
    <row r="14" spans="1:4" ht="18" customHeight="1">
      <c r="A14" s="131" t="s">
        <v>11</v>
      </c>
      <c r="B14" s="132" t="s">
        <v>203</v>
      </c>
      <c r="C14" s="133"/>
      <c r="D14" s="134"/>
    </row>
    <row r="15" spans="1:4" ht="18" customHeight="1">
      <c r="A15" s="135" t="s">
        <v>12</v>
      </c>
      <c r="B15" s="136" t="s">
        <v>204</v>
      </c>
      <c r="C15" s="133"/>
      <c r="D15" s="134"/>
    </row>
    <row r="16" spans="1:4" ht="18" customHeight="1">
      <c r="A16" s="135" t="s">
        <v>13</v>
      </c>
      <c r="B16" s="136" t="s">
        <v>205</v>
      </c>
      <c r="C16" s="133"/>
      <c r="D16" s="134"/>
    </row>
    <row r="17" spans="1:4" ht="18" customHeight="1">
      <c r="A17" s="131" t="s">
        <v>14</v>
      </c>
      <c r="B17" s="136" t="s">
        <v>206</v>
      </c>
      <c r="C17" s="133">
        <v>4194000</v>
      </c>
      <c r="D17" s="134">
        <v>467700</v>
      </c>
    </row>
    <row r="18" spans="1:4" ht="18" customHeight="1">
      <c r="A18" s="135" t="s">
        <v>15</v>
      </c>
      <c r="B18" s="136" t="s">
        <v>207</v>
      </c>
      <c r="C18" s="133"/>
      <c r="D18" s="134"/>
    </row>
    <row r="19" spans="1:4" ht="22.5">
      <c r="A19" s="131" t="s">
        <v>16</v>
      </c>
      <c r="B19" s="136" t="s">
        <v>208</v>
      </c>
      <c r="C19" s="133"/>
      <c r="D19" s="134"/>
    </row>
    <row r="20" spans="1:4" ht="18" customHeight="1">
      <c r="A20" s="135" t="s">
        <v>17</v>
      </c>
      <c r="B20" s="132" t="s">
        <v>1124</v>
      </c>
      <c r="C20" s="133"/>
      <c r="D20" s="134">
        <v>2779200</v>
      </c>
    </row>
    <row r="21" spans="1:4" ht="18" customHeight="1">
      <c r="A21" s="131" t="s">
        <v>18</v>
      </c>
      <c r="B21" s="132" t="s">
        <v>209</v>
      </c>
      <c r="C21" s="133"/>
      <c r="D21" s="134">
        <v>155270</v>
      </c>
    </row>
    <row r="22" spans="1:4" ht="18" customHeight="1">
      <c r="A22" s="135" t="s">
        <v>19</v>
      </c>
      <c r="B22" s="132" t="s">
        <v>210</v>
      </c>
      <c r="C22" s="133"/>
      <c r="D22" s="134">
        <v>200000</v>
      </c>
    </row>
    <row r="23" spans="1:4" ht="18" customHeight="1">
      <c r="A23" s="131" t="s">
        <v>20</v>
      </c>
      <c r="B23" s="132" t="s">
        <v>211</v>
      </c>
      <c r="C23" s="133"/>
      <c r="D23" s="134"/>
    </row>
    <row r="24" spans="1:4" ht="18" customHeight="1">
      <c r="A24" s="135" t="s">
        <v>21</v>
      </c>
      <c r="B24" s="132" t="s">
        <v>212</v>
      </c>
      <c r="C24" s="133"/>
      <c r="D24" s="134"/>
    </row>
    <row r="25" spans="1:4" ht="18" customHeight="1">
      <c r="A25" s="131" t="s">
        <v>22</v>
      </c>
      <c r="B25" s="132" t="s">
        <v>213</v>
      </c>
      <c r="C25" s="133"/>
      <c r="D25" s="134"/>
    </row>
    <row r="26" spans="1:4" ht="18" customHeight="1">
      <c r="A26" s="135" t="s">
        <v>23</v>
      </c>
      <c r="B26" s="110"/>
      <c r="C26" s="133"/>
      <c r="D26" s="134"/>
    </row>
    <row r="27" spans="1:4" ht="18" customHeight="1">
      <c r="A27" s="131" t="s">
        <v>24</v>
      </c>
      <c r="B27" s="110"/>
      <c r="C27" s="133"/>
      <c r="D27" s="134"/>
    </row>
    <row r="28" spans="1:4" ht="18" customHeight="1">
      <c r="A28" s="135" t="s">
        <v>25</v>
      </c>
      <c r="B28" s="110"/>
      <c r="C28" s="133"/>
      <c r="D28" s="134"/>
    </row>
    <row r="29" spans="1:4" ht="18" customHeight="1">
      <c r="A29" s="131" t="s">
        <v>26</v>
      </c>
      <c r="B29" s="110"/>
      <c r="C29" s="133"/>
      <c r="D29" s="134"/>
    </row>
    <row r="30" spans="1:4" ht="18" customHeight="1">
      <c r="A30" s="135" t="s">
        <v>27</v>
      </c>
      <c r="B30" s="110"/>
      <c r="C30" s="133"/>
      <c r="D30" s="134"/>
    </row>
    <row r="31" spans="1:4" ht="18" customHeight="1">
      <c r="A31" s="131" t="s">
        <v>28</v>
      </c>
      <c r="B31" s="110"/>
      <c r="C31" s="133"/>
      <c r="D31" s="134"/>
    </row>
    <row r="32" spans="1:4" ht="18" customHeight="1">
      <c r="A32" s="135" t="s">
        <v>29</v>
      </c>
      <c r="B32" s="110"/>
      <c r="C32" s="133"/>
      <c r="D32" s="134"/>
    </row>
    <row r="33" spans="1:4" ht="18" customHeight="1" thickBot="1">
      <c r="A33" s="137" t="s">
        <v>30</v>
      </c>
      <c r="B33" s="116"/>
      <c r="C33" s="138"/>
      <c r="D33" s="139"/>
    </row>
    <row r="34" spans="1:4" ht="18" customHeight="1" thickBot="1">
      <c r="A34" s="158" t="s">
        <v>31</v>
      </c>
      <c r="B34" s="159" t="s">
        <v>39</v>
      </c>
      <c r="C34" s="160">
        <f>+C9+C10+C11+C12+C13+C20+C21+C22+C23+C24+C25+C26+C27+C28+C29+C30+C31+C32+C33</f>
        <v>4194000</v>
      </c>
      <c r="D34" s="161">
        <f>+D9+D10+D11+D12+D13+D20+D21+D22+D23+D24+D25+D26+D27+D28+D29+D30+D31+D32+D33</f>
        <v>3602170</v>
      </c>
    </row>
    <row r="35" spans="1:4" ht="25.5" customHeight="1">
      <c r="A35" s="140"/>
      <c r="B35" s="1526" t="s">
        <v>214</v>
      </c>
      <c r="C35" s="1526"/>
      <c r="D35" s="1526"/>
    </row>
  </sheetData>
  <sheetProtection/>
  <mergeCells count="2">
    <mergeCell ref="B35:D35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1" width="9.375" style="162" customWidth="1"/>
    <col min="2" max="2" width="58.375" style="162" customWidth="1"/>
    <col min="3" max="5" width="25.00390625" style="162" customWidth="1"/>
    <col min="6" max="6" width="5.50390625" style="162" customWidth="1"/>
    <col min="7" max="16384" width="9.375" style="162" customWidth="1"/>
  </cols>
  <sheetData>
    <row r="1" spans="1:6" ht="12.75">
      <c r="A1" s="163"/>
      <c r="F1" s="1528" t="s">
        <v>1147</v>
      </c>
    </row>
    <row r="2" spans="1:6" ht="33" customHeight="1">
      <c r="A2" s="1529" t="s">
        <v>1099</v>
      </c>
      <c r="B2" s="1529"/>
      <c r="C2" s="1529"/>
      <c r="D2" s="1529"/>
      <c r="E2" s="1529"/>
      <c r="F2" s="1528"/>
    </row>
    <row r="3" spans="1:6" ht="16.5" thickBot="1">
      <c r="A3" s="164"/>
      <c r="F3" s="1528"/>
    </row>
    <row r="4" spans="1:6" ht="79.5" thickBot="1">
      <c r="A4" s="165" t="s">
        <v>220</v>
      </c>
      <c r="B4" s="166" t="s">
        <v>231</v>
      </c>
      <c r="C4" s="166" t="s">
        <v>232</v>
      </c>
      <c r="D4" s="166" t="s">
        <v>233</v>
      </c>
      <c r="E4" s="167" t="s">
        <v>234</v>
      </c>
      <c r="F4" s="1528"/>
    </row>
    <row r="5" spans="1:6" ht="15.75">
      <c r="A5" s="168" t="s">
        <v>6</v>
      </c>
      <c r="B5" s="172" t="s">
        <v>636</v>
      </c>
      <c r="C5" s="175">
        <v>0.19</v>
      </c>
      <c r="D5" s="178">
        <v>3900000</v>
      </c>
      <c r="E5" s="182">
        <v>0</v>
      </c>
      <c r="F5" s="1528"/>
    </row>
    <row r="6" spans="1:6" ht="15.75">
      <c r="A6" s="169" t="s">
        <v>7</v>
      </c>
      <c r="B6" s="173" t="s">
        <v>637</v>
      </c>
      <c r="C6" s="176"/>
      <c r="D6" s="179">
        <v>1130000</v>
      </c>
      <c r="E6" s="183">
        <v>0</v>
      </c>
      <c r="F6" s="1528"/>
    </row>
    <row r="7" spans="1:6" ht="15.75">
      <c r="A7" s="169" t="s">
        <v>8</v>
      </c>
      <c r="B7" s="173" t="s">
        <v>638</v>
      </c>
      <c r="C7" s="176"/>
      <c r="D7" s="179">
        <v>100000</v>
      </c>
      <c r="E7" s="183">
        <v>0</v>
      </c>
      <c r="F7" s="1528"/>
    </row>
    <row r="8" spans="1:6" ht="15.75">
      <c r="A8" s="169" t="s">
        <v>9</v>
      </c>
      <c r="B8" s="173"/>
      <c r="C8" s="176"/>
      <c r="D8" s="179"/>
      <c r="E8" s="183"/>
      <c r="F8" s="1528"/>
    </row>
    <row r="9" spans="1:6" ht="15.75">
      <c r="A9" s="169" t="s">
        <v>10</v>
      </c>
      <c r="B9" s="173"/>
      <c r="C9" s="176"/>
      <c r="D9" s="179"/>
      <c r="E9" s="183"/>
      <c r="F9" s="1528"/>
    </row>
    <row r="10" spans="1:6" ht="15.75">
      <c r="A10" s="169" t="s">
        <v>11</v>
      </c>
      <c r="B10" s="173"/>
      <c r="C10" s="176"/>
      <c r="D10" s="179"/>
      <c r="E10" s="183"/>
      <c r="F10" s="1528"/>
    </row>
    <row r="11" spans="1:6" ht="15.75">
      <c r="A11" s="169" t="s">
        <v>12</v>
      </c>
      <c r="B11" s="173"/>
      <c r="C11" s="176"/>
      <c r="D11" s="179"/>
      <c r="E11" s="183"/>
      <c r="F11" s="1528"/>
    </row>
    <row r="12" spans="1:6" ht="15.75">
      <c r="A12" s="169" t="s">
        <v>13</v>
      </c>
      <c r="B12" s="173"/>
      <c r="C12" s="176"/>
      <c r="D12" s="179"/>
      <c r="E12" s="183"/>
      <c r="F12" s="1528"/>
    </row>
    <row r="13" spans="1:6" ht="15.75">
      <c r="A13" s="169" t="s">
        <v>14</v>
      </c>
      <c r="B13" s="173"/>
      <c r="C13" s="176"/>
      <c r="D13" s="179"/>
      <c r="E13" s="183"/>
      <c r="F13" s="1528"/>
    </row>
    <row r="14" spans="1:6" ht="15.75">
      <c r="A14" s="169" t="s">
        <v>15</v>
      </c>
      <c r="B14" s="173"/>
      <c r="C14" s="176"/>
      <c r="D14" s="179"/>
      <c r="E14" s="183"/>
      <c r="F14" s="1528"/>
    </row>
    <row r="15" spans="1:6" ht="15.75">
      <c r="A15" s="169" t="s">
        <v>16</v>
      </c>
      <c r="B15" s="173"/>
      <c r="C15" s="176"/>
      <c r="D15" s="179"/>
      <c r="E15" s="183"/>
      <c r="F15" s="1528"/>
    </row>
    <row r="16" spans="1:6" ht="15.75">
      <c r="A16" s="169" t="s">
        <v>17</v>
      </c>
      <c r="B16" s="173"/>
      <c r="C16" s="176"/>
      <c r="D16" s="179"/>
      <c r="E16" s="183"/>
      <c r="F16" s="1528"/>
    </row>
    <row r="17" spans="1:6" ht="15.75">
      <c r="A17" s="169" t="s">
        <v>18</v>
      </c>
      <c r="B17" s="173"/>
      <c r="C17" s="176"/>
      <c r="D17" s="179"/>
      <c r="E17" s="183"/>
      <c r="F17" s="1528"/>
    </row>
    <row r="18" spans="1:6" ht="15.75">
      <c r="A18" s="169" t="s">
        <v>19</v>
      </c>
      <c r="B18" s="173"/>
      <c r="C18" s="176"/>
      <c r="D18" s="179"/>
      <c r="E18" s="183"/>
      <c r="F18" s="1528"/>
    </row>
    <row r="19" spans="1:6" ht="15.75">
      <c r="A19" s="169" t="s">
        <v>20</v>
      </c>
      <c r="B19" s="173"/>
      <c r="C19" s="176"/>
      <c r="D19" s="179"/>
      <c r="E19" s="183"/>
      <c r="F19" s="1528"/>
    </row>
    <row r="20" spans="1:6" ht="15.75">
      <c r="A20" s="169" t="s">
        <v>21</v>
      </c>
      <c r="B20" s="173"/>
      <c r="C20" s="176"/>
      <c r="D20" s="179"/>
      <c r="E20" s="183"/>
      <c r="F20" s="1528"/>
    </row>
    <row r="21" spans="1:6" ht="16.5" thickBot="1">
      <c r="A21" s="170" t="s">
        <v>22</v>
      </c>
      <c r="B21" s="174"/>
      <c r="C21" s="177"/>
      <c r="D21" s="180"/>
      <c r="E21" s="184"/>
      <c r="F21" s="1528"/>
    </row>
    <row r="22" spans="1:6" ht="16.5" thickBot="1">
      <c r="A22" s="1530" t="s">
        <v>235</v>
      </c>
      <c r="B22" s="1531"/>
      <c r="C22" s="171"/>
      <c r="D22" s="181">
        <f>IF(SUM(D5:D21)=0,"",SUM(D5:D21))</f>
        <v>5130000</v>
      </c>
      <c r="E22" s="185">
        <f>IF(SUM(E5:E21)=0,"",SUM(E5:E21))</f>
      </c>
      <c r="F22" s="1528"/>
    </row>
    <row r="23" ht="15.75">
      <c r="A23" s="164"/>
    </row>
  </sheetData>
  <sheetProtection/>
  <mergeCells count="3">
    <mergeCell ref="F1:F22"/>
    <mergeCell ref="A2:E2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29.125" style="0" customWidth="1"/>
    <col min="2" max="2" width="22.875" style="0" customWidth="1"/>
    <col min="3" max="3" width="24.00390625" style="0" customWidth="1"/>
    <col min="4" max="4" width="21.50390625" style="0" customWidth="1"/>
  </cols>
  <sheetData>
    <row r="1" ht="12.75">
      <c r="D1" s="1192" t="s">
        <v>1148</v>
      </c>
    </row>
    <row r="3" spans="2:3" ht="12.75">
      <c r="B3" s="1390" t="s">
        <v>1113</v>
      </c>
      <c r="C3" s="1390"/>
    </row>
    <row r="4" spans="2:3" ht="12.75">
      <c r="B4" s="1390"/>
      <c r="C4" s="1390"/>
    </row>
    <row r="6" spans="1:4" ht="15.75">
      <c r="A6" s="984"/>
      <c r="B6" s="984"/>
      <c r="C6" s="984"/>
      <c r="D6" s="985" t="s">
        <v>1114</v>
      </c>
    </row>
    <row r="7" spans="1:4" ht="53.25" customHeight="1">
      <c r="A7" s="986" t="s">
        <v>49</v>
      </c>
      <c r="B7" s="987" t="s">
        <v>1028</v>
      </c>
      <c r="C7" s="987" t="s">
        <v>1029</v>
      </c>
      <c r="D7" s="986" t="s">
        <v>1030</v>
      </c>
    </row>
    <row r="8" spans="1:4" ht="36" customHeight="1">
      <c r="A8" s="988" t="s">
        <v>1031</v>
      </c>
      <c r="B8" s="989">
        <v>0</v>
      </c>
      <c r="C8" s="989">
        <v>0</v>
      </c>
      <c r="D8" s="989">
        <f>C8-B8</f>
        <v>0</v>
      </c>
    </row>
    <row r="9" spans="1:4" ht="36.75" customHeight="1">
      <c r="A9" s="988" t="s">
        <v>1032</v>
      </c>
      <c r="B9" s="989"/>
      <c r="C9" s="989">
        <f>73690+90255</f>
        <v>163945</v>
      </c>
      <c r="D9" s="989">
        <f>C9-B9</f>
        <v>163945</v>
      </c>
    </row>
    <row r="10" spans="1:4" ht="32.25" customHeight="1">
      <c r="A10" s="988" t="s">
        <v>1033</v>
      </c>
      <c r="B10" s="989">
        <f>876251+718905+137499850</f>
        <v>139095006</v>
      </c>
      <c r="C10" s="989">
        <f>155366405+959995+179667</f>
        <v>156506067</v>
      </c>
      <c r="D10" s="989">
        <f>C10-B10</f>
        <v>17411061</v>
      </c>
    </row>
    <row r="11" spans="1:4" ht="38.25" customHeight="1">
      <c r="A11" s="988" t="s">
        <v>1034</v>
      </c>
      <c r="B11" s="989">
        <v>0</v>
      </c>
      <c r="C11" s="989">
        <v>0</v>
      </c>
      <c r="D11" s="989">
        <f>C11-B11</f>
        <v>0</v>
      </c>
    </row>
    <row r="12" spans="1:4" ht="36" customHeight="1">
      <c r="A12" s="990" t="s">
        <v>1035</v>
      </c>
      <c r="B12" s="991">
        <f>SUM(B9:B11)</f>
        <v>139095006</v>
      </c>
      <c r="C12" s="991">
        <f>SUM(C9:C11)</f>
        <v>156670012</v>
      </c>
      <c r="D12" s="991">
        <f>SUM(D9:D11)</f>
        <v>17575006</v>
      </c>
    </row>
  </sheetData>
  <sheetProtection/>
  <mergeCells count="1"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R31"/>
  <sheetViews>
    <sheetView tabSelected="1" zoomScalePageLayoutView="0" workbookViewId="0" topLeftCell="A1">
      <selection activeCell="V13" sqref="V13"/>
    </sheetView>
  </sheetViews>
  <sheetFormatPr defaultColWidth="9.00390625" defaultRowHeight="12.75"/>
  <cols>
    <col min="1" max="1" width="4.875" style="341" customWidth="1"/>
    <col min="2" max="2" width="36.625" style="340" customWidth="1"/>
    <col min="3" max="3" width="7.50390625" style="340" customWidth="1"/>
    <col min="4" max="4" width="12.50390625" style="340" customWidth="1"/>
    <col min="5" max="5" width="12.625" style="340" customWidth="1"/>
    <col min="6" max="7" width="11.00390625" style="340" customWidth="1"/>
    <col min="8" max="8" width="11.50390625" style="340" customWidth="1"/>
    <col min="9" max="9" width="12.875" style="340" customWidth="1"/>
    <col min="10" max="10" width="12.00390625" style="340" customWidth="1"/>
    <col min="11" max="11" width="11.125" style="340" customWidth="1"/>
    <col min="12" max="12" width="11.00390625" style="340" customWidth="1"/>
    <col min="13" max="13" width="12.125" style="340" customWidth="1"/>
    <col min="14" max="14" width="11.125" style="340" customWidth="1"/>
    <col min="15" max="15" width="12.875" style="340" customWidth="1"/>
    <col min="16" max="16" width="12.625" style="341" customWidth="1"/>
    <col min="17" max="17" width="9.875" style="380" hidden="1" customWidth="1"/>
    <col min="18" max="18" width="11.875" style="340" hidden="1" customWidth="1"/>
    <col min="19" max="16384" width="9.375" style="340" customWidth="1"/>
  </cols>
  <sheetData>
    <row r="1" ht="15.75">
      <c r="P1" s="1192" t="s">
        <v>1149</v>
      </c>
    </row>
    <row r="3" spans="1:16" ht="31.5" customHeight="1">
      <c r="A3" s="1532" t="s">
        <v>1100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</row>
    <row r="4" ht="18.75" customHeight="1" thickBot="1">
      <c r="P4" s="342" t="s">
        <v>644</v>
      </c>
    </row>
    <row r="5" spans="1:17" s="341" customFormat="1" ht="30.75" customHeight="1" thickBot="1">
      <c r="A5" s="343" t="s">
        <v>4</v>
      </c>
      <c r="B5" s="344" t="s">
        <v>49</v>
      </c>
      <c r="C5" s="344"/>
      <c r="D5" s="344" t="s">
        <v>597</v>
      </c>
      <c r="E5" s="344" t="s">
        <v>598</v>
      </c>
      <c r="F5" s="344" t="s">
        <v>599</v>
      </c>
      <c r="G5" s="344" t="s">
        <v>600</v>
      </c>
      <c r="H5" s="344" t="s">
        <v>601</v>
      </c>
      <c r="I5" s="344" t="s">
        <v>602</v>
      </c>
      <c r="J5" s="344" t="s">
        <v>603</v>
      </c>
      <c r="K5" s="344" t="s">
        <v>604</v>
      </c>
      <c r="L5" s="344" t="s">
        <v>605</v>
      </c>
      <c r="M5" s="344" t="s">
        <v>606</v>
      </c>
      <c r="N5" s="344" t="s">
        <v>607</v>
      </c>
      <c r="O5" s="344" t="s">
        <v>608</v>
      </c>
      <c r="P5" s="345" t="s">
        <v>39</v>
      </c>
      <c r="Q5" s="385" t="s">
        <v>647</v>
      </c>
    </row>
    <row r="6" spans="1:18" s="347" customFormat="1" ht="15" customHeight="1" thickBot="1">
      <c r="A6" s="346" t="s">
        <v>6</v>
      </c>
      <c r="B6" s="1534" t="s">
        <v>42</v>
      </c>
      <c r="C6" s="1535"/>
      <c r="D6" s="1535"/>
      <c r="E6" s="1535"/>
      <c r="F6" s="1535"/>
      <c r="G6" s="1535"/>
      <c r="H6" s="1535"/>
      <c r="I6" s="1535"/>
      <c r="J6" s="1535"/>
      <c r="K6" s="1535"/>
      <c r="L6" s="1535"/>
      <c r="M6" s="1535"/>
      <c r="N6" s="1535"/>
      <c r="O6" s="1535"/>
      <c r="P6" s="1536"/>
      <c r="Q6" s="386"/>
      <c r="R6" s="387" t="s">
        <v>648</v>
      </c>
    </row>
    <row r="7" spans="1:17" s="347" customFormat="1" ht="15" customHeight="1">
      <c r="A7" s="348" t="s">
        <v>7</v>
      </c>
      <c r="B7" s="349" t="s">
        <v>609</v>
      </c>
      <c r="C7" s="349"/>
      <c r="D7" s="381">
        <v>139095006</v>
      </c>
      <c r="E7" s="382">
        <f>+D29</f>
        <v>142503239</v>
      </c>
      <c r="F7" s="382">
        <f>+E29</f>
        <v>151506795</v>
      </c>
      <c r="G7" s="382">
        <f aca="true" t="shared" si="0" ref="G7:O7">+F29</f>
        <v>170136885</v>
      </c>
      <c r="H7" s="382">
        <f t="shared" si="0"/>
        <v>172129613</v>
      </c>
      <c r="I7" s="382">
        <f t="shared" si="0"/>
        <v>170100409</v>
      </c>
      <c r="J7" s="382">
        <f t="shared" si="0"/>
        <v>152223394</v>
      </c>
      <c r="K7" s="382">
        <f t="shared" si="0"/>
        <v>145135360</v>
      </c>
      <c r="L7" s="382">
        <f t="shared" si="0"/>
        <v>115442557</v>
      </c>
      <c r="M7" s="382">
        <f t="shared" si="0"/>
        <v>154876402</v>
      </c>
      <c r="N7" s="382">
        <f t="shared" si="0"/>
        <v>149261023</v>
      </c>
      <c r="O7" s="382">
        <f t="shared" si="0"/>
        <v>158204400</v>
      </c>
      <c r="P7" s="351" t="s">
        <v>610</v>
      </c>
      <c r="Q7" s="386"/>
    </row>
    <row r="8" spans="1:18" s="347" customFormat="1" ht="15.75">
      <c r="A8" s="352" t="s">
        <v>8</v>
      </c>
      <c r="B8" s="353" t="s">
        <v>407</v>
      </c>
      <c r="C8" s="353" t="s">
        <v>611</v>
      </c>
      <c r="D8" s="350">
        <f>6583928+4177056+5394899+394316</f>
        <v>16550199</v>
      </c>
      <c r="E8" s="350">
        <f>4342193+3132792+3603620+283259+147626</f>
        <v>11509490</v>
      </c>
      <c r="F8" s="350">
        <f>4342193+3132792+3603621+283259+294522</f>
        <v>11656387</v>
      </c>
      <c r="G8" s="350">
        <f>4342193+3132792+3603619+283259+337326</f>
        <v>11699189</v>
      </c>
      <c r="H8" s="350">
        <f>4342193+3132792+3603619+277284+70625</f>
        <v>11426513</v>
      </c>
      <c r="I8" s="350">
        <f>4342193+3132792+3603618+276794+70625</f>
        <v>11426022</v>
      </c>
      <c r="J8" s="350">
        <f>4342193+3132792+3590389+283260+70624+251760</f>
        <v>11671018</v>
      </c>
      <c r="K8" s="350">
        <f>4342193+3132792+1588995+283260+68713</f>
        <v>9415953</v>
      </c>
      <c r="L8" s="350">
        <f>4342193+3088792+3365048+283259+50189</f>
        <v>11129481</v>
      </c>
      <c r="M8" s="350">
        <f>4342193+3088792+3365050+283259+50189</f>
        <v>11129483</v>
      </c>
      <c r="N8" s="350">
        <f>4342193+3088792+3365050+283259+50191</f>
        <v>11129485</v>
      </c>
      <c r="O8" s="350">
        <f>4342198+4376124+5169221+283255+2699689</f>
        <v>16870487</v>
      </c>
      <c r="P8" s="355">
        <f aca="true" t="shared" si="1" ref="P8:P16">SUM(D8:O8)</f>
        <v>145613707</v>
      </c>
      <c r="Q8" s="386">
        <v>135649</v>
      </c>
      <c r="R8" s="388">
        <f>P8-Q8</f>
        <v>145478058</v>
      </c>
    </row>
    <row r="9" spans="1:18" s="356" customFormat="1" ht="22.5">
      <c r="A9" s="352" t="s">
        <v>9</v>
      </c>
      <c r="B9" s="353" t="s">
        <v>612</v>
      </c>
      <c r="C9" s="353" t="s">
        <v>613</v>
      </c>
      <c r="D9" s="354">
        <f>75922+842195</f>
        <v>918117</v>
      </c>
      <c r="E9" s="354">
        <f>262400+380410+478871+120000</f>
        <v>1241681</v>
      </c>
      <c r="F9" s="354">
        <f>1151717+88897+986691</f>
        <v>2227305</v>
      </c>
      <c r="G9" s="354">
        <f>275253+391532+660791</f>
        <v>1327576</v>
      </c>
      <c r="H9" s="354">
        <f>348900+664712+11765460</f>
        <v>12779072</v>
      </c>
      <c r="I9" s="354">
        <f>15125+330260+567552</f>
        <v>912937</v>
      </c>
      <c r="J9" s="354">
        <f>23165+1020865</f>
        <v>1044030</v>
      </c>
      <c r="K9" s="354">
        <f>514472+470479</f>
        <v>984951</v>
      </c>
      <c r="L9" s="354">
        <f>3361020+445930+897579</f>
        <v>4704529</v>
      </c>
      <c r="M9" s="354">
        <f>442700+1213969</f>
        <v>1656669</v>
      </c>
      <c r="N9" s="354">
        <f>306230+421731+923900</f>
        <v>1651861</v>
      </c>
      <c r="O9" s="354">
        <f>500000+348900+681560</f>
        <v>1530460</v>
      </c>
      <c r="P9" s="355">
        <f t="shared" si="1"/>
        <v>30979188</v>
      </c>
      <c r="Q9" s="389">
        <v>31597</v>
      </c>
      <c r="R9" s="388">
        <f aca="true" t="shared" si="2" ref="R9:R27">P9-Q9</f>
        <v>30947591</v>
      </c>
    </row>
    <row r="10" spans="1:18" s="356" customFormat="1" ht="22.5">
      <c r="A10" s="352" t="s">
        <v>10</v>
      </c>
      <c r="B10" s="357" t="s">
        <v>614</v>
      </c>
      <c r="C10" s="357" t="s">
        <v>615</v>
      </c>
      <c r="D10" s="358"/>
      <c r="E10" s="358">
        <f>12612619</f>
        <v>12612619</v>
      </c>
      <c r="F10" s="358"/>
      <c r="G10" s="358">
        <v>9800000</v>
      </c>
      <c r="H10" s="358"/>
      <c r="I10" s="358"/>
      <c r="J10" s="358"/>
      <c r="K10" s="358"/>
      <c r="L10" s="358">
        <v>18460107</v>
      </c>
      <c r="M10" s="358"/>
      <c r="N10" s="358">
        <v>21998918</v>
      </c>
      <c r="O10" s="358"/>
      <c r="P10" s="359">
        <f t="shared" si="1"/>
        <v>62871644</v>
      </c>
      <c r="Q10" s="389">
        <v>69695</v>
      </c>
      <c r="R10" s="388">
        <f t="shared" si="2"/>
        <v>62801949</v>
      </c>
    </row>
    <row r="11" spans="1:18" s="356" customFormat="1" ht="13.5" customHeight="1">
      <c r="A11" s="352" t="s">
        <v>11</v>
      </c>
      <c r="B11" s="360" t="s">
        <v>106</v>
      </c>
      <c r="C11" s="360" t="s">
        <v>616</v>
      </c>
      <c r="D11" s="354">
        <v>1080356</v>
      </c>
      <c r="E11" s="354">
        <v>1360258</v>
      </c>
      <c r="F11" s="354">
        <v>29069314</v>
      </c>
      <c r="G11" s="354">
        <v>2469085</v>
      </c>
      <c r="H11" s="354">
        <v>3245777</v>
      </c>
      <c r="I11" s="354">
        <v>2808730</v>
      </c>
      <c r="J11" s="354">
        <v>398064</v>
      </c>
      <c r="K11" s="354">
        <v>1183977</v>
      </c>
      <c r="L11" s="354">
        <v>39762309</v>
      </c>
      <c r="M11" s="354">
        <v>4207633</v>
      </c>
      <c r="N11" s="358">
        <v>2129661</v>
      </c>
      <c r="O11" s="354">
        <v>4965666</v>
      </c>
      <c r="P11" s="355">
        <f t="shared" si="1"/>
        <v>92680830</v>
      </c>
      <c r="Q11" s="389">
        <v>78645</v>
      </c>
      <c r="R11" s="388">
        <f t="shared" si="2"/>
        <v>92602185</v>
      </c>
    </row>
    <row r="12" spans="1:18" s="356" customFormat="1" ht="13.5" customHeight="1">
      <c r="A12" s="352" t="s">
        <v>12</v>
      </c>
      <c r="B12" s="360" t="s">
        <v>617</v>
      </c>
      <c r="C12" s="360" t="s">
        <v>618</v>
      </c>
      <c r="D12" s="354">
        <f>905145+2753214</f>
        <v>3658359</v>
      </c>
      <c r="E12" s="354">
        <f>1127410+390654</f>
        <v>1518064</v>
      </c>
      <c r="F12" s="354">
        <f>930605+1123134+496</f>
        <v>2054235</v>
      </c>
      <c r="G12" s="354">
        <f>1457301+818359</f>
        <v>2275660</v>
      </c>
      <c r="H12" s="354">
        <f>1189141+1062518</f>
        <v>2251659</v>
      </c>
      <c r="I12" s="354">
        <f>1295460+2145480+29</f>
        <v>3440969</v>
      </c>
      <c r="J12" s="354">
        <f>814979+438812</f>
        <v>1253791</v>
      </c>
      <c r="K12" s="354">
        <f>785043+6643645</f>
        <v>7428688</v>
      </c>
      <c r="L12" s="354">
        <f>1084580+1599703+33</f>
        <v>2684316</v>
      </c>
      <c r="M12" s="354">
        <f>1431603+581640</f>
        <v>2013243</v>
      </c>
      <c r="N12" s="354">
        <f>1254872+2244414</f>
        <v>3499286</v>
      </c>
      <c r="O12" s="354">
        <f>4188633+4004212+21</f>
        <v>8192866</v>
      </c>
      <c r="P12" s="355">
        <f t="shared" si="1"/>
        <v>40271136</v>
      </c>
      <c r="Q12" s="389">
        <v>45136</v>
      </c>
      <c r="R12" s="388">
        <f t="shared" si="2"/>
        <v>40226000</v>
      </c>
    </row>
    <row r="13" spans="1:18" s="356" customFormat="1" ht="13.5" customHeight="1">
      <c r="A13" s="352" t="s">
        <v>13</v>
      </c>
      <c r="B13" s="360" t="s">
        <v>424</v>
      </c>
      <c r="C13" s="360" t="s">
        <v>619</v>
      </c>
      <c r="D13" s="354">
        <v>50000</v>
      </c>
      <c r="E13" s="354">
        <v>50000</v>
      </c>
      <c r="F13" s="354">
        <v>50000</v>
      </c>
      <c r="G13" s="354">
        <v>202000</v>
      </c>
      <c r="H13" s="354">
        <v>50000</v>
      </c>
      <c r="I13" s="354">
        <v>50000</v>
      </c>
      <c r="J13" s="354">
        <v>50000</v>
      </c>
      <c r="K13" s="354">
        <v>50000</v>
      </c>
      <c r="L13" s="354">
        <v>50000</v>
      </c>
      <c r="M13" s="354">
        <v>50000</v>
      </c>
      <c r="N13" s="354">
        <v>50000</v>
      </c>
      <c r="O13" s="354"/>
      <c r="P13" s="355">
        <f t="shared" si="1"/>
        <v>702000</v>
      </c>
      <c r="Q13" s="389">
        <v>920</v>
      </c>
      <c r="R13" s="388">
        <f t="shared" si="2"/>
        <v>701080</v>
      </c>
    </row>
    <row r="14" spans="1:18" s="356" customFormat="1" ht="13.5" customHeight="1">
      <c r="A14" s="352" t="s">
        <v>14</v>
      </c>
      <c r="B14" s="360" t="s">
        <v>410</v>
      </c>
      <c r="C14" s="360" t="s">
        <v>620</v>
      </c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>
        <v>455000</v>
      </c>
      <c r="O14" s="354"/>
      <c r="P14" s="355">
        <f t="shared" si="1"/>
        <v>455000</v>
      </c>
      <c r="Q14" s="389">
        <v>290</v>
      </c>
      <c r="R14" s="388">
        <f t="shared" si="2"/>
        <v>454710</v>
      </c>
    </row>
    <row r="15" spans="1:18" s="356" customFormat="1" ht="15.75">
      <c r="A15" s="352" t="s">
        <v>15</v>
      </c>
      <c r="B15" s="353" t="s">
        <v>459</v>
      </c>
      <c r="C15" s="353" t="s">
        <v>621</v>
      </c>
      <c r="D15" s="354"/>
      <c r="E15" s="354"/>
      <c r="F15" s="354"/>
      <c r="G15" s="354"/>
      <c r="H15" s="354">
        <v>80000</v>
      </c>
      <c r="I15" s="354"/>
      <c r="J15" s="354"/>
      <c r="K15" s="354"/>
      <c r="L15" s="354"/>
      <c r="M15" s="354"/>
      <c r="N15" s="354"/>
      <c r="O15" s="354"/>
      <c r="P15" s="355">
        <f t="shared" si="1"/>
        <v>80000</v>
      </c>
      <c r="Q15" s="389"/>
      <c r="R15" s="388">
        <f t="shared" si="2"/>
        <v>80000</v>
      </c>
    </row>
    <row r="16" spans="1:18" s="356" customFormat="1" ht="13.5" customHeight="1" thickBot="1">
      <c r="A16" s="361" t="s">
        <v>16</v>
      </c>
      <c r="B16" s="360" t="s">
        <v>622</v>
      </c>
      <c r="C16" s="360" t="s">
        <v>623</v>
      </c>
      <c r="D16" s="354">
        <f>8658882+718905+2720842</f>
        <v>12098629</v>
      </c>
      <c r="E16" s="354">
        <f>8577827+4712207</f>
        <v>13290034</v>
      </c>
      <c r="F16" s="354">
        <f>3611136+2705030</f>
        <v>6316166</v>
      </c>
      <c r="G16" s="354">
        <f>3734795+2808604</f>
        <v>6543399</v>
      </c>
      <c r="H16" s="354">
        <f>6819687+2769414</f>
        <v>9589101</v>
      </c>
      <c r="I16" s="354">
        <f>3563969+4751190</f>
        <v>8315159</v>
      </c>
      <c r="J16" s="354">
        <f>8991527+2739648</f>
        <v>11731175</v>
      </c>
      <c r="K16" s="354">
        <f>3879058+2761496</f>
        <v>6640554</v>
      </c>
      <c r="L16" s="354">
        <f>6853880+2879749</f>
        <v>9733629</v>
      </c>
      <c r="M16" s="354">
        <f>8844004+3668419</f>
        <v>12512423</v>
      </c>
      <c r="N16" s="354">
        <f>4398343+2768745</f>
        <v>7167088</v>
      </c>
      <c r="O16" s="354">
        <f>5885235+4649687+3268493</f>
        <v>13803415</v>
      </c>
      <c r="P16" s="355">
        <f t="shared" si="1"/>
        <v>117740772</v>
      </c>
      <c r="Q16" s="389">
        <v>131018</v>
      </c>
      <c r="R16" s="388">
        <f t="shared" si="2"/>
        <v>117609754</v>
      </c>
    </row>
    <row r="17" spans="1:18" s="347" customFormat="1" ht="15.75" customHeight="1" thickBot="1">
      <c r="A17" s="346" t="s">
        <v>17</v>
      </c>
      <c r="B17" s="362" t="s">
        <v>624</v>
      </c>
      <c r="C17" s="362"/>
      <c r="D17" s="363">
        <f aca="true" t="shared" si="3" ref="D17:O17">SUM(D7:D16)</f>
        <v>173450666</v>
      </c>
      <c r="E17" s="363">
        <f t="shared" si="3"/>
        <v>184085385</v>
      </c>
      <c r="F17" s="363">
        <f t="shared" si="3"/>
        <v>202880202</v>
      </c>
      <c r="G17" s="363">
        <f t="shared" si="3"/>
        <v>204453794</v>
      </c>
      <c r="H17" s="363">
        <f t="shared" si="3"/>
        <v>211551735</v>
      </c>
      <c r="I17" s="363">
        <f t="shared" si="3"/>
        <v>197054226</v>
      </c>
      <c r="J17" s="363">
        <f t="shared" si="3"/>
        <v>178371472</v>
      </c>
      <c r="K17" s="363">
        <f t="shared" si="3"/>
        <v>170839483</v>
      </c>
      <c r="L17" s="363">
        <f t="shared" si="3"/>
        <v>201966928</v>
      </c>
      <c r="M17" s="363">
        <f t="shared" si="3"/>
        <v>186445853</v>
      </c>
      <c r="N17" s="363">
        <f t="shared" si="3"/>
        <v>197342322</v>
      </c>
      <c r="O17" s="363">
        <f t="shared" si="3"/>
        <v>203567294</v>
      </c>
      <c r="P17" s="364">
        <f>SUM(D17:O17)</f>
        <v>2312009360</v>
      </c>
      <c r="Q17" s="386">
        <f>SUM(Q8:Q16)</f>
        <v>492950</v>
      </c>
      <c r="R17" s="390">
        <f>SUM(R16)</f>
        <v>117609754</v>
      </c>
    </row>
    <row r="18" spans="1:18" s="347" customFormat="1" ht="15" customHeight="1" thickBot="1">
      <c r="A18" s="346" t="s">
        <v>18</v>
      </c>
      <c r="B18" s="1534" t="s">
        <v>43</v>
      </c>
      <c r="C18" s="1535"/>
      <c r="D18" s="1535"/>
      <c r="E18" s="1535"/>
      <c r="F18" s="1535"/>
      <c r="G18" s="1535"/>
      <c r="H18" s="1535"/>
      <c r="I18" s="1535"/>
      <c r="J18" s="1535"/>
      <c r="K18" s="1535"/>
      <c r="L18" s="1535"/>
      <c r="M18" s="1535"/>
      <c r="N18" s="1535"/>
      <c r="O18" s="1535"/>
      <c r="P18" s="1536"/>
      <c r="Q18" s="386"/>
      <c r="R18" s="388">
        <f t="shared" si="2"/>
        <v>0</v>
      </c>
    </row>
    <row r="19" spans="1:18" s="356" customFormat="1" ht="13.5" customHeight="1">
      <c r="A19" s="365" t="s">
        <v>19</v>
      </c>
      <c r="B19" s="366" t="s">
        <v>50</v>
      </c>
      <c r="C19" s="366" t="s">
        <v>625</v>
      </c>
      <c r="D19" s="358">
        <f>2783907+3404085+2269282</f>
        <v>8457274</v>
      </c>
      <c r="E19" s="358">
        <f>3207416+3604158+2344225</f>
        <v>9155799</v>
      </c>
      <c r="F19" s="358">
        <f>3325591+4006071+2356132</f>
        <v>9687794</v>
      </c>
      <c r="G19" s="358">
        <f>3398109+4051670+2569282</f>
        <v>10019061</v>
      </c>
      <c r="H19" s="358">
        <f>3732458+3992213+2470828</f>
        <v>10195499</v>
      </c>
      <c r="I19" s="358">
        <f>3366684+3751862+2372005</f>
        <v>9490551</v>
      </c>
      <c r="J19" s="358">
        <f>3943244+3877065+2344963</f>
        <v>10165272</v>
      </c>
      <c r="K19" s="358">
        <f>3451576+3832411+2322823</f>
        <v>9606810</v>
      </c>
      <c r="L19" s="358">
        <f>3423671+3936054+2485908</f>
        <v>9845633</v>
      </c>
      <c r="M19" s="358">
        <f>3359817+3783248+2339746</f>
        <v>9482811</v>
      </c>
      <c r="N19" s="358">
        <f>4445002+3699061+2352833</f>
        <v>10496896</v>
      </c>
      <c r="O19" s="358">
        <f>4736856+5423649+2929426</f>
        <v>13089931</v>
      </c>
      <c r="P19" s="359">
        <f aca="true" t="shared" si="4" ref="P19:P27">SUM(D19:O19)</f>
        <v>119693331</v>
      </c>
      <c r="Q19" s="389">
        <v>102871</v>
      </c>
      <c r="R19" s="388">
        <f t="shared" si="2"/>
        <v>119590460</v>
      </c>
    </row>
    <row r="20" spans="1:18" s="356" customFormat="1" ht="27" customHeight="1">
      <c r="A20" s="352" t="s">
        <v>20</v>
      </c>
      <c r="B20" s="353" t="s">
        <v>115</v>
      </c>
      <c r="C20" s="353" t="s">
        <v>626</v>
      </c>
      <c r="D20" s="354">
        <f>946549+1259741+535267</f>
        <v>2741557</v>
      </c>
      <c r="E20" s="354">
        <f>696598+695065+510998</f>
        <v>1902661</v>
      </c>
      <c r="F20" s="354">
        <f>682219+749772+496532</f>
        <v>1928523</v>
      </c>
      <c r="G20" s="354">
        <f>680493+755017+497542</f>
        <v>1933052</v>
      </c>
      <c r="H20" s="354">
        <f>781234+713840+499306</f>
        <v>1994380</v>
      </c>
      <c r="I20" s="354">
        <f>766982+687755+495733</f>
        <v>1950470</v>
      </c>
      <c r="J20" s="354">
        <f>804303+695820+510570</f>
        <v>2010693</v>
      </c>
      <c r="K20" s="354">
        <f>804681+681826+488673</f>
        <v>1975180</v>
      </c>
      <c r="L20" s="354">
        <f>686943+717408+503841</f>
        <v>1908192</v>
      </c>
      <c r="M20" s="354">
        <f>688593+641192+475340</f>
        <v>1805125</v>
      </c>
      <c r="N20" s="354">
        <f>912930+680795+493939</f>
        <v>2087664</v>
      </c>
      <c r="O20" s="354">
        <f>690942+785126+494174</f>
        <v>1970242</v>
      </c>
      <c r="P20" s="355">
        <f t="shared" si="4"/>
        <v>24207739</v>
      </c>
      <c r="Q20" s="389">
        <v>27889</v>
      </c>
      <c r="R20" s="388">
        <f t="shared" si="2"/>
        <v>24179850</v>
      </c>
    </row>
    <row r="21" spans="1:18" s="356" customFormat="1" ht="13.5" customHeight="1">
      <c r="A21" s="352" t="s">
        <v>21</v>
      </c>
      <c r="B21" s="360" t="s">
        <v>90</v>
      </c>
      <c r="C21" s="360" t="s">
        <v>627</v>
      </c>
      <c r="D21" s="354">
        <f>3550452+4276108+223636</f>
        <v>8050196</v>
      </c>
      <c r="E21" s="354">
        <f>3063189+3116528+423287</f>
        <v>6603004</v>
      </c>
      <c r="F21" s="354">
        <f>3047752+3926719+310427</f>
        <v>7284898</v>
      </c>
      <c r="G21" s="354">
        <f>2935875+3899969+334469</f>
        <v>7170313</v>
      </c>
      <c r="H21" s="354">
        <f>6835910+6852783+261252</f>
        <v>13949945</v>
      </c>
      <c r="I21" s="354">
        <f>2706581+5086275+403470</f>
        <v>8196326</v>
      </c>
      <c r="J21" s="354">
        <f>2140735+4352464+207649</f>
        <v>6700848</v>
      </c>
      <c r="K21" s="354">
        <f>2548649+5008121+234205</f>
        <v>7790975</v>
      </c>
      <c r="L21" s="354">
        <f>2525906+6017121-259876</f>
        <v>8283151</v>
      </c>
      <c r="M21" s="354">
        <f>4421271+6667676+602123</f>
        <v>11691070</v>
      </c>
      <c r="N21" s="354">
        <f>2692801+8340906+324029</f>
        <v>11357736</v>
      </c>
      <c r="O21" s="354">
        <f>6116328+12345532+911872</f>
        <v>19373732</v>
      </c>
      <c r="P21" s="355">
        <f t="shared" si="4"/>
        <v>116452194</v>
      </c>
      <c r="Q21" s="389">
        <v>101880</v>
      </c>
      <c r="R21" s="388">
        <f t="shared" si="2"/>
        <v>116350314</v>
      </c>
    </row>
    <row r="22" spans="1:18" s="356" customFormat="1" ht="13.5" customHeight="1">
      <c r="A22" s="352" t="s">
        <v>22</v>
      </c>
      <c r="B22" s="360" t="s">
        <v>116</v>
      </c>
      <c r="C22" s="360" t="s">
        <v>628</v>
      </c>
      <c r="D22" s="354">
        <v>191135</v>
      </c>
      <c r="E22" s="354">
        <v>178180</v>
      </c>
      <c r="F22" s="354">
        <v>209060</v>
      </c>
      <c r="G22" s="354">
        <v>948759</v>
      </c>
      <c r="H22" s="354">
        <v>269139</v>
      </c>
      <c r="I22" s="354">
        <v>239308</v>
      </c>
      <c r="J22" s="354">
        <v>173000</v>
      </c>
      <c r="K22" s="354">
        <v>298190</v>
      </c>
      <c r="L22" s="354">
        <v>286085</v>
      </c>
      <c r="M22" s="354">
        <v>468267</v>
      </c>
      <c r="N22" s="354">
        <v>1161610</v>
      </c>
      <c r="O22" s="354">
        <v>354254</v>
      </c>
      <c r="P22" s="355">
        <f t="shared" si="4"/>
        <v>4776987</v>
      </c>
      <c r="Q22" s="389">
        <v>5211</v>
      </c>
      <c r="R22" s="388">
        <f t="shared" si="2"/>
        <v>4771776</v>
      </c>
    </row>
    <row r="23" spans="1:18" s="356" customFormat="1" ht="13.5" customHeight="1">
      <c r="A23" s="352" t="s">
        <v>23</v>
      </c>
      <c r="B23" s="360" t="s">
        <v>117</v>
      </c>
      <c r="C23" s="360" t="s">
        <v>629</v>
      </c>
      <c r="D23" s="354"/>
      <c r="E23" s="354"/>
      <c r="F23" s="354"/>
      <c r="G23" s="354">
        <v>4085039</v>
      </c>
      <c r="H23" s="354">
        <v>190595</v>
      </c>
      <c r="I23" s="354"/>
      <c r="J23" s="354"/>
      <c r="K23" s="354"/>
      <c r="L23" s="354">
        <v>500000</v>
      </c>
      <c r="M23" s="354"/>
      <c r="N23" s="354">
        <v>1086580</v>
      </c>
      <c r="O23" s="354"/>
      <c r="P23" s="355">
        <f t="shared" si="4"/>
        <v>5862214</v>
      </c>
      <c r="Q23" s="389">
        <v>6220</v>
      </c>
      <c r="R23" s="388">
        <f t="shared" si="2"/>
        <v>5855994</v>
      </c>
    </row>
    <row r="24" spans="1:18" s="356" customFormat="1" ht="13.5" customHeight="1">
      <c r="A24" s="352" t="s">
        <v>24</v>
      </c>
      <c r="B24" s="360" t="s">
        <v>138</v>
      </c>
      <c r="C24" s="360" t="s">
        <v>630</v>
      </c>
      <c r="D24" s="354">
        <f>23990</f>
        <v>23990</v>
      </c>
      <c r="E24" s="354">
        <f>1448912</f>
        <v>1448912</v>
      </c>
      <c r="F24" s="354">
        <f>7232986+83890</f>
        <v>7316876</v>
      </c>
      <c r="G24" s="354">
        <f>1542800+81758</f>
        <v>1624558</v>
      </c>
      <c r="H24" s="354">
        <v>119800</v>
      </c>
      <c r="I24" s="354"/>
      <c r="J24" s="354">
        <f>50152+2404972</f>
        <v>2455124</v>
      </c>
      <c r="K24" s="354">
        <f>150736+95000</f>
        <v>245736</v>
      </c>
      <c r="L24" s="354">
        <f>21209+14276182+194945</f>
        <v>14492336</v>
      </c>
      <c r="M24" s="354">
        <f>655500+526804+42830</f>
        <v>1225134</v>
      </c>
      <c r="N24" s="354">
        <f>2617462</f>
        <v>2617462</v>
      </c>
      <c r="O24" s="354">
        <f>256645</f>
        <v>256645</v>
      </c>
      <c r="P24" s="355">
        <f t="shared" si="4"/>
        <v>31826573</v>
      </c>
      <c r="Q24" s="389">
        <v>13669</v>
      </c>
      <c r="R24" s="388">
        <f t="shared" si="2"/>
        <v>31812904</v>
      </c>
    </row>
    <row r="25" spans="1:18" s="356" customFormat="1" ht="15.75">
      <c r="A25" s="352" t="s">
        <v>25</v>
      </c>
      <c r="B25" s="353" t="s">
        <v>119</v>
      </c>
      <c r="C25" s="353" t="s">
        <v>631</v>
      </c>
      <c r="D25" s="354"/>
      <c r="E25" s="354"/>
      <c r="F25" s="354"/>
      <c r="G25" s="354"/>
      <c r="H25" s="354">
        <v>5142867</v>
      </c>
      <c r="I25" s="354">
        <v>16484880</v>
      </c>
      <c r="J25" s="354"/>
      <c r="K25" s="354">
        <v>28839481</v>
      </c>
      <c r="L25" s="354">
        <v>1841500</v>
      </c>
      <c r="M25" s="354"/>
      <c r="N25" s="354">
        <v>3162886</v>
      </c>
      <c r="O25" s="354">
        <v>2698750</v>
      </c>
      <c r="P25" s="355">
        <f t="shared" si="4"/>
        <v>58170364</v>
      </c>
      <c r="Q25" s="389">
        <v>47485</v>
      </c>
      <c r="R25" s="388">
        <f t="shared" si="2"/>
        <v>58122879</v>
      </c>
    </row>
    <row r="26" spans="1:18" s="356" customFormat="1" ht="13.5" customHeight="1">
      <c r="A26" s="352" t="s">
        <v>26</v>
      </c>
      <c r="B26" s="360" t="s">
        <v>140</v>
      </c>
      <c r="C26" s="360" t="s">
        <v>632</v>
      </c>
      <c r="D26" s="354"/>
      <c r="E26" s="354"/>
      <c r="F26" s="354"/>
      <c r="G26" s="354"/>
      <c r="H26" s="354"/>
      <c r="I26" s="354"/>
      <c r="J26" s="354"/>
      <c r="K26" s="354"/>
      <c r="L26" s="354">
        <v>200000</v>
      </c>
      <c r="M26" s="354"/>
      <c r="N26" s="354"/>
      <c r="O26" s="354"/>
      <c r="P26" s="355">
        <f t="shared" si="4"/>
        <v>200000</v>
      </c>
      <c r="Q26" s="389">
        <v>1450</v>
      </c>
      <c r="R26" s="388">
        <f t="shared" si="2"/>
        <v>198550</v>
      </c>
    </row>
    <row r="27" spans="1:18" s="356" customFormat="1" ht="13.5" customHeight="1" thickBot="1">
      <c r="A27" s="352" t="s">
        <v>27</v>
      </c>
      <c r="B27" s="360" t="s">
        <v>633</v>
      </c>
      <c r="C27" s="360" t="s">
        <v>634</v>
      </c>
      <c r="D27" s="354">
        <f>16498736-5015461</f>
        <v>11483275</v>
      </c>
      <c r="E27" s="354">
        <v>13290034</v>
      </c>
      <c r="F27" s="354">
        <v>6316166</v>
      </c>
      <c r="G27" s="354">
        <v>6543399</v>
      </c>
      <c r="H27" s="354">
        <v>9589101</v>
      </c>
      <c r="I27" s="354">
        <v>8469297</v>
      </c>
      <c r="J27" s="354">
        <v>11731175</v>
      </c>
      <c r="K27" s="354">
        <v>6640554</v>
      </c>
      <c r="L27" s="354">
        <v>9733629</v>
      </c>
      <c r="M27" s="354">
        <v>12512423</v>
      </c>
      <c r="N27" s="354">
        <v>7167088</v>
      </c>
      <c r="O27" s="354">
        <f>9153728</f>
        <v>9153728</v>
      </c>
      <c r="P27" s="355">
        <f t="shared" si="4"/>
        <v>112629869</v>
      </c>
      <c r="Q27" s="389">
        <v>4795</v>
      </c>
      <c r="R27" s="388">
        <f t="shared" si="2"/>
        <v>112625074</v>
      </c>
    </row>
    <row r="28" spans="1:18" s="347" customFormat="1" ht="15.75" customHeight="1" thickBot="1">
      <c r="A28" s="367" t="s">
        <v>28</v>
      </c>
      <c r="B28" s="362" t="s">
        <v>79</v>
      </c>
      <c r="C28" s="362"/>
      <c r="D28" s="363">
        <f>SUM(D19:D27)</f>
        <v>30947427</v>
      </c>
      <c r="E28" s="363">
        <f aca="true" t="shared" si="5" ref="E28:P28">SUM(E19:E27)</f>
        <v>32578590</v>
      </c>
      <c r="F28" s="363">
        <f t="shared" si="5"/>
        <v>32743317</v>
      </c>
      <c r="G28" s="363">
        <f t="shared" si="5"/>
        <v>32324181</v>
      </c>
      <c r="H28" s="363">
        <f t="shared" si="5"/>
        <v>41451326</v>
      </c>
      <c r="I28" s="363">
        <f t="shared" si="5"/>
        <v>44830832</v>
      </c>
      <c r="J28" s="363">
        <f t="shared" si="5"/>
        <v>33236112</v>
      </c>
      <c r="K28" s="363">
        <f t="shared" si="5"/>
        <v>55396926</v>
      </c>
      <c r="L28" s="363">
        <f t="shared" si="5"/>
        <v>47090526</v>
      </c>
      <c r="M28" s="363">
        <f t="shared" si="5"/>
        <v>37184830</v>
      </c>
      <c r="N28" s="363">
        <f t="shared" si="5"/>
        <v>39137922</v>
      </c>
      <c r="O28" s="363">
        <f t="shared" si="5"/>
        <v>46897282</v>
      </c>
      <c r="P28" s="363">
        <f t="shared" si="5"/>
        <v>473819271</v>
      </c>
      <c r="Q28" s="386">
        <f>SUM(Q19:Q27)</f>
        <v>311470</v>
      </c>
      <c r="R28" s="390">
        <f>SUM(R19:R27)</f>
        <v>473507801</v>
      </c>
    </row>
    <row r="29" spans="1:17" ht="16.5" thickBot="1">
      <c r="A29" s="367" t="s">
        <v>29</v>
      </c>
      <c r="B29" s="368" t="s">
        <v>635</v>
      </c>
      <c r="C29" s="368"/>
      <c r="D29" s="369">
        <f aca="true" t="shared" si="6" ref="D29:O29">D17-D28</f>
        <v>142503239</v>
      </c>
      <c r="E29" s="369">
        <f t="shared" si="6"/>
        <v>151506795</v>
      </c>
      <c r="F29" s="369">
        <f t="shared" si="6"/>
        <v>170136885</v>
      </c>
      <c r="G29" s="369">
        <f t="shared" si="6"/>
        <v>172129613</v>
      </c>
      <c r="H29" s="369">
        <f t="shared" si="6"/>
        <v>170100409</v>
      </c>
      <c r="I29" s="369">
        <f t="shared" si="6"/>
        <v>152223394</v>
      </c>
      <c r="J29" s="369">
        <f t="shared" si="6"/>
        <v>145135360</v>
      </c>
      <c r="K29" s="369">
        <f t="shared" si="6"/>
        <v>115442557</v>
      </c>
      <c r="L29" s="369">
        <f t="shared" si="6"/>
        <v>154876402</v>
      </c>
      <c r="M29" s="369">
        <f t="shared" si="6"/>
        <v>149261023</v>
      </c>
      <c r="N29" s="369">
        <f t="shared" si="6"/>
        <v>158204400</v>
      </c>
      <c r="O29" s="369">
        <f t="shared" si="6"/>
        <v>156670012</v>
      </c>
      <c r="P29" s="370" t="s">
        <v>610</v>
      </c>
      <c r="Q29" s="391"/>
    </row>
    <row r="30" ht="15.75">
      <c r="A30" s="371"/>
    </row>
    <row r="31" spans="2:5" ht="15.75">
      <c r="B31" s="372"/>
      <c r="C31" s="372"/>
      <c r="D31" s="373"/>
      <c r="E31" s="373"/>
    </row>
  </sheetData>
  <sheetProtection/>
  <mergeCells count="3">
    <mergeCell ref="A3:P3"/>
    <mergeCell ref="B6:P6"/>
    <mergeCell ref="B18:P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O31" sqref="O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zoomScalePageLayoutView="0" workbookViewId="0" topLeftCell="A1">
      <selection activeCell="J34" sqref="J34"/>
    </sheetView>
  </sheetViews>
  <sheetFormatPr defaultColWidth="9.00390625" defaultRowHeight="12.75"/>
  <cols>
    <col min="1" max="1" width="6.875" style="1067" customWidth="1"/>
    <col min="2" max="2" width="55.125" style="1071" customWidth="1"/>
    <col min="3" max="5" width="16.375" style="1067" customWidth="1"/>
    <col min="6" max="6" width="55.125" style="1067" customWidth="1"/>
    <col min="7" max="9" width="16.375" style="1067" customWidth="1"/>
    <col min="10" max="10" width="4.875" style="1067" customWidth="1"/>
    <col min="11" max="11" width="0" style="1070" hidden="1" customWidth="1"/>
    <col min="12" max="16384" width="9.375" style="1067" customWidth="1"/>
  </cols>
  <sheetData>
    <row r="1" spans="2:10" ht="39.75" customHeight="1">
      <c r="B1" s="1068" t="s">
        <v>100</v>
      </c>
      <c r="C1" s="1069"/>
      <c r="D1" s="1069"/>
      <c r="E1" s="1069"/>
      <c r="F1" s="1069"/>
      <c r="G1" s="1069"/>
      <c r="H1" s="1069"/>
      <c r="I1" s="1069"/>
      <c r="J1" s="1334" t="s">
        <v>1126</v>
      </c>
    </row>
    <row r="2" spans="7:10" ht="14.25" thickBot="1">
      <c r="G2" s="1072"/>
      <c r="H2" s="1072"/>
      <c r="I2" s="1072" t="s">
        <v>643</v>
      </c>
      <c r="J2" s="1334"/>
    </row>
    <row r="3" spans="1:10" ht="24" customHeight="1" thickBot="1">
      <c r="A3" s="1335" t="s">
        <v>56</v>
      </c>
      <c r="B3" s="1073" t="s">
        <v>42</v>
      </c>
      <c r="C3" s="1074"/>
      <c r="D3" s="1074"/>
      <c r="E3" s="1074"/>
      <c r="F3" s="1073" t="s">
        <v>43</v>
      </c>
      <c r="G3" s="1075"/>
      <c r="H3" s="1075"/>
      <c r="I3" s="1075"/>
      <c r="J3" s="1334"/>
    </row>
    <row r="4" spans="1:11" s="1081" customFormat="1" ht="35.25" customHeight="1" thickBot="1">
      <c r="A4" s="1336"/>
      <c r="B4" s="1076" t="s">
        <v>49</v>
      </c>
      <c r="C4" s="1077" t="str">
        <f>+CONCATENATE(LEFT('1.mell Bevételek kiadások.'!C3,4),". évi eredeti előirányzat")</f>
        <v>2018. évi eredeti előirányzat</v>
      </c>
      <c r="D4" s="1078" t="str">
        <f>+CONCATENATE(LEFT('1.mell Bevételek kiadások.'!C3,4),". évi módosított előirányzat")</f>
        <v>2018. évi módosított előirányzat</v>
      </c>
      <c r="E4" s="1077" t="str">
        <f>+CONCATENATE(LEFT('1.mell Bevételek kiadások.'!C3,4),". évi teljesítés")</f>
        <v>2018. évi teljesítés</v>
      </c>
      <c r="F4" s="1076" t="s">
        <v>49</v>
      </c>
      <c r="G4" s="1077" t="s">
        <v>1040</v>
      </c>
      <c r="H4" s="1077" t="s">
        <v>658</v>
      </c>
      <c r="I4" s="1077" t="s">
        <v>1041</v>
      </c>
      <c r="J4" s="1334"/>
      <c r="K4" s="1080"/>
    </row>
    <row r="5" spans="1:11" s="1081" customFormat="1" ht="13.5" thickBot="1">
      <c r="A5" s="1082" t="s">
        <v>350</v>
      </c>
      <c r="B5" s="1083" t="s">
        <v>351</v>
      </c>
      <c r="C5" s="1084" t="s">
        <v>352</v>
      </c>
      <c r="D5" s="1084" t="s">
        <v>353</v>
      </c>
      <c r="E5" s="1084" t="s">
        <v>354</v>
      </c>
      <c r="F5" s="1083" t="s">
        <v>431</v>
      </c>
      <c r="G5" s="1084" t="s">
        <v>432</v>
      </c>
      <c r="H5" s="1084" t="s">
        <v>433</v>
      </c>
      <c r="I5" s="1085" t="s">
        <v>434</v>
      </c>
      <c r="J5" s="1334"/>
      <c r="K5" s="1086"/>
    </row>
    <row r="6" spans="1:11" ht="12.75" customHeight="1">
      <c r="A6" s="1088" t="s">
        <v>6</v>
      </c>
      <c r="B6" s="1089" t="s">
        <v>422</v>
      </c>
      <c r="C6" s="1090">
        <v>12612619</v>
      </c>
      <c r="D6" s="1090">
        <v>27611537</v>
      </c>
      <c r="E6" s="1090">
        <v>27611537</v>
      </c>
      <c r="F6" s="1089" t="s">
        <v>138</v>
      </c>
      <c r="G6" s="1090">
        <v>16344700</v>
      </c>
      <c r="H6" s="1090">
        <v>36324715</v>
      </c>
      <c r="I6" s="1091">
        <v>31826573</v>
      </c>
      <c r="J6" s="1334"/>
      <c r="K6" s="1070" t="s">
        <v>505</v>
      </c>
    </row>
    <row r="7" spans="1:11" ht="12.75">
      <c r="A7" s="1092" t="s">
        <v>7</v>
      </c>
      <c r="B7" s="1093" t="s">
        <v>423</v>
      </c>
      <c r="C7" s="1094"/>
      <c r="D7" s="1094"/>
      <c r="E7" s="1094"/>
      <c r="F7" s="1093" t="s">
        <v>435</v>
      </c>
      <c r="G7" s="1094"/>
      <c r="H7" s="1094"/>
      <c r="I7" s="1095"/>
      <c r="J7" s="1334"/>
      <c r="K7" s="1070" t="s">
        <v>506</v>
      </c>
    </row>
    <row r="8" spans="1:11" ht="12.75" customHeight="1">
      <c r="A8" s="1092" t="s">
        <v>8</v>
      </c>
      <c r="B8" s="1093" t="s">
        <v>424</v>
      </c>
      <c r="C8" s="1094"/>
      <c r="D8" s="1094">
        <v>702000</v>
      </c>
      <c r="E8" s="1094">
        <v>702000</v>
      </c>
      <c r="F8" s="1093" t="s">
        <v>119</v>
      </c>
      <c r="G8" s="1094">
        <v>37033900</v>
      </c>
      <c r="H8" s="1094">
        <v>75294348</v>
      </c>
      <c r="I8" s="1095">
        <v>58170364</v>
      </c>
      <c r="J8" s="1334"/>
      <c r="K8" s="1070" t="s">
        <v>507</v>
      </c>
    </row>
    <row r="9" spans="1:11" ht="12.75" customHeight="1">
      <c r="A9" s="1092" t="s">
        <v>9</v>
      </c>
      <c r="B9" s="1093" t="s">
        <v>425</v>
      </c>
      <c r="C9" s="1094"/>
      <c r="D9" s="1094">
        <v>0</v>
      </c>
      <c r="E9" s="1094">
        <v>0</v>
      </c>
      <c r="F9" s="1093" t="s">
        <v>436</v>
      </c>
      <c r="G9" s="1094"/>
      <c r="H9" s="1094"/>
      <c r="I9" s="1095"/>
      <c r="J9" s="1334"/>
      <c r="K9" s="1070" t="s">
        <v>508</v>
      </c>
    </row>
    <row r="10" spans="1:11" ht="12.75" customHeight="1">
      <c r="A10" s="1092" t="s">
        <v>10</v>
      </c>
      <c r="B10" s="1093" t="s">
        <v>426</v>
      </c>
      <c r="C10" s="1094"/>
      <c r="D10" s="1094"/>
      <c r="E10" s="1094"/>
      <c r="F10" s="1093" t="s">
        <v>140</v>
      </c>
      <c r="G10" s="1094">
        <v>2900000</v>
      </c>
      <c r="H10" s="1094">
        <v>2900000</v>
      </c>
      <c r="I10" s="1095">
        <v>200000</v>
      </c>
      <c r="J10" s="1334"/>
      <c r="K10" s="1070" t="s">
        <v>509</v>
      </c>
    </row>
    <row r="11" spans="1:11" ht="12.75" customHeight="1">
      <c r="A11" s="1092" t="s">
        <v>11</v>
      </c>
      <c r="B11" s="1093" t="s">
        <v>427</v>
      </c>
      <c r="C11" s="1097">
        <v>9800000</v>
      </c>
      <c r="D11" s="1097">
        <v>35260107</v>
      </c>
      <c r="E11" s="1097">
        <v>35260107</v>
      </c>
      <c r="F11" s="1115"/>
      <c r="G11" s="1094"/>
      <c r="H11" s="1094"/>
      <c r="I11" s="1095"/>
      <c r="J11" s="1334"/>
      <c r="K11" s="1070" t="s">
        <v>510</v>
      </c>
    </row>
    <row r="12" spans="1:10" ht="12.75" customHeight="1">
      <c r="A12" s="1092" t="s">
        <v>12</v>
      </c>
      <c r="B12" s="1098"/>
      <c r="C12" s="1094"/>
      <c r="D12" s="1094"/>
      <c r="E12" s="1094"/>
      <c r="F12" s="1115"/>
      <c r="G12" s="1094"/>
      <c r="H12" s="1094"/>
      <c r="I12" s="1095"/>
      <c r="J12" s="1334"/>
    </row>
    <row r="13" spans="1:10" ht="12.75" customHeight="1">
      <c r="A13" s="1092" t="s">
        <v>13</v>
      </c>
      <c r="B13" s="1098"/>
      <c r="C13" s="1094"/>
      <c r="D13" s="1094"/>
      <c r="E13" s="1094"/>
      <c r="F13" s="1115"/>
      <c r="G13" s="1094"/>
      <c r="H13" s="1094"/>
      <c r="I13" s="1095"/>
      <c r="J13" s="1334"/>
    </row>
    <row r="14" spans="1:10" ht="12.75" customHeight="1">
      <c r="A14" s="1092" t="s">
        <v>14</v>
      </c>
      <c r="B14" s="1116"/>
      <c r="C14" s="1097"/>
      <c r="D14" s="1097"/>
      <c r="E14" s="1097"/>
      <c r="F14" s="1115"/>
      <c r="G14" s="1094"/>
      <c r="H14" s="1094"/>
      <c r="I14" s="1095"/>
      <c r="J14" s="1334"/>
    </row>
    <row r="15" spans="1:10" ht="12.75">
      <c r="A15" s="1092" t="s">
        <v>15</v>
      </c>
      <c r="B15" s="1098"/>
      <c r="C15" s="1097"/>
      <c r="D15" s="1097"/>
      <c r="E15" s="1097"/>
      <c r="F15" s="1115"/>
      <c r="G15" s="1094"/>
      <c r="H15" s="1094"/>
      <c r="I15" s="1095"/>
      <c r="J15" s="1334"/>
    </row>
    <row r="16" spans="1:10" ht="12.75" customHeight="1" thickBot="1">
      <c r="A16" s="1106" t="s">
        <v>16</v>
      </c>
      <c r="B16" s="1111"/>
      <c r="C16" s="1117"/>
      <c r="D16" s="1118"/>
      <c r="E16" s="1119"/>
      <c r="F16" s="1107" t="s">
        <v>37</v>
      </c>
      <c r="G16" s="1094">
        <v>61143463</v>
      </c>
      <c r="H16" s="1094">
        <v>44472025</v>
      </c>
      <c r="I16" s="1095"/>
      <c r="J16" s="1334"/>
    </row>
    <row r="17" spans="1:11" ht="15.75" customHeight="1" thickBot="1">
      <c r="A17" s="1103" t="s">
        <v>17</v>
      </c>
      <c r="B17" s="1104" t="s">
        <v>428</v>
      </c>
      <c r="C17" s="1105">
        <f>+C6+C8+C9+C11+C12+C13+C14+C15+C16</f>
        <v>22412619</v>
      </c>
      <c r="D17" s="1105">
        <f>+D6+D8+D9+D11+D12+D13+D14+D15+D16</f>
        <v>63573644</v>
      </c>
      <c r="E17" s="1105">
        <f>+E6+E8+E9+E11+E12+E13+E14+E15+E16</f>
        <v>63573644</v>
      </c>
      <c r="F17" s="1104" t="s">
        <v>437</v>
      </c>
      <c r="G17" s="1105">
        <f>+G6+G8+G10+G11+G12+G13+G14+G15+G16</f>
        <v>117422063</v>
      </c>
      <c r="H17" s="1105">
        <f>+H6+H8+H10+H11+H12+H13+H14+H15+H16</f>
        <v>158991088</v>
      </c>
      <c r="I17" s="1120">
        <f>+I6+I8+I10+I11+I12+I13+I14+I15+I16</f>
        <v>90196937</v>
      </c>
      <c r="J17" s="1334"/>
      <c r="K17" s="1070" t="s">
        <v>511</v>
      </c>
    </row>
    <row r="18" spans="1:11" ht="12.75" customHeight="1">
      <c r="A18" s="1088" t="s">
        <v>18</v>
      </c>
      <c r="B18" s="1121" t="s">
        <v>158</v>
      </c>
      <c r="C18" s="1122">
        <f>+C19+C20+C21+C22+C23</f>
        <v>95009444</v>
      </c>
      <c r="D18" s="1122">
        <f>+D19+D20+D21+D22+D23</f>
        <v>95337444</v>
      </c>
      <c r="E18" s="1122">
        <f>+E19+E20+E21+E22+E23</f>
        <v>95337444</v>
      </c>
      <c r="F18" s="1093" t="s">
        <v>123</v>
      </c>
      <c r="G18" s="1090"/>
      <c r="H18" s="1090"/>
      <c r="I18" s="1091"/>
      <c r="J18" s="1334"/>
      <c r="K18" s="1070" t="s">
        <v>512</v>
      </c>
    </row>
    <row r="19" spans="1:11" ht="12.75" customHeight="1">
      <c r="A19" s="1092" t="s">
        <v>19</v>
      </c>
      <c r="B19" s="1123" t="s">
        <v>147</v>
      </c>
      <c r="C19" s="1094">
        <v>95009444</v>
      </c>
      <c r="D19" s="1094">
        <v>95337444</v>
      </c>
      <c r="E19" s="1094">
        <v>95337444</v>
      </c>
      <c r="F19" s="1093" t="s">
        <v>126</v>
      </c>
      <c r="G19" s="1094"/>
      <c r="H19" s="1094"/>
      <c r="I19" s="1095"/>
      <c r="J19" s="1334"/>
      <c r="K19" s="1070" t="s">
        <v>513</v>
      </c>
    </row>
    <row r="20" spans="1:11" ht="12.75" customHeight="1">
      <c r="A20" s="1088" t="s">
        <v>20</v>
      </c>
      <c r="B20" s="1123" t="s">
        <v>148</v>
      </c>
      <c r="C20" s="1094"/>
      <c r="D20" s="1094"/>
      <c r="E20" s="1094"/>
      <c r="F20" s="1093" t="s">
        <v>97</v>
      </c>
      <c r="G20" s="1094"/>
      <c r="H20" s="1094"/>
      <c r="I20" s="1095"/>
      <c r="J20" s="1334"/>
      <c r="K20" s="1070" t="s">
        <v>514</v>
      </c>
    </row>
    <row r="21" spans="1:11" ht="12.75" customHeight="1">
      <c r="A21" s="1092" t="s">
        <v>21</v>
      </c>
      <c r="B21" s="1123" t="s">
        <v>149</v>
      </c>
      <c r="C21" s="1094"/>
      <c r="D21" s="1094"/>
      <c r="E21" s="1094"/>
      <c r="F21" s="1093" t="s">
        <v>98</v>
      </c>
      <c r="G21" s="1094"/>
      <c r="H21" s="1094"/>
      <c r="I21" s="1095"/>
      <c r="J21" s="1334"/>
      <c r="K21" s="1070" t="s">
        <v>515</v>
      </c>
    </row>
    <row r="22" spans="1:11" ht="12.75" customHeight="1">
      <c r="A22" s="1088" t="s">
        <v>22</v>
      </c>
      <c r="B22" s="1123" t="s">
        <v>150</v>
      </c>
      <c r="C22" s="1094"/>
      <c r="D22" s="1094"/>
      <c r="E22" s="1094"/>
      <c r="F22" s="1107" t="s">
        <v>144</v>
      </c>
      <c r="G22" s="1094"/>
      <c r="H22" s="1094"/>
      <c r="I22" s="1095"/>
      <c r="J22" s="1334"/>
      <c r="K22" s="1070" t="s">
        <v>516</v>
      </c>
    </row>
    <row r="23" spans="1:11" ht="12.75" customHeight="1">
      <c r="A23" s="1092" t="s">
        <v>23</v>
      </c>
      <c r="B23" s="1124" t="s">
        <v>151</v>
      </c>
      <c r="C23" s="1094"/>
      <c r="D23" s="1094"/>
      <c r="E23" s="1094"/>
      <c r="F23" s="1093" t="s">
        <v>127</v>
      </c>
      <c r="G23" s="1094"/>
      <c r="H23" s="1094"/>
      <c r="I23" s="1095"/>
      <c r="J23" s="1334"/>
      <c r="K23" s="1070" t="s">
        <v>517</v>
      </c>
    </row>
    <row r="24" spans="1:11" ht="12.75" customHeight="1">
      <c r="A24" s="1088" t="s">
        <v>24</v>
      </c>
      <c r="B24" s="1125" t="s">
        <v>152</v>
      </c>
      <c r="C24" s="1110">
        <f>+C25+C26+C27+C28+C29</f>
        <v>0</v>
      </c>
      <c r="D24" s="1110">
        <f>+D25+D26+D27+D28+D29</f>
        <v>0</v>
      </c>
      <c r="E24" s="1110">
        <f>+E25+E26+E27+E28+E29</f>
        <v>0</v>
      </c>
      <c r="F24" s="1089" t="s">
        <v>125</v>
      </c>
      <c r="G24" s="1094"/>
      <c r="H24" s="1094"/>
      <c r="I24" s="1095"/>
      <c r="J24" s="1334"/>
      <c r="K24" s="1070" t="s">
        <v>518</v>
      </c>
    </row>
    <row r="25" spans="1:11" ht="12.75" customHeight="1">
      <c r="A25" s="1092" t="s">
        <v>25</v>
      </c>
      <c r="B25" s="1124" t="s">
        <v>153</v>
      </c>
      <c r="C25" s="1094"/>
      <c r="D25" s="1094"/>
      <c r="E25" s="1094"/>
      <c r="F25" s="1089" t="s">
        <v>438</v>
      </c>
      <c r="G25" s="1094"/>
      <c r="H25" s="1094"/>
      <c r="I25" s="1095"/>
      <c r="J25" s="1334"/>
      <c r="K25" s="1070" t="s">
        <v>519</v>
      </c>
    </row>
    <row r="26" spans="1:11" ht="12.75" customHeight="1">
      <c r="A26" s="1088" t="s">
        <v>26</v>
      </c>
      <c r="B26" s="1124" t="s">
        <v>154</v>
      </c>
      <c r="C26" s="1094"/>
      <c r="D26" s="1094"/>
      <c r="E26" s="1094"/>
      <c r="F26" s="1126"/>
      <c r="G26" s="1094"/>
      <c r="H26" s="1094"/>
      <c r="I26" s="1095"/>
      <c r="J26" s="1334"/>
      <c r="K26" s="1070" t="s">
        <v>520</v>
      </c>
    </row>
    <row r="27" spans="1:11" ht="12.75" customHeight="1">
      <c r="A27" s="1092" t="s">
        <v>27</v>
      </c>
      <c r="B27" s="1123" t="s">
        <v>155</v>
      </c>
      <c r="C27" s="1094"/>
      <c r="D27" s="1094"/>
      <c r="E27" s="1094"/>
      <c r="F27" s="1126"/>
      <c r="G27" s="1094"/>
      <c r="H27" s="1094"/>
      <c r="I27" s="1095"/>
      <c r="J27" s="1334"/>
      <c r="K27" s="1070" t="s">
        <v>521</v>
      </c>
    </row>
    <row r="28" spans="1:11" ht="12.75" customHeight="1">
      <c r="A28" s="1088" t="s">
        <v>28</v>
      </c>
      <c r="B28" s="1127" t="s">
        <v>156</v>
      </c>
      <c r="C28" s="1094"/>
      <c r="D28" s="1094"/>
      <c r="E28" s="1094"/>
      <c r="F28" s="1098"/>
      <c r="G28" s="1094"/>
      <c r="H28" s="1094"/>
      <c r="I28" s="1095"/>
      <c r="J28" s="1334"/>
      <c r="K28" s="1070" t="s">
        <v>522</v>
      </c>
    </row>
    <row r="29" spans="1:11" ht="12.75" customHeight="1" thickBot="1">
      <c r="A29" s="1092" t="s">
        <v>29</v>
      </c>
      <c r="B29" s="1128" t="s">
        <v>157</v>
      </c>
      <c r="C29" s="1094"/>
      <c r="D29" s="1094"/>
      <c r="E29" s="1094"/>
      <c r="F29" s="1126"/>
      <c r="G29" s="1094"/>
      <c r="H29" s="1094"/>
      <c r="I29" s="1095"/>
      <c r="J29" s="1334"/>
      <c r="K29" s="1070" t="s">
        <v>523</v>
      </c>
    </row>
    <row r="30" spans="1:11" ht="21.75" customHeight="1" thickBot="1">
      <c r="A30" s="1103" t="s">
        <v>30</v>
      </c>
      <c r="B30" s="1104" t="s">
        <v>429</v>
      </c>
      <c r="C30" s="1105">
        <f>+C18+C24</f>
        <v>95009444</v>
      </c>
      <c r="D30" s="1105">
        <f>+D18+D24</f>
        <v>95337444</v>
      </c>
      <c r="E30" s="1105">
        <f>+E18+E24</f>
        <v>95337444</v>
      </c>
      <c r="F30" s="1104" t="s">
        <v>440</v>
      </c>
      <c r="G30" s="1105">
        <f>SUM(G18:G29)</f>
        <v>0</v>
      </c>
      <c r="H30" s="1105">
        <f>SUM(H18:H29)</f>
        <v>0</v>
      </c>
      <c r="I30" s="1120">
        <f>SUM(I18:I29)</f>
        <v>0</v>
      </c>
      <c r="J30" s="1334"/>
      <c r="K30" s="1070" t="s">
        <v>524</v>
      </c>
    </row>
    <row r="31" spans="1:11" ht="16.5" customHeight="1" thickBot="1">
      <c r="A31" s="1103" t="s">
        <v>31</v>
      </c>
      <c r="B31" s="1112" t="s">
        <v>430</v>
      </c>
      <c r="C31" s="1113">
        <f>+C17+C30</f>
        <v>117422063</v>
      </c>
      <c r="D31" s="1113">
        <f>+D17+D30</f>
        <v>158911088</v>
      </c>
      <c r="E31" s="1114">
        <f>+E17+E30</f>
        <v>158911088</v>
      </c>
      <c r="F31" s="1112" t="s">
        <v>439</v>
      </c>
      <c r="G31" s="1113">
        <f>+G17+G30</f>
        <v>117422063</v>
      </c>
      <c r="H31" s="1113">
        <f>+H17+H30</f>
        <v>158991088</v>
      </c>
      <c r="I31" s="1129">
        <f>+I17+I30</f>
        <v>90196937</v>
      </c>
      <c r="J31" s="1334"/>
      <c r="K31" s="1070" t="s">
        <v>525</v>
      </c>
    </row>
    <row r="32" spans="1:11" ht="16.5" customHeight="1" thickBot="1">
      <c r="A32" s="1103" t="s">
        <v>32</v>
      </c>
      <c r="B32" s="1112" t="s">
        <v>101</v>
      </c>
      <c r="C32" s="1113">
        <f>IF(C17-G17&lt;0,G17-C17,"-")</f>
        <v>95009444</v>
      </c>
      <c r="D32" s="1113">
        <f>IF(D17-H17&lt;0,H17-D17,"-")</f>
        <v>95417444</v>
      </c>
      <c r="E32" s="1114">
        <f>IF(E17-I17&lt;0,I17-E17,"-")</f>
        <v>26623293</v>
      </c>
      <c r="F32" s="1112" t="s">
        <v>102</v>
      </c>
      <c r="G32" s="1113" t="str">
        <f>IF(C17-G17&gt;0,C17-G17,"-")</f>
        <v>-</v>
      </c>
      <c r="H32" s="1113" t="str">
        <f>IF(D17-H17&gt;0,D17-H17,"-")</f>
        <v>-</v>
      </c>
      <c r="I32" s="1129" t="str">
        <f>IF(E17-I17&gt;0,E17-I17,"-")</f>
        <v>-</v>
      </c>
      <c r="J32" s="1334"/>
      <c r="K32" s="1070" t="s">
        <v>526</v>
      </c>
    </row>
    <row r="33" spans="1:11" ht="16.5" customHeight="1" thickBot="1">
      <c r="A33" s="1103" t="s">
        <v>33</v>
      </c>
      <c r="B33" s="1112" t="s">
        <v>145</v>
      </c>
      <c r="C33" s="1113" t="str">
        <f>IF(C26-G26&lt;0,G26-C26,"-")</f>
        <v>-</v>
      </c>
      <c r="D33" s="1113" t="str">
        <f>IF(D26-H26&lt;0,H26-D26,"-")</f>
        <v>-</v>
      </c>
      <c r="E33" s="1114" t="str">
        <f>IF(E26-I26&lt;0,I26-E26,"-")</f>
        <v>-</v>
      </c>
      <c r="F33" s="1112" t="s">
        <v>146</v>
      </c>
      <c r="G33" s="1113" t="str">
        <f>IF(C26-G26&gt;0,C26-G26,"-")</f>
        <v>-</v>
      </c>
      <c r="H33" s="1113" t="str">
        <f>IF(D26-H26&gt;0,D26-H26,"-")</f>
        <v>-</v>
      </c>
      <c r="I33" s="1129" t="str">
        <f>IF(E26-I26&gt;0,E26-I26,"-")</f>
        <v>-</v>
      </c>
      <c r="J33" s="1334"/>
      <c r="K33" s="1070" t="s">
        <v>527</v>
      </c>
    </row>
  </sheetData>
  <sheetProtection/>
  <mergeCells count="2">
    <mergeCell ref="J1:J33"/>
    <mergeCell ref="A3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G3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7.375" style="1130" customWidth="1"/>
    <col min="2" max="2" width="4.50390625" style="1130" customWidth="1"/>
    <col min="3" max="3" width="51.125" style="1130" customWidth="1"/>
    <col min="4" max="5" width="13.125" style="1130" customWidth="1"/>
    <col min="6" max="6" width="12.625" style="1130" customWidth="1"/>
    <col min="7" max="7" width="10.625" style="1130" customWidth="1"/>
    <col min="8" max="16384" width="9.375" style="1130" customWidth="1"/>
  </cols>
  <sheetData>
    <row r="1" ht="12.75">
      <c r="G1" s="1192" t="s">
        <v>1127</v>
      </c>
    </row>
    <row r="2" ht="12.75">
      <c r="G2" s="284"/>
    </row>
    <row r="3" spans="3:7" ht="36" customHeight="1">
      <c r="C3" s="1338" t="s">
        <v>1101</v>
      </c>
      <c r="D3" s="1339"/>
      <c r="E3" s="1339"/>
      <c r="F3" s="1339"/>
      <c r="G3" s="284"/>
    </row>
    <row r="5" ht="13.5">
      <c r="F5" s="1131" t="s">
        <v>642</v>
      </c>
    </row>
    <row r="6" spans="1:7" s="1138" customFormat="1" ht="45" customHeight="1">
      <c r="A6" s="1132" t="s">
        <v>656</v>
      </c>
      <c r="B6" s="1133"/>
      <c r="C6" s="1134" t="s">
        <v>49</v>
      </c>
      <c r="D6" s="1135" t="s">
        <v>657</v>
      </c>
      <c r="E6" s="392" t="s">
        <v>658</v>
      </c>
      <c r="F6" s="1136" t="s">
        <v>659</v>
      </c>
      <c r="G6" s="1137" t="s">
        <v>660</v>
      </c>
    </row>
    <row r="7" spans="1:7" ht="34.5" customHeight="1">
      <c r="A7" s="1139" t="s">
        <v>661</v>
      </c>
      <c r="B7" s="1140" t="s">
        <v>6</v>
      </c>
      <c r="C7" s="1140" t="s">
        <v>662</v>
      </c>
      <c r="D7" s="1166">
        <v>54277418</v>
      </c>
      <c r="E7" s="1166">
        <v>54277418</v>
      </c>
      <c r="F7" s="1167">
        <v>54277418</v>
      </c>
      <c r="G7" s="1141">
        <v>100</v>
      </c>
    </row>
    <row r="8" spans="1:7" ht="15.75" customHeight="1">
      <c r="A8" s="394"/>
      <c r="B8" s="1142" t="s">
        <v>7</v>
      </c>
      <c r="C8" s="1142" t="s">
        <v>663</v>
      </c>
      <c r="D8" s="1168">
        <v>0</v>
      </c>
      <c r="E8" s="1168">
        <v>70638</v>
      </c>
      <c r="F8" s="1168">
        <v>70638</v>
      </c>
      <c r="G8" s="1143">
        <v>100</v>
      </c>
    </row>
    <row r="9" spans="1:7" ht="12.75">
      <c r="A9" s="394"/>
      <c r="B9" s="1142"/>
      <c r="C9" s="1142"/>
      <c r="D9" s="1168"/>
      <c r="E9" s="1168"/>
      <c r="F9" s="1168"/>
      <c r="G9" s="1143"/>
    </row>
    <row r="10" spans="1:7" ht="15" customHeight="1">
      <c r="A10" s="394" t="s">
        <v>664</v>
      </c>
      <c r="B10" s="1340" t="s">
        <v>238</v>
      </c>
      <c r="C10" s="1340"/>
      <c r="D10" s="1168"/>
      <c r="E10" s="1168"/>
      <c r="F10" s="1168"/>
      <c r="G10" s="1143"/>
    </row>
    <row r="11" spans="1:7" ht="28.5" customHeight="1">
      <c r="A11" s="394"/>
      <c r="B11" s="1142" t="s">
        <v>6</v>
      </c>
      <c r="C11" s="1140" t="s">
        <v>665</v>
      </c>
      <c r="D11" s="1169">
        <v>33423600</v>
      </c>
      <c r="E11" s="1169">
        <f>34307400+294600</f>
        <v>34602000</v>
      </c>
      <c r="F11" s="1170">
        <f>34307400+294600</f>
        <v>34602000</v>
      </c>
      <c r="G11" s="1143">
        <v>100</v>
      </c>
    </row>
    <row r="12" spans="1:7" ht="15.75" customHeight="1">
      <c r="A12" s="394"/>
      <c r="B12" s="1142" t="s">
        <v>7</v>
      </c>
      <c r="C12" s="1142" t="s">
        <v>666</v>
      </c>
      <c r="D12" s="1168">
        <v>5038167</v>
      </c>
      <c r="E12" s="1168">
        <v>5147100</v>
      </c>
      <c r="F12" s="1170">
        <v>5147100</v>
      </c>
      <c r="G12" s="1143">
        <v>100</v>
      </c>
    </row>
    <row r="13" spans="1:7" s="1147" customFormat="1" ht="13.5" customHeight="1">
      <c r="A13" s="1145"/>
      <c r="B13" s="1337" t="s">
        <v>667</v>
      </c>
      <c r="C13" s="1337"/>
      <c r="D13" s="1171">
        <f>SUM(D11:D12)</f>
        <v>38461767</v>
      </c>
      <c r="E13" s="1171">
        <f>SUM(E11:E12)</f>
        <v>39749100</v>
      </c>
      <c r="F13" s="1171">
        <f>SUM(F11:F12)</f>
        <v>39749100</v>
      </c>
      <c r="G13" s="1146">
        <v>100</v>
      </c>
    </row>
    <row r="14" spans="1:7" ht="12.75">
      <c r="A14" s="394"/>
      <c r="B14" s="1142"/>
      <c r="C14" s="1142"/>
      <c r="D14" s="1171"/>
      <c r="E14" s="1172"/>
      <c r="F14" s="1168"/>
      <c r="G14" s="1143"/>
    </row>
    <row r="15" spans="1:7" ht="26.25" customHeight="1">
      <c r="A15" s="394" t="s">
        <v>668</v>
      </c>
      <c r="B15" s="1340" t="s">
        <v>239</v>
      </c>
      <c r="C15" s="1340"/>
      <c r="D15" s="394"/>
      <c r="E15" s="393"/>
      <c r="F15" s="394"/>
      <c r="G15" s="1143"/>
    </row>
    <row r="16" spans="1:7" ht="13.5" customHeight="1">
      <c r="A16" s="394"/>
      <c r="B16" s="1142" t="s">
        <v>6</v>
      </c>
      <c r="C16" s="1140" t="s">
        <v>670</v>
      </c>
      <c r="D16" s="394">
        <f>23333049+1075020</f>
        <v>24408069</v>
      </c>
      <c r="E16" s="394">
        <v>22897955</v>
      </c>
      <c r="F16" s="1144">
        <v>22897955</v>
      </c>
      <c r="G16" s="1143">
        <v>100</v>
      </c>
    </row>
    <row r="17" spans="1:7" ht="12" customHeight="1">
      <c r="A17" s="394"/>
      <c r="B17" s="1142" t="s">
        <v>7</v>
      </c>
      <c r="C17" s="1142" t="s">
        <v>671</v>
      </c>
      <c r="D17" s="394">
        <v>0</v>
      </c>
      <c r="E17" s="394">
        <v>186514</v>
      </c>
      <c r="F17" s="1144">
        <v>186514</v>
      </c>
      <c r="G17" s="1143">
        <v>100</v>
      </c>
    </row>
    <row r="18" spans="1:7" ht="27" customHeight="1">
      <c r="A18" s="394"/>
      <c r="B18" s="1142" t="s">
        <v>8</v>
      </c>
      <c r="C18" s="1140" t="s">
        <v>1036</v>
      </c>
      <c r="D18" s="394">
        <v>2325120</v>
      </c>
      <c r="E18" s="394">
        <v>2657280</v>
      </c>
      <c r="F18" s="394">
        <v>2657280</v>
      </c>
      <c r="G18" s="1143">
        <v>100</v>
      </c>
    </row>
    <row r="19" spans="1:7" ht="15" customHeight="1">
      <c r="A19" s="394"/>
      <c r="B19" s="1142" t="s">
        <v>9</v>
      </c>
      <c r="C19" s="1140" t="s">
        <v>1037</v>
      </c>
      <c r="D19" s="394">
        <v>3100000</v>
      </c>
      <c r="E19" s="393">
        <v>3100000</v>
      </c>
      <c r="F19" s="394">
        <v>3100000</v>
      </c>
      <c r="G19" s="1143">
        <v>100</v>
      </c>
    </row>
    <row r="20" spans="1:7" ht="15" customHeight="1">
      <c r="A20" s="394"/>
      <c r="B20" s="1142" t="s">
        <v>10</v>
      </c>
      <c r="C20" s="1140" t="s">
        <v>1042</v>
      </c>
      <c r="D20" s="394">
        <v>15015000</v>
      </c>
      <c r="E20" s="393">
        <v>15015000</v>
      </c>
      <c r="F20" s="394">
        <v>15015000</v>
      </c>
      <c r="G20" s="1143">
        <v>100</v>
      </c>
    </row>
    <row r="21" spans="1:7" s="1147" customFormat="1" ht="27.75" customHeight="1">
      <c r="A21" s="1145"/>
      <c r="B21" s="1337" t="s">
        <v>672</v>
      </c>
      <c r="C21" s="1337"/>
      <c r="D21" s="1145">
        <f>SUM(D16:D20)</f>
        <v>44848189</v>
      </c>
      <c r="E21" s="1145">
        <f>SUM(E16:E20)</f>
        <v>43856749</v>
      </c>
      <c r="F21" s="1145">
        <f>SUM(F16:F20)</f>
        <v>43856749</v>
      </c>
      <c r="G21" s="1146">
        <v>100</v>
      </c>
    </row>
    <row r="22" spans="1:7" ht="15.75" customHeight="1">
      <c r="A22" s="394" t="s">
        <v>673</v>
      </c>
      <c r="B22" s="1340" t="s">
        <v>240</v>
      </c>
      <c r="C22" s="1340"/>
      <c r="D22" s="394"/>
      <c r="E22" s="393"/>
      <c r="F22" s="394"/>
      <c r="G22" s="1143"/>
    </row>
    <row r="23" spans="1:7" ht="40.5" customHeight="1">
      <c r="A23" s="394"/>
      <c r="B23" s="1142" t="s">
        <v>6</v>
      </c>
      <c r="C23" s="1140" t="s">
        <v>674</v>
      </c>
      <c r="D23" s="394">
        <v>2743070</v>
      </c>
      <c r="E23" s="393">
        <v>2743070</v>
      </c>
      <c r="F23" s="394">
        <v>2743070</v>
      </c>
      <c r="G23" s="1143">
        <v>100</v>
      </c>
    </row>
    <row r="24" spans="1:7" s="1147" customFormat="1" ht="27" customHeight="1">
      <c r="A24" s="1145"/>
      <c r="B24" s="1337" t="s">
        <v>675</v>
      </c>
      <c r="C24" s="1337"/>
      <c r="D24" s="1145">
        <f>SUM(D23)</f>
        <v>2743070</v>
      </c>
      <c r="E24" s="1145">
        <f>SUM(E23)</f>
        <v>2743070</v>
      </c>
      <c r="F24" s="1145">
        <f>SUM(F23)</f>
        <v>2743070</v>
      </c>
      <c r="G24" s="1146">
        <v>100</v>
      </c>
    </row>
    <row r="25" spans="1:7" s="1147" customFormat="1" ht="12.75">
      <c r="A25" s="1148"/>
      <c r="B25" s="1149"/>
      <c r="C25" s="1150" t="s">
        <v>39</v>
      </c>
      <c r="D25" s="1148">
        <f>D7+D8+D13+D21+D24</f>
        <v>140330444</v>
      </c>
      <c r="E25" s="1148">
        <f>E7+E8+E13+E21+E24</f>
        <v>140696975</v>
      </c>
      <c r="F25" s="1148">
        <f>F7+F8+F13+F21+F24</f>
        <v>140696975</v>
      </c>
      <c r="G25" s="1151">
        <v>100</v>
      </c>
    </row>
    <row r="26" ht="12.75">
      <c r="G26" s="1147"/>
    </row>
    <row r="31" ht="12.75">
      <c r="D31" s="1142"/>
    </row>
    <row r="32" ht="12.75">
      <c r="D32" s="1142"/>
    </row>
    <row r="33" ht="12.75">
      <c r="D33" s="1147"/>
    </row>
  </sheetData>
  <sheetProtection/>
  <mergeCells count="7">
    <mergeCell ref="B24:C24"/>
    <mergeCell ref="C3:F3"/>
    <mergeCell ref="B10:C10"/>
    <mergeCell ref="B13:C13"/>
    <mergeCell ref="B15:C15"/>
    <mergeCell ref="B21:C21"/>
    <mergeCell ref="B22:C2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scale="80" r:id="rId1"/>
  <headerFooter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G2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875" style="428" customWidth="1"/>
    <col min="2" max="2" width="4.875" style="428" customWidth="1"/>
    <col min="3" max="3" width="56.125" style="429" customWidth="1"/>
    <col min="4" max="4" width="13.875" style="429" customWidth="1"/>
    <col min="5" max="5" width="13.50390625" style="428" customWidth="1"/>
    <col min="6" max="6" width="12.00390625" style="428" customWidth="1"/>
    <col min="7" max="7" width="9.625" style="428" customWidth="1"/>
    <col min="8" max="16384" width="9.375" style="428" customWidth="1"/>
  </cols>
  <sheetData>
    <row r="1" ht="12.75">
      <c r="G1" s="1192" t="s">
        <v>1128</v>
      </c>
    </row>
    <row r="2" ht="12.75">
      <c r="G2" s="284"/>
    </row>
    <row r="3" spans="3:7" ht="12.75">
      <c r="C3" s="1348" t="s">
        <v>1102</v>
      </c>
      <c r="D3" s="1339"/>
      <c r="E3" s="1339"/>
      <c r="F3" s="1339"/>
      <c r="G3" s="284"/>
    </row>
    <row r="4" spans="3:7" ht="12.75">
      <c r="C4" s="1339"/>
      <c r="D4" s="1339"/>
      <c r="E4" s="1339"/>
      <c r="F4" s="1339"/>
      <c r="G4" s="284"/>
    </row>
    <row r="6" ht="13.5">
      <c r="F6" s="1179" t="s">
        <v>642</v>
      </c>
    </row>
    <row r="7" spans="1:7" s="400" customFormat="1" ht="53.25" customHeight="1">
      <c r="A7" s="395" t="s">
        <v>656</v>
      </c>
      <c r="B7" s="395"/>
      <c r="C7" s="396" t="s">
        <v>49</v>
      </c>
      <c r="D7" s="397" t="s">
        <v>657</v>
      </c>
      <c r="E7" s="392" t="s">
        <v>658</v>
      </c>
      <c r="F7" s="398">
        <v>43465</v>
      </c>
      <c r="G7" s="399" t="s">
        <v>660</v>
      </c>
    </row>
    <row r="8" spans="1:4" s="400" customFormat="1" ht="15.75" customHeight="1">
      <c r="A8" s="401"/>
      <c r="B8" s="402"/>
      <c r="C8" s="403" t="s">
        <v>676</v>
      </c>
      <c r="D8" s="403"/>
    </row>
    <row r="9" spans="1:7" s="400" customFormat="1" ht="15.75" customHeight="1">
      <c r="A9" s="404"/>
      <c r="B9" s="405"/>
      <c r="C9" s="406"/>
      <c r="D9" s="406"/>
      <c r="E9" s="1173"/>
      <c r="F9" s="1174"/>
      <c r="G9" s="404"/>
    </row>
    <row r="10" spans="1:7" s="400" customFormat="1" ht="15" customHeight="1">
      <c r="A10" s="409" t="s">
        <v>6</v>
      </c>
      <c r="B10" s="1349" t="s">
        <v>677</v>
      </c>
      <c r="C10" s="1349"/>
      <c r="D10" s="410">
        <v>0</v>
      </c>
      <c r="E10" s="1175">
        <v>955619</v>
      </c>
      <c r="F10" s="1176">
        <v>955619</v>
      </c>
      <c r="G10" s="412">
        <v>100</v>
      </c>
    </row>
    <row r="11" spans="1:7" s="400" customFormat="1" ht="15" customHeight="1">
      <c r="A11" s="409" t="s">
        <v>7</v>
      </c>
      <c r="B11" s="1350" t="s">
        <v>1043</v>
      </c>
      <c r="C11" s="1350"/>
      <c r="D11" s="410">
        <v>0</v>
      </c>
      <c r="E11" s="1175">
        <v>266700</v>
      </c>
      <c r="F11" s="1175">
        <v>266700</v>
      </c>
      <c r="G11" s="412">
        <v>100</v>
      </c>
    </row>
    <row r="12" spans="1:7" s="400" customFormat="1" ht="15" customHeight="1">
      <c r="A12" s="409" t="s">
        <v>8</v>
      </c>
      <c r="B12" s="1351" t="s">
        <v>678</v>
      </c>
      <c r="C12" s="1351"/>
      <c r="D12" s="413">
        <v>0</v>
      </c>
      <c r="E12" s="1175">
        <v>2688000</v>
      </c>
      <c r="F12" s="1175">
        <v>2688000</v>
      </c>
      <c r="G12" s="412">
        <v>100</v>
      </c>
    </row>
    <row r="13" spans="1:7" s="400" customFormat="1" ht="15.75" customHeight="1">
      <c r="A13" s="414" t="s">
        <v>679</v>
      </c>
      <c r="B13" s="1352" t="s">
        <v>680</v>
      </c>
      <c r="C13" s="1353"/>
      <c r="D13" s="415">
        <f>SUM(D10:D12)</f>
        <v>0</v>
      </c>
      <c r="E13" s="1177">
        <f>SUM(E10:E12)</f>
        <v>3910319</v>
      </c>
      <c r="F13" s="1177">
        <f>SUM(F10:F12)</f>
        <v>3910319</v>
      </c>
      <c r="G13" s="416">
        <v>100</v>
      </c>
    </row>
    <row r="14" spans="1:7" s="400" customFormat="1" ht="15.75" customHeight="1">
      <c r="A14" s="401"/>
      <c r="B14" s="402"/>
      <c r="C14" s="403" t="s">
        <v>681</v>
      </c>
      <c r="D14" s="417"/>
      <c r="G14" s="418"/>
    </row>
    <row r="15" spans="1:7" s="400" customFormat="1" ht="24.75" customHeight="1">
      <c r="A15" s="404" t="s">
        <v>682</v>
      </c>
      <c r="B15" s="1342" t="s">
        <v>683</v>
      </c>
      <c r="C15" s="1343"/>
      <c r="D15" s="419"/>
      <c r="E15" s="407"/>
      <c r="F15" s="407"/>
      <c r="G15" s="420"/>
    </row>
    <row r="16" spans="1:7" s="400" customFormat="1" ht="14.25" customHeight="1">
      <c r="A16" s="1152" t="s">
        <v>68</v>
      </c>
      <c r="B16" s="1344" t="s">
        <v>1044</v>
      </c>
      <c r="C16" s="1345"/>
      <c r="D16" s="1153">
        <v>12612619</v>
      </c>
      <c r="E16" s="1154">
        <v>12612619</v>
      </c>
      <c r="F16" s="1154">
        <v>12612619</v>
      </c>
      <c r="G16" s="420">
        <v>100</v>
      </c>
    </row>
    <row r="17" spans="1:7" s="400" customFormat="1" ht="14.25" customHeight="1">
      <c r="A17" s="1155" t="s">
        <v>69</v>
      </c>
      <c r="B17" s="1346" t="s">
        <v>1045</v>
      </c>
      <c r="C17" s="1347"/>
      <c r="D17" s="421">
        <v>0</v>
      </c>
      <c r="E17" s="421">
        <v>14998918</v>
      </c>
      <c r="F17" s="421">
        <v>14998918</v>
      </c>
      <c r="G17" s="412">
        <v>100</v>
      </c>
    </row>
    <row r="18" spans="1:7" s="424" customFormat="1" ht="15.75" customHeight="1">
      <c r="A18" s="422" t="s">
        <v>682</v>
      </c>
      <c r="B18" s="1342" t="s">
        <v>683</v>
      </c>
      <c r="C18" s="1343"/>
      <c r="D18" s="423">
        <f>SUM(D16:D17)</f>
        <v>12612619</v>
      </c>
      <c r="E18" s="423">
        <f>SUM(E16:E17)</f>
        <v>27611537</v>
      </c>
      <c r="F18" s="423">
        <f>SUM(F16:F17)</f>
        <v>27611537</v>
      </c>
      <c r="G18" s="416">
        <v>100</v>
      </c>
    </row>
    <row r="19" spans="1:7" s="424" customFormat="1" ht="15.75" customHeight="1">
      <c r="A19" s="1341" t="s">
        <v>684</v>
      </c>
      <c r="B19" s="1341"/>
      <c r="C19" s="1341"/>
      <c r="D19" s="425">
        <f>D13+D18</f>
        <v>12612619</v>
      </c>
      <c r="E19" s="425">
        <f>E13+E18</f>
        <v>31521856</v>
      </c>
      <c r="F19" s="425">
        <f>F13+F18</f>
        <v>31521856</v>
      </c>
      <c r="G19" s="416">
        <v>100</v>
      </c>
    </row>
    <row r="20" spans="1:4" s="400" customFormat="1" ht="12.75">
      <c r="A20" s="401"/>
      <c r="B20" s="402"/>
      <c r="C20" s="403"/>
      <c r="D20" s="403"/>
    </row>
    <row r="21" spans="1:4" ht="12.75">
      <c r="A21" s="426"/>
      <c r="B21" s="426"/>
      <c r="C21" s="427"/>
      <c r="D21" s="427"/>
    </row>
    <row r="22" spans="1:4" ht="12.75">
      <c r="A22" s="426"/>
      <c r="B22" s="426"/>
      <c r="C22" s="427"/>
      <c r="D22" s="427"/>
    </row>
    <row r="23" spans="1:4" ht="12.75">
      <c r="A23" s="426"/>
      <c r="B23" s="426"/>
      <c r="C23" s="427"/>
      <c r="D23" s="427"/>
    </row>
  </sheetData>
  <sheetProtection/>
  <mergeCells count="10">
    <mergeCell ref="A19:C19"/>
    <mergeCell ref="B15:C15"/>
    <mergeCell ref="B16:C16"/>
    <mergeCell ref="B17:C17"/>
    <mergeCell ref="C3:F4"/>
    <mergeCell ref="B10:C10"/>
    <mergeCell ref="B11:C11"/>
    <mergeCell ref="B12:C12"/>
    <mergeCell ref="B13:C13"/>
    <mergeCell ref="B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84"/>
  <sheetViews>
    <sheetView zoomScalePageLayoutView="0" workbookViewId="0" topLeftCell="A1">
      <selection activeCell="G2" sqref="G2"/>
    </sheetView>
  </sheetViews>
  <sheetFormatPr defaultColWidth="39.00390625" defaultRowHeight="12.75"/>
  <cols>
    <col min="1" max="1" width="6.375" style="437" customWidth="1"/>
    <col min="2" max="2" width="4.375" style="437" customWidth="1"/>
    <col min="3" max="3" width="58.125" style="437" customWidth="1"/>
    <col min="4" max="4" width="15.375" style="437" customWidth="1"/>
    <col min="5" max="5" width="12.625" style="458" customWidth="1"/>
    <col min="6" max="6" width="12.625" style="437" customWidth="1"/>
    <col min="7" max="7" width="9.875" style="437" customWidth="1"/>
    <col min="8" max="16384" width="39.00390625" style="437" customWidth="1"/>
  </cols>
  <sheetData>
    <row r="1" ht="12.75">
      <c r="G1" s="1192" t="s">
        <v>1129</v>
      </c>
    </row>
    <row r="3" spans="3:6" ht="12.75">
      <c r="C3" s="1389" t="s">
        <v>1103</v>
      </c>
      <c r="D3" s="1390"/>
      <c r="E3" s="1390"/>
      <c r="F3" s="1390"/>
    </row>
    <row r="4" spans="3:6" ht="12.75">
      <c r="C4" s="1390"/>
      <c r="D4" s="1390"/>
      <c r="E4" s="1390"/>
      <c r="F4" s="1390"/>
    </row>
    <row r="6" ht="13.5">
      <c r="F6" s="1178" t="s">
        <v>642</v>
      </c>
    </row>
    <row r="7" spans="1:7" s="432" customFormat="1" ht="63" customHeight="1">
      <c r="A7" s="430" t="s">
        <v>656</v>
      </c>
      <c r="B7" s="395"/>
      <c r="C7" s="431" t="s">
        <v>49</v>
      </c>
      <c r="D7" s="392" t="s">
        <v>657</v>
      </c>
      <c r="E7" s="392" t="s">
        <v>658</v>
      </c>
      <c r="F7" s="398">
        <v>43465</v>
      </c>
      <c r="G7" s="399" t="s">
        <v>660</v>
      </c>
    </row>
    <row r="8" spans="1:7" ht="27" customHeight="1">
      <c r="A8" s="433" t="s">
        <v>661</v>
      </c>
      <c r="B8" s="1354" t="s">
        <v>1046</v>
      </c>
      <c r="C8" s="1355"/>
      <c r="D8" s="434"/>
      <c r="E8" s="435"/>
      <c r="F8" s="432"/>
      <c r="G8" s="436"/>
    </row>
    <row r="9" spans="1:7" s="400" customFormat="1" ht="13.5" customHeight="1">
      <c r="A9" s="438" t="s">
        <v>6</v>
      </c>
      <c r="B9" s="1356" t="s">
        <v>1047</v>
      </c>
      <c r="C9" s="1357"/>
      <c r="D9" s="439">
        <v>0</v>
      </c>
      <c r="E9" s="440">
        <v>262400</v>
      </c>
      <c r="F9" s="440">
        <v>262400</v>
      </c>
      <c r="G9" s="441">
        <v>100</v>
      </c>
    </row>
    <row r="10" spans="1:7" s="400" customFormat="1" ht="27" customHeight="1">
      <c r="A10" s="442" t="s">
        <v>685</v>
      </c>
      <c r="B10" s="1358" t="s">
        <v>1048</v>
      </c>
      <c r="C10" s="1359"/>
      <c r="D10" s="443">
        <v>0</v>
      </c>
      <c r="E10" s="444">
        <v>3361020</v>
      </c>
      <c r="F10" s="444">
        <v>3361020</v>
      </c>
      <c r="G10" s="445">
        <v>100</v>
      </c>
    </row>
    <row r="11" spans="1:7" s="400" customFormat="1" ht="27" customHeight="1">
      <c r="A11" s="442" t="s">
        <v>686</v>
      </c>
      <c r="B11" s="1360" t="s">
        <v>1049</v>
      </c>
      <c r="C11" s="1361"/>
      <c r="D11" s="446">
        <v>0</v>
      </c>
      <c r="E11" s="444">
        <v>805500</v>
      </c>
      <c r="F11" s="444">
        <v>805500</v>
      </c>
      <c r="G11" s="445">
        <v>100</v>
      </c>
    </row>
    <row r="12" spans="1:7" s="400" customFormat="1" ht="27" customHeight="1">
      <c r="A12" s="442" t="s">
        <v>687</v>
      </c>
      <c r="B12" s="1362" t="s">
        <v>1050</v>
      </c>
      <c r="C12" s="1363"/>
      <c r="D12" s="447">
        <v>0</v>
      </c>
      <c r="E12" s="444">
        <v>500000</v>
      </c>
      <c r="F12" s="444">
        <v>500000</v>
      </c>
      <c r="G12" s="445">
        <v>100</v>
      </c>
    </row>
    <row r="13" spans="1:7" s="400" customFormat="1" ht="15.75" customHeight="1">
      <c r="A13" s="442" t="s">
        <v>688</v>
      </c>
      <c r="B13" s="1358" t="s">
        <v>1051</v>
      </c>
      <c r="C13" s="1359"/>
      <c r="D13" s="448">
        <v>0</v>
      </c>
      <c r="E13" s="444">
        <f>861188+166089</f>
        <v>1027277</v>
      </c>
      <c r="F13" s="444">
        <f>861188+166089</f>
        <v>1027277</v>
      </c>
      <c r="G13" s="445">
        <v>100</v>
      </c>
    </row>
    <row r="14" spans="1:7" s="400" customFormat="1" ht="15.75" customHeight="1">
      <c r="A14" s="442" t="s">
        <v>689</v>
      </c>
      <c r="B14" s="1358" t="s">
        <v>1052</v>
      </c>
      <c r="C14" s="1359"/>
      <c r="D14" s="448">
        <v>4200000</v>
      </c>
      <c r="E14" s="444">
        <v>4188000</v>
      </c>
      <c r="F14" s="444">
        <f>2651700+1536300</f>
        <v>4188000</v>
      </c>
      <c r="G14" s="445">
        <v>100</v>
      </c>
    </row>
    <row r="15" spans="1:7" s="400" customFormat="1" ht="15.75" customHeight="1">
      <c r="A15" s="442" t="s">
        <v>690</v>
      </c>
      <c r="B15" s="1360" t="s">
        <v>1053</v>
      </c>
      <c r="C15" s="1361"/>
      <c r="D15" s="446">
        <v>0</v>
      </c>
      <c r="E15" s="444">
        <f>184430+5994606</f>
        <v>6179036</v>
      </c>
      <c r="F15" s="444">
        <f>184430+5994606</f>
        <v>6179036</v>
      </c>
      <c r="G15" s="445">
        <v>100</v>
      </c>
    </row>
    <row r="16" spans="1:7" s="400" customFormat="1" ht="24.75" customHeight="1">
      <c r="A16" s="442" t="s">
        <v>691</v>
      </c>
      <c r="B16" s="1360" t="s">
        <v>1054</v>
      </c>
      <c r="C16" s="1361"/>
      <c r="D16" s="446">
        <v>11413374</v>
      </c>
      <c r="E16" s="444">
        <v>11765460</v>
      </c>
      <c r="F16" s="444">
        <v>11765460</v>
      </c>
      <c r="G16" s="445">
        <v>100</v>
      </c>
    </row>
    <row r="17" spans="1:7" s="400" customFormat="1" ht="12.75">
      <c r="A17" s="442" t="s">
        <v>692</v>
      </c>
      <c r="B17" s="1360" t="s">
        <v>1055</v>
      </c>
      <c r="C17" s="1361"/>
      <c r="D17" s="446">
        <v>0</v>
      </c>
      <c r="E17" s="444">
        <v>923900</v>
      </c>
      <c r="F17" s="444">
        <v>923900</v>
      </c>
      <c r="G17" s="445">
        <v>100</v>
      </c>
    </row>
    <row r="18" spans="1:7" s="400" customFormat="1" ht="12.75" customHeight="1">
      <c r="A18" s="442" t="s">
        <v>444</v>
      </c>
      <c r="B18" s="1364" t="s">
        <v>1056</v>
      </c>
      <c r="C18" s="1365"/>
      <c r="D18" s="449">
        <v>0</v>
      </c>
      <c r="E18" s="444">
        <v>400000</v>
      </c>
      <c r="F18" s="411">
        <v>400000</v>
      </c>
      <c r="G18" s="445">
        <v>100</v>
      </c>
    </row>
    <row r="19" spans="1:7" s="402" customFormat="1" ht="27" customHeight="1">
      <c r="A19" s="442" t="s">
        <v>693</v>
      </c>
      <c r="B19" s="1364" t="s">
        <v>1057</v>
      </c>
      <c r="C19" s="1365"/>
      <c r="D19" s="449">
        <v>0</v>
      </c>
      <c r="E19" s="444">
        <v>810000</v>
      </c>
      <c r="F19" s="411">
        <v>810000</v>
      </c>
      <c r="G19" s="445">
        <v>100</v>
      </c>
    </row>
    <row r="20" spans="1:7" s="402" customFormat="1" ht="15" customHeight="1">
      <c r="A20" s="442" t="s">
        <v>694</v>
      </c>
      <c r="B20" s="1364" t="s">
        <v>1058</v>
      </c>
      <c r="C20" s="1365"/>
      <c r="D20" s="449"/>
      <c r="E20" s="444">
        <v>1166842</v>
      </c>
      <c r="F20" s="411">
        <v>1166842</v>
      </c>
      <c r="G20" s="445">
        <v>100</v>
      </c>
    </row>
    <row r="21" spans="1:7" s="402" customFormat="1" ht="17.25" customHeight="1">
      <c r="A21" s="442" t="s">
        <v>695</v>
      </c>
      <c r="B21" s="1366" t="s">
        <v>1059</v>
      </c>
      <c r="C21" s="1367"/>
      <c r="D21" s="450"/>
      <c r="E21" s="444">
        <v>120000</v>
      </c>
      <c r="F21" s="411">
        <v>120000</v>
      </c>
      <c r="G21" s="445">
        <v>100</v>
      </c>
    </row>
    <row r="22" spans="1:7" s="402" customFormat="1" ht="18" customHeight="1">
      <c r="A22" s="442" t="s">
        <v>696</v>
      </c>
      <c r="B22" s="1358"/>
      <c r="C22" s="1359"/>
      <c r="D22" s="448"/>
      <c r="E22" s="444"/>
      <c r="F22" s="411"/>
      <c r="G22" s="445">
        <v>0</v>
      </c>
    </row>
    <row r="23" spans="1:7" s="455" customFormat="1" ht="15" customHeight="1">
      <c r="A23" s="451" t="s">
        <v>697</v>
      </c>
      <c r="B23" s="451" t="s">
        <v>1064</v>
      </c>
      <c r="C23" s="451"/>
      <c r="D23" s="452">
        <f>SUM(D9:D22)</f>
        <v>15613374</v>
      </c>
      <c r="E23" s="452">
        <f>SUM(E9:E22)</f>
        <v>31509435</v>
      </c>
      <c r="F23" s="452">
        <f>SUM(F9:F22)</f>
        <v>31509435</v>
      </c>
      <c r="G23" s="454">
        <v>100</v>
      </c>
    </row>
    <row r="24" spans="1:7" ht="12.75">
      <c r="A24" s="456"/>
      <c r="B24" s="457"/>
      <c r="C24" s="457"/>
      <c r="D24" s="457"/>
      <c r="F24" s="459"/>
      <c r="G24" s="460"/>
    </row>
    <row r="25" spans="1:7" ht="12.75" customHeight="1">
      <c r="A25" s="461" t="s">
        <v>664</v>
      </c>
      <c r="B25" s="1368" t="s">
        <v>698</v>
      </c>
      <c r="C25" s="1369"/>
      <c r="D25" s="462"/>
      <c r="E25" s="463"/>
      <c r="F25" s="464"/>
      <c r="G25" s="465"/>
    </row>
    <row r="26" spans="1:7" ht="12.75" customHeight="1">
      <c r="A26" s="466" t="s">
        <v>699</v>
      </c>
      <c r="B26" s="1370" t="s">
        <v>1060</v>
      </c>
      <c r="C26" s="1371"/>
      <c r="D26" s="468">
        <v>0</v>
      </c>
      <c r="E26" s="469">
        <v>455000</v>
      </c>
      <c r="F26" s="470">
        <v>455000</v>
      </c>
      <c r="G26" s="465">
        <v>100</v>
      </c>
    </row>
    <row r="27" spans="1:7" ht="12.75" customHeight="1">
      <c r="A27" s="471" t="s">
        <v>685</v>
      </c>
      <c r="B27" s="1372"/>
      <c r="C27" s="1373"/>
      <c r="D27" s="468"/>
      <c r="E27" s="469"/>
      <c r="F27" s="470"/>
      <c r="G27" s="473">
        <v>100</v>
      </c>
    </row>
    <row r="28" spans="1:7" s="400" customFormat="1" ht="12.75" customHeight="1">
      <c r="A28" s="471" t="s">
        <v>686</v>
      </c>
      <c r="B28" s="1374"/>
      <c r="C28" s="1375"/>
      <c r="D28" s="474"/>
      <c r="E28" s="475"/>
      <c r="F28" s="394"/>
      <c r="G28" s="473">
        <v>100</v>
      </c>
    </row>
    <row r="29" spans="1:7" s="400" customFormat="1" ht="26.25" customHeight="1">
      <c r="A29" s="476" t="s">
        <v>664</v>
      </c>
      <c r="B29" s="1376" t="s">
        <v>700</v>
      </c>
      <c r="C29" s="1377"/>
      <c r="D29" s="477">
        <f>SUM(D26:D28)</f>
        <v>0</v>
      </c>
      <c r="E29" s="477">
        <f>SUM(E26:E28)</f>
        <v>455000</v>
      </c>
      <c r="F29" s="477">
        <f>SUM(F26:F28)</f>
        <v>455000</v>
      </c>
      <c r="G29" s="454">
        <v>100</v>
      </c>
    </row>
    <row r="30" spans="1:7" ht="15.75" customHeight="1">
      <c r="A30" s="478"/>
      <c r="B30" s="479"/>
      <c r="C30" s="479"/>
      <c r="D30" s="479"/>
      <c r="F30" s="459"/>
      <c r="G30" s="460"/>
    </row>
    <row r="31" spans="1:7" ht="15" customHeight="1">
      <c r="A31" s="480" t="s">
        <v>701</v>
      </c>
      <c r="B31" s="481" t="s">
        <v>702</v>
      </c>
      <c r="C31" s="482"/>
      <c r="D31" s="481"/>
      <c r="E31" s="483"/>
      <c r="F31" s="484"/>
      <c r="G31" s="465"/>
    </row>
    <row r="32" spans="1:7" ht="15.75" customHeight="1">
      <c r="A32" s="485"/>
      <c r="B32" s="486" t="s">
        <v>703</v>
      </c>
      <c r="C32" s="487"/>
      <c r="D32" s="488">
        <f>D23+D29</f>
        <v>15613374</v>
      </c>
      <c r="E32" s="488">
        <f>E23+E29</f>
        <v>31964435</v>
      </c>
      <c r="F32" s="488">
        <f>F23+F29</f>
        <v>31964435</v>
      </c>
      <c r="G32" s="489">
        <v>100</v>
      </c>
    </row>
    <row r="33" spans="1:7" ht="12.75">
      <c r="A33" s="432"/>
      <c r="B33" s="432"/>
      <c r="C33" s="490"/>
      <c r="D33" s="490"/>
      <c r="F33" s="459"/>
      <c r="G33" s="460"/>
    </row>
    <row r="34" spans="1:7" s="432" customFormat="1" ht="27" customHeight="1">
      <c r="A34" s="491" t="s">
        <v>668</v>
      </c>
      <c r="B34" s="491"/>
      <c r="C34" s="492" t="s">
        <v>422</v>
      </c>
      <c r="D34" s="492"/>
      <c r="E34" s="493"/>
      <c r="F34" s="464"/>
      <c r="G34" s="494"/>
    </row>
    <row r="35" spans="1:7" s="432" customFormat="1" ht="27" customHeight="1">
      <c r="A35" s="442" t="s">
        <v>6</v>
      </c>
      <c r="B35" s="1378" t="s">
        <v>1061</v>
      </c>
      <c r="C35" s="1379"/>
      <c r="D35" s="444">
        <v>9800000</v>
      </c>
      <c r="E35" s="495">
        <v>9800000</v>
      </c>
      <c r="F35" s="408">
        <v>9800000</v>
      </c>
      <c r="G35" s="441">
        <v>100</v>
      </c>
    </row>
    <row r="36" spans="1:7" s="432" customFormat="1" ht="27" customHeight="1">
      <c r="A36" s="442" t="s">
        <v>7</v>
      </c>
      <c r="B36" s="1378" t="s">
        <v>1062</v>
      </c>
      <c r="C36" s="1379"/>
      <c r="D36" s="444">
        <v>0</v>
      </c>
      <c r="E36" s="495">
        <v>18460107</v>
      </c>
      <c r="F36" s="411">
        <v>18460107</v>
      </c>
      <c r="G36" s="445">
        <v>100</v>
      </c>
    </row>
    <row r="37" spans="1:7" s="432" customFormat="1" ht="27" customHeight="1">
      <c r="A37" s="442" t="s">
        <v>8</v>
      </c>
      <c r="B37" s="1378" t="s">
        <v>1063</v>
      </c>
      <c r="C37" s="1379"/>
      <c r="D37" s="444">
        <v>0</v>
      </c>
      <c r="E37" s="495">
        <v>7000000</v>
      </c>
      <c r="F37" s="411">
        <v>7000000</v>
      </c>
      <c r="G37" s="445">
        <v>100</v>
      </c>
    </row>
    <row r="38" spans="1:7" s="432" customFormat="1" ht="27" customHeight="1">
      <c r="A38" s="442" t="s">
        <v>9</v>
      </c>
      <c r="B38" s="1378"/>
      <c r="C38" s="1379"/>
      <c r="D38" s="444"/>
      <c r="E38" s="495"/>
      <c r="F38" s="411"/>
      <c r="G38" s="445"/>
    </row>
    <row r="39" spans="1:7" s="432" customFormat="1" ht="17.25" customHeight="1" hidden="1">
      <c r="A39" s="442" t="s">
        <v>10</v>
      </c>
      <c r="B39" s="1378"/>
      <c r="C39" s="1379"/>
      <c r="D39" s="444"/>
      <c r="E39" s="495"/>
      <c r="F39" s="411"/>
      <c r="G39" s="445"/>
    </row>
    <row r="40" spans="1:7" s="432" customFormat="1" ht="27" customHeight="1" hidden="1">
      <c r="A40" s="442" t="s">
        <v>11</v>
      </c>
      <c r="B40" s="1358"/>
      <c r="C40" s="1350"/>
      <c r="D40" s="444"/>
      <c r="E40" s="495"/>
      <c r="F40" s="411"/>
      <c r="G40" s="445"/>
    </row>
    <row r="41" spans="1:7" s="432" customFormat="1" ht="16.5" customHeight="1" hidden="1">
      <c r="A41" s="442" t="s">
        <v>12</v>
      </c>
      <c r="B41" s="1366"/>
      <c r="C41" s="1367"/>
      <c r="D41" s="444"/>
      <c r="E41" s="495"/>
      <c r="F41" s="411"/>
      <c r="G41" s="445"/>
    </row>
    <row r="42" spans="1:7" s="432" customFormat="1" ht="24.75" customHeight="1" hidden="1">
      <c r="A42" s="442" t="s">
        <v>13</v>
      </c>
      <c r="B42" s="1360"/>
      <c r="C42" s="1351"/>
      <c r="D42" s="496"/>
      <c r="E42" s="495"/>
      <c r="F42" s="411"/>
      <c r="G42" s="445"/>
    </row>
    <row r="43" spans="1:7" s="432" customFormat="1" ht="24.75" customHeight="1" hidden="1">
      <c r="A43" s="442" t="s">
        <v>14</v>
      </c>
      <c r="B43" s="1360"/>
      <c r="C43" s="1351"/>
      <c r="D43" s="444"/>
      <c r="E43" s="495"/>
      <c r="F43" s="411"/>
      <c r="G43" s="445"/>
    </row>
    <row r="44" spans="1:7" s="432" customFormat="1" ht="24.75" customHeight="1" hidden="1">
      <c r="A44" s="442" t="s">
        <v>15</v>
      </c>
      <c r="B44" s="1362"/>
      <c r="C44" s="1388"/>
      <c r="D44" s="497"/>
      <c r="E44" s="495"/>
      <c r="F44" s="411"/>
      <c r="G44" s="445"/>
    </row>
    <row r="45" spans="1:7" s="432" customFormat="1" ht="28.5" customHeight="1" hidden="1">
      <c r="A45" s="442" t="s">
        <v>16</v>
      </c>
      <c r="B45" s="1400"/>
      <c r="C45" s="1401"/>
      <c r="D45" s="498"/>
      <c r="E45" s="495"/>
      <c r="F45" s="499"/>
      <c r="G45" s="445"/>
    </row>
    <row r="46" spans="1:7" ht="12.75">
      <c r="A46" s="500"/>
      <c r="B46" s="1402" t="s">
        <v>704</v>
      </c>
      <c r="C46" s="1403"/>
      <c r="D46" s="453">
        <f>SUM(D35:D45)</f>
        <v>9800000</v>
      </c>
      <c r="E46" s="453">
        <f>SUM(E35:E45)</f>
        <v>35260107</v>
      </c>
      <c r="F46" s="453">
        <f>SUM(F35:F45)</f>
        <v>35260107</v>
      </c>
      <c r="G46" s="501">
        <v>100</v>
      </c>
    </row>
    <row r="47" spans="1:7" s="455" customFormat="1" ht="15" customHeight="1">
      <c r="A47" s="502" t="s">
        <v>673</v>
      </c>
      <c r="B47" s="503" t="s">
        <v>705</v>
      </c>
      <c r="C47" s="504"/>
      <c r="D47" s="505"/>
      <c r="E47" s="506"/>
      <c r="F47" s="507"/>
      <c r="G47" s="441"/>
    </row>
    <row r="48" spans="1:7" s="400" customFormat="1" ht="15" customHeight="1">
      <c r="A48" s="438" t="s">
        <v>6</v>
      </c>
      <c r="B48" s="1380" t="s">
        <v>1065</v>
      </c>
      <c r="C48" s="1381"/>
      <c r="D48" s="508"/>
      <c r="E48" s="393">
        <v>702000</v>
      </c>
      <c r="F48" s="393">
        <v>702000</v>
      </c>
      <c r="G48" s="509">
        <v>100</v>
      </c>
    </row>
    <row r="49" spans="1:9" ht="16.5" customHeight="1">
      <c r="A49" s="442" t="s">
        <v>7</v>
      </c>
      <c r="B49" s="1382"/>
      <c r="C49" s="1383"/>
      <c r="D49" s="495"/>
      <c r="E49" s="475"/>
      <c r="F49" s="510"/>
      <c r="G49" s="511"/>
      <c r="H49" s="1384"/>
      <c r="I49" s="1384"/>
    </row>
    <row r="50" spans="1:7" s="455" customFormat="1" ht="15" customHeight="1">
      <c r="A50" s="512" t="s">
        <v>673</v>
      </c>
      <c r="B50" s="503" t="s">
        <v>706</v>
      </c>
      <c r="C50" s="504"/>
      <c r="D50" s="513">
        <f>SUM(D48:D49)</f>
        <v>0</v>
      </c>
      <c r="E50" s="513">
        <f>SUM(E48:E49)</f>
        <v>702000</v>
      </c>
      <c r="F50" s="513">
        <f>SUM(F48:F49)</f>
        <v>702000</v>
      </c>
      <c r="G50" s="454">
        <v>100</v>
      </c>
    </row>
    <row r="51" spans="1:7" ht="12.75">
      <c r="A51" s="515"/>
      <c r="B51" s="432"/>
      <c r="C51" s="490"/>
      <c r="D51" s="516"/>
      <c r="F51" s="459"/>
      <c r="G51" s="517"/>
    </row>
    <row r="52" spans="1:7" ht="24.75" customHeight="1">
      <c r="A52" s="1385" t="s">
        <v>707</v>
      </c>
      <c r="B52" s="1386"/>
      <c r="C52" s="1387"/>
      <c r="D52" s="518">
        <f>D46+D50</f>
        <v>9800000</v>
      </c>
      <c r="E52" s="518">
        <f>E46+E50</f>
        <v>35962107</v>
      </c>
      <c r="F52" s="518">
        <f>F46+F50</f>
        <v>35962107</v>
      </c>
      <c r="G52" s="519">
        <v>100</v>
      </c>
    </row>
    <row r="53" spans="1:7" ht="12.75">
      <c r="A53" s="515"/>
      <c r="B53" s="520"/>
      <c r="C53" s="521"/>
      <c r="D53" s="516"/>
      <c r="F53" s="459"/>
      <c r="G53" s="517"/>
    </row>
    <row r="54" spans="1:7" s="455" customFormat="1" ht="15" customHeight="1" hidden="1">
      <c r="A54" s="451" t="s">
        <v>708</v>
      </c>
      <c r="B54" s="1393" t="s">
        <v>709</v>
      </c>
      <c r="C54" s="1394"/>
      <c r="D54" s="522"/>
      <c r="E54" s="523"/>
      <c r="F54" s="524"/>
      <c r="G54" s="525"/>
    </row>
    <row r="55" spans="1:7" s="455" customFormat="1" ht="15" customHeight="1" hidden="1">
      <c r="A55" s="526" t="s">
        <v>6</v>
      </c>
      <c r="B55" s="1395"/>
      <c r="C55" s="1396"/>
      <c r="D55" s="527"/>
      <c r="E55" s="528"/>
      <c r="F55" s="529"/>
      <c r="G55" s="530"/>
    </row>
    <row r="56" spans="1:7" s="455" customFormat="1" ht="15" customHeight="1" hidden="1">
      <c r="A56" s="526" t="s">
        <v>7</v>
      </c>
      <c r="B56" s="1397"/>
      <c r="C56" s="1398"/>
      <c r="D56" s="531"/>
      <c r="E56" s="528"/>
      <c r="F56" s="529"/>
      <c r="G56" s="530"/>
    </row>
    <row r="57" spans="1:7" s="455" customFormat="1" ht="15" customHeight="1" hidden="1">
      <c r="A57" s="532" t="s">
        <v>708</v>
      </c>
      <c r="B57" s="1391" t="s">
        <v>710</v>
      </c>
      <c r="C57" s="1399"/>
      <c r="D57" s="533"/>
      <c r="E57" s="514"/>
      <c r="F57" s="524"/>
      <c r="G57" s="454"/>
    </row>
    <row r="58" spans="1:7" s="455" customFormat="1" ht="15" customHeight="1" hidden="1">
      <c r="A58" s="534" t="s">
        <v>711</v>
      </c>
      <c r="B58" s="1391" t="s">
        <v>712</v>
      </c>
      <c r="C58" s="1399"/>
      <c r="D58" s="535"/>
      <c r="E58" s="536"/>
      <c r="F58" s="459"/>
      <c r="G58" s="517"/>
    </row>
    <row r="59" spans="1:7" s="455" customFormat="1" ht="15" customHeight="1" hidden="1">
      <c r="A59" s="526" t="s">
        <v>6</v>
      </c>
      <c r="B59" s="467"/>
      <c r="C59" s="537"/>
      <c r="D59" s="538"/>
      <c r="E59" s="539"/>
      <c r="F59" s="539"/>
      <c r="G59" s="509"/>
    </row>
    <row r="60" spans="1:7" s="455" customFormat="1" ht="15" customHeight="1" hidden="1">
      <c r="A60" s="526" t="s">
        <v>7</v>
      </c>
      <c r="B60" s="472"/>
      <c r="C60" s="540"/>
      <c r="D60" s="541"/>
      <c r="E60" s="529"/>
      <c r="F60" s="529"/>
      <c r="G60" s="530"/>
    </row>
    <row r="61" spans="1:7" s="455" customFormat="1" ht="15" customHeight="1" hidden="1">
      <c r="A61" s="526" t="s">
        <v>8</v>
      </c>
      <c r="B61" s="472"/>
      <c r="C61" s="540"/>
      <c r="D61" s="541"/>
      <c r="E61" s="529"/>
      <c r="F61" s="529"/>
      <c r="G61" s="530"/>
    </row>
    <row r="62" spans="1:7" s="455" customFormat="1" ht="15" customHeight="1" hidden="1">
      <c r="A62" s="526" t="s">
        <v>9</v>
      </c>
      <c r="B62" s="472"/>
      <c r="C62" s="540"/>
      <c r="D62" s="541"/>
      <c r="E62" s="529"/>
      <c r="F62" s="529"/>
      <c r="G62" s="530"/>
    </row>
    <row r="63" spans="1:7" s="455" customFormat="1" ht="15" customHeight="1" hidden="1">
      <c r="A63" s="526" t="s">
        <v>10</v>
      </c>
      <c r="B63" s="1351"/>
      <c r="C63" s="1351"/>
      <c r="D63" s="444"/>
      <c r="E63" s="529"/>
      <c r="F63" s="529"/>
      <c r="G63" s="530"/>
    </row>
    <row r="64" spans="1:7" s="455" customFormat="1" ht="15" customHeight="1" hidden="1">
      <c r="A64" s="542" t="s">
        <v>711</v>
      </c>
      <c r="B64" s="1391" t="s">
        <v>713</v>
      </c>
      <c r="C64" s="1392"/>
      <c r="D64" s="522"/>
      <c r="E64" s="514"/>
      <c r="F64" s="524"/>
      <c r="G64" s="501"/>
    </row>
    <row r="65" spans="1:7" s="455" customFormat="1" ht="15" customHeight="1" hidden="1">
      <c r="A65" s="543" t="s">
        <v>714</v>
      </c>
      <c r="B65" s="544"/>
      <c r="C65" s="544"/>
      <c r="D65" s="545"/>
      <c r="E65" s="546"/>
      <c r="F65" s="546"/>
      <c r="G65" s="454"/>
    </row>
    <row r="66" spans="4:7" ht="12.75">
      <c r="D66" s="547"/>
      <c r="F66" s="548"/>
      <c r="G66" s="517"/>
    </row>
    <row r="67" spans="1:7" ht="12.75">
      <c r="A67" s="549"/>
      <c r="B67" s="550"/>
      <c r="C67" s="551" t="s">
        <v>715</v>
      </c>
      <c r="D67" s="552"/>
      <c r="E67" s="483"/>
      <c r="F67" s="553"/>
      <c r="G67" s="501"/>
    </row>
    <row r="68" spans="1:7" ht="14.25" customHeight="1">
      <c r="A68" s="485"/>
      <c r="B68" s="554"/>
      <c r="C68" s="555"/>
      <c r="D68" s="556">
        <f>D23+D29+D46+D50</f>
        <v>25413374</v>
      </c>
      <c r="E68" s="556">
        <f>E23+E29+E46+E50</f>
        <v>67926542</v>
      </c>
      <c r="F68" s="556">
        <f>F23+F29+F46+F50</f>
        <v>67926542</v>
      </c>
      <c r="G68" s="557">
        <v>100</v>
      </c>
    </row>
    <row r="69" ht="12.75">
      <c r="D69" s="547"/>
    </row>
    <row r="70" ht="12.75">
      <c r="D70" s="558"/>
    </row>
    <row r="71" ht="12.75">
      <c r="D71" s="558"/>
    </row>
    <row r="72" ht="12.75">
      <c r="D72" s="558"/>
    </row>
    <row r="73" ht="12.75">
      <c r="D73" s="558"/>
    </row>
    <row r="74" ht="12.75">
      <c r="D74" s="558"/>
    </row>
    <row r="75" ht="12.75">
      <c r="D75" s="558"/>
    </row>
    <row r="76" ht="12.75">
      <c r="D76" s="558"/>
    </row>
    <row r="77" ht="12.75">
      <c r="D77" s="558"/>
    </row>
    <row r="78" ht="12.75">
      <c r="D78" s="558"/>
    </row>
    <row r="79" ht="12.75">
      <c r="D79" s="558"/>
    </row>
    <row r="80" ht="12.75">
      <c r="D80" s="558"/>
    </row>
    <row r="81" ht="12.75">
      <c r="D81" s="558"/>
    </row>
    <row r="82" ht="12.75">
      <c r="D82" s="558"/>
    </row>
    <row r="83" ht="12.75">
      <c r="D83" s="558"/>
    </row>
    <row r="84" ht="12.75">
      <c r="D84" s="558"/>
    </row>
  </sheetData>
  <sheetProtection/>
  <mergeCells count="44">
    <mergeCell ref="C3:F4"/>
    <mergeCell ref="B64:C64"/>
    <mergeCell ref="B54:C54"/>
    <mergeCell ref="B55:C55"/>
    <mergeCell ref="B56:C56"/>
    <mergeCell ref="B57:C57"/>
    <mergeCell ref="B58:C58"/>
    <mergeCell ref="B63:C63"/>
    <mergeCell ref="B45:C45"/>
    <mergeCell ref="B46:C46"/>
    <mergeCell ref="B48:C48"/>
    <mergeCell ref="B49:C49"/>
    <mergeCell ref="H49:I49"/>
    <mergeCell ref="A52:C52"/>
    <mergeCell ref="B39:C39"/>
    <mergeCell ref="B40:C40"/>
    <mergeCell ref="B41:C41"/>
    <mergeCell ref="B42:C42"/>
    <mergeCell ref="B43:C43"/>
    <mergeCell ref="B44:C44"/>
    <mergeCell ref="B28:C28"/>
    <mergeCell ref="B29:C29"/>
    <mergeCell ref="B35:C35"/>
    <mergeCell ref="B36:C36"/>
    <mergeCell ref="B37:C37"/>
    <mergeCell ref="B38:C38"/>
    <mergeCell ref="B20:C20"/>
    <mergeCell ref="B21:C21"/>
    <mergeCell ref="B22:C22"/>
    <mergeCell ref="B25:C25"/>
    <mergeCell ref="B26:C26"/>
    <mergeCell ref="B27:C2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Normal="130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4.875" style="263" customWidth="1"/>
    <col min="2" max="2" width="65.375" style="264" customWidth="1"/>
    <col min="3" max="5" width="17.00390625" style="265" customWidth="1"/>
    <col min="6" max="6" width="9.375" style="327" hidden="1" customWidth="1"/>
    <col min="7" max="16384" width="9.375" style="30" customWidth="1"/>
  </cols>
  <sheetData>
    <row r="1" spans="1:6" s="247" customFormat="1" ht="16.5" customHeight="1" thickBot="1">
      <c r="A1" s="246"/>
      <c r="B1" s="248"/>
      <c r="C1" s="284"/>
      <c r="D1" s="258"/>
      <c r="E1" s="1192" t="s">
        <v>1130</v>
      </c>
      <c r="F1" s="328"/>
    </row>
    <row r="2" spans="1:6" s="285" customFormat="1" ht="15.75" customHeight="1">
      <c r="A2" s="266" t="s">
        <v>49</v>
      </c>
      <c r="B2" s="1410" t="s">
        <v>586</v>
      </c>
      <c r="C2" s="1411"/>
      <c r="D2" s="1412"/>
      <c r="E2" s="259" t="s">
        <v>40</v>
      </c>
      <c r="F2" s="329"/>
    </row>
    <row r="3" spans="1:6" s="285" customFormat="1" ht="24.75" thickBot="1">
      <c r="A3" s="283" t="s">
        <v>443</v>
      </c>
      <c r="B3" s="1404" t="s">
        <v>442</v>
      </c>
      <c r="C3" s="1405"/>
      <c r="D3" s="1406"/>
      <c r="E3" s="242" t="s">
        <v>40</v>
      </c>
      <c r="F3" s="329"/>
    </row>
    <row r="4" spans="1:6" s="286" customFormat="1" ht="15.75" customHeight="1" thickBot="1">
      <c r="A4" s="249"/>
      <c r="B4" s="249"/>
      <c r="C4" s="250"/>
      <c r="D4" s="250"/>
      <c r="E4" s="250" t="s">
        <v>644</v>
      </c>
      <c r="F4" s="330"/>
    </row>
    <row r="5" spans="1:5" ht="24.75" thickBot="1">
      <c r="A5" s="189" t="s">
        <v>130</v>
      </c>
      <c r="B5" s="190" t="s">
        <v>41</v>
      </c>
      <c r="C5" s="45" t="s">
        <v>160</v>
      </c>
      <c r="D5" s="45" t="s">
        <v>161</v>
      </c>
      <c r="E5" s="251" t="s">
        <v>162</v>
      </c>
    </row>
    <row r="6" spans="1:6" s="287" customFormat="1" ht="12.75" customHeight="1" thickBot="1">
      <c r="A6" s="244" t="s">
        <v>350</v>
      </c>
      <c r="B6" s="245" t="s">
        <v>351</v>
      </c>
      <c r="C6" s="245" t="s">
        <v>352</v>
      </c>
      <c r="D6" s="55" t="s">
        <v>353</v>
      </c>
      <c r="E6" s="53" t="s">
        <v>354</v>
      </c>
      <c r="F6" s="331"/>
    </row>
    <row r="7" spans="1:6" s="287" customFormat="1" ht="15.75" customHeight="1" thickBot="1">
      <c r="A7" s="1407" t="s">
        <v>42</v>
      </c>
      <c r="B7" s="1408"/>
      <c r="C7" s="1408"/>
      <c r="D7" s="1408"/>
      <c r="E7" s="1409"/>
      <c r="F7" s="331"/>
    </row>
    <row r="8" spans="1:6" s="287" customFormat="1" ht="12" customHeight="1" thickBot="1">
      <c r="A8" s="201" t="s">
        <v>6</v>
      </c>
      <c r="B8" s="198" t="s">
        <v>236</v>
      </c>
      <c r="C8" s="217">
        <f>SUM(C9:C14)</f>
        <v>140330444</v>
      </c>
      <c r="D8" s="217">
        <f>SUM(D9:D14)</f>
        <v>145888960</v>
      </c>
      <c r="E8" s="217">
        <f>SUM(E9:E14)</f>
        <v>145888960</v>
      </c>
      <c r="F8" s="331" t="s">
        <v>505</v>
      </c>
    </row>
    <row r="9" spans="1:6" s="262" customFormat="1" ht="12" customHeight="1">
      <c r="A9" s="271" t="s">
        <v>68</v>
      </c>
      <c r="B9" s="225" t="s">
        <v>237</v>
      </c>
      <c r="C9" s="46">
        <v>54277418</v>
      </c>
      <c r="D9" s="374">
        <v>54348056</v>
      </c>
      <c r="E9" s="374">
        <v>54348056</v>
      </c>
      <c r="F9" s="331" t="s">
        <v>506</v>
      </c>
    </row>
    <row r="10" spans="1:6" s="288" customFormat="1" ht="12" customHeight="1">
      <c r="A10" s="272" t="s">
        <v>69</v>
      </c>
      <c r="B10" s="226" t="s">
        <v>238</v>
      </c>
      <c r="C10" s="218">
        <v>38461767</v>
      </c>
      <c r="D10" s="375">
        <v>39749100</v>
      </c>
      <c r="E10" s="375">
        <v>39749100</v>
      </c>
      <c r="F10" s="331" t="s">
        <v>507</v>
      </c>
    </row>
    <row r="11" spans="1:6" s="288" customFormat="1" ht="12" customHeight="1">
      <c r="A11" s="272" t="s">
        <v>70</v>
      </c>
      <c r="B11" s="226" t="s">
        <v>239</v>
      </c>
      <c r="C11" s="218">
        <v>44848189</v>
      </c>
      <c r="D11" s="375">
        <v>43856749</v>
      </c>
      <c r="E11" s="375">
        <v>43856749</v>
      </c>
      <c r="F11" s="331" t="s">
        <v>508</v>
      </c>
    </row>
    <row r="12" spans="1:6" s="288" customFormat="1" ht="12" customHeight="1">
      <c r="A12" s="272" t="s">
        <v>71</v>
      </c>
      <c r="B12" s="226" t="s">
        <v>240</v>
      </c>
      <c r="C12" s="218">
        <v>2743070</v>
      </c>
      <c r="D12" s="375">
        <v>3497723</v>
      </c>
      <c r="E12" s="375">
        <v>3497723</v>
      </c>
      <c r="F12" s="331" t="s">
        <v>509</v>
      </c>
    </row>
    <row r="13" spans="1:6" s="288" customFormat="1" ht="12" customHeight="1">
      <c r="A13" s="272" t="s">
        <v>91</v>
      </c>
      <c r="B13" s="226" t="s">
        <v>639</v>
      </c>
      <c r="C13" s="377"/>
      <c r="D13" s="375">
        <v>3910319</v>
      </c>
      <c r="E13" s="375">
        <v>3910319</v>
      </c>
      <c r="F13" s="331" t="s">
        <v>510</v>
      </c>
    </row>
    <row r="14" spans="1:6" s="262" customFormat="1" ht="12" customHeight="1" thickBot="1">
      <c r="A14" s="273" t="s">
        <v>72</v>
      </c>
      <c r="B14" s="227" t="s">
        <v>640</v>
      </c>
      <c r="C14" s="378"/>
      <c r="D14" s="376">
        <v>527013</v>
      </c>
      <c r="E14" s="376">
        <v>527013</v>
      </c>
      <c r="F14" s="331" t="s">
        <v>511</v>
      </c>
    </row>
    <row r="15" spans="1:6" s="262" customFormat="1" ht="12" customHeight="1" thickBot="1">
      <c r="A15" s="201" t="s">
        <v>7</v>
      </c>
      <c r="B15" s="213" t="s">
        <v>241</v>
      </c>
      <c r="C15" s="217">
        <f>SUM(C16:C21)</f>
        <v>15613374</v>
      </c>
      <c r="D15" s="217">
        <f>SUM(D16:D21)</f>
        <v>30222593</v>
      </c>
      <c r="E15" s="217">
        <f>SUM(E16:E21)</f>
        <v>30222593</v>
      </c>
      <c r="F15" s="331" t="s">
        <v>512</v>
      </c>
    </row>
    <row r="16" spans="1:6" s="262" customFormat="1" ht="12" customHeight="1">
      <c r="A16" s="271" t="s">
        <v>74</v>
      </c>
      <c r="B16" s="225" t="s">
        <v>242</v>
      </c>
      <c r="C16" s="219">
        <v>0</v>
      </c>
      <c r="D16" s="219">
        <v>0</v>
      </c>
      <c r="E16" s="208">
        <v>0</v>
      </c>
      <c r="F16" s="331" t="s">
        <v>513</v>
      </c>
    </row>
    <row r="17" spans="1:6" s="262" customFormat="1" ht="12" customHeight="1">
      <c r="A17" s="272" t="s">
        <v>75</v>
      </c>
      <c r="B17" s="226" t="s">
        <v>243</v>
      </c>
      <c r="C17" s="218">
        <v>0</v>
      </c>
      <c r="D17" s="218">
        <v>0</v>
      </c>
      <c r="E17" s="207">
        <v>0</v>
      </c>
      <c r="F17" s="331" t="s">
        <v>514</v>
      </c>
    </row>
    <row r="18" spans="1:6" s="262" customFormat="1" ht="12" customHeight="1">
      <c r="A18" s="272" t="s">
        <v>76</v>
      </c>
      <c r="B18" s="226" t="s">
        <v>244</v>
      </c>
      <c r="C18" s="218">
        <v>0</v>
      </c>
      <c r="D18" s="218">
        <v>0</v>
      </c>
      <c r="E18" s="207">
        <v>0</v>
      </c>
      <c r="F18" s="331" t="s">
        <v>515</v>
      </c>
    </row>
    <row r="19" spans="1:6" s="262" customFormat="1" ht="12" customHeight="1">
      <c r="A19" s="272" t="s">
        <v>77</v>
      </c>
      <c r="B19" s="226" t="s">
        <v>245</v>
      </c>
      <c r="C19" s="218">
        <v>0</v>
      </c>
      <c r="D19" s="218">
        <v>0</v>
      </c>
      <c r="E19" s="207">
        <v>0</v>
      </c>
      <c r="F19" s="331" t="s">
        <v>516</v>
      </c>
    </row>
    <row r="20" spans="1:6" s="262" customFormat="1" ht="12" customHeight="1">
      <c r="A20" s="272" t="s">
        <v>78</v>
      </c>
      <c r="B20" s="226" t="s">
        <v>246</v>
      </c>
      <c r="C20" s="218">
        <v>15613374</v>
      </c>
      <c r="D20" s="218">
        <v>30222593</v>
      </c>
      <c r="E20" s="207">
        <v>30222593</v>
      </c>
      <c r="F20" s="331" t="s">
        <v>517</v>
      </c>
    </row>
    <row r="21" spans="1:6" s="288" customFormat="1" ht="12" customHeight="1" thickBot="1">
      <c r="A21" s="273" t="s">
        <v>85</v>
      </c>
      <c r="B21" s="215" t="s">
        <v>247</v>
      </c>
      <c r="C21" s="220">
        <v>0</v>
      </c>
      <c r="D21" s="220">
        <v>0</v>
      </c>
      <c r="E21" s="209">
        <v>0</v>
      </c>
      <c r="F21" s="331" t="s">
        <v>518</v>
      </c>
    </row>
    <row r="22" spans="1:6" s="288" customFormat="1" ht="12" customHeight="1" thickBot="1">
      <c r="A22" s="201" t="s">
        <v>8</v>
      </c>
      <c r="B22" s="198" t="s">
        <v>248</v>
      </c>
      <c r="C22" s="217">
        <f>SUM(C23:C28)</f>
        <v>22412619</v>
      </c>
      <c r="D22" s="217">
        <f>SUM(D23:D28)</f>
        <v>62871644</v>
      </c>
      <c r="E22" s="217">
        <f>SUM(E23:E28)</f>
        <v>62871644</v>
      </c>
      <c r="F22" s="331" t="s">
        <v>519</v>
      </c>
    </row>
    <row r="23" spans="1:6" s="288" customFormat="1" ht="12" customHeight="1">
      <c r="A23" s="271" t="s">
        <v>57</v>
      </c>
      <c r="B23" s="225" t="s">
        <v>249</v>
      </c>
      <c r="C23" s="219">
        <v>12612619</v>
      </c>
      <c r="D23" s="219">
        <v>27611537</v>
      </c>
      <c r="E23" s="208">
        <v>27611537</v>
      </c>
      <c r="F23" s="331" t="s">
        <v>520</v>
      </c>
    </row>
    <row r="24" spans="1:6" s="262" customFormat="1" ht="12" customHeight="1">
      <c r="A24" s="272" t="s">
        <v>58</v>
      </c>
      <c r="B24" s="226" t="s">
        <v>250</v>
      </c>
      <c r="C24" s="218">
        <v>0</v>
      </c>
      <c r="D24" s="218">
        <v>0</v>
      </c>
      <c r="E24" s="207">
        <v>0</v>
      </c>
      <c r="F24" s="331" t="s">
        <v>521</v>
      </c>
    </row>
    <row r="25" spans="1:6" s="288" customFormat="1" ht="12" customHeight="1">
      <c r="A25" s="272" t="s">
        <v>59</v>
      </c>
      <c r="B25" s="226" t="s">
        <v>251</v>
      </c>
      <c r="C25" s="1202">
        <v>0</v>
      </c>
      <c r="D25" s="218">
        <v>0</v>
      </c>
      <c r="E25" s="207">
        <v>0</v>
      </c>
      <c r="F25" s="331" t="s">
        <v>522</v>
      </c>
    </row>
    <row r="26" spans="1:6" s="288" customFormat="1" ht="12" customHeight="1">
      <c r="A26" s="272" t="s">
        <v>60</v>
      </c>
      <c r="B26" s="226" t="s">
        <v>252</v>
      </c>
      <c r="C26" s="1202">
        <v>0</v>
      </c>
      <c r="D26" s="218">
        <v>0</v>
      </c>
      <c r="E26" s="207">
        <v>0</v>
      </c>
      <c r="F26" s="331" t="s">
        <v>523</v>
      </c>
    </row>
    <row r="27" spans="1:6" s="288" customFormat="1" ht="12" customHeight="1">
      <c r="A27" s="272" t="s">
        <v>103</v>
      </c>
      <c r="B27" s="226" t="s">
        <v>253</v>
      </c>
      <c r="C27" s="1202">
        <v>9800000</v>
      </c>
      <c r="D27" s="218">
        <v>35260107</v>
      </c>
      <c r="E27" s="207">
        <v>35260107</v>
      </c>
      <c r="F27" s="331" t="s">
        <v>524</v>
      </c>
    </row>
    <row r="28" spans="1:6" s="288" customFormat="1" ht="12" customHeight="1" thickBot="1">
      <c r="A28" s="273" t="s">
        <v>104</v>
      </c>
      <c r="B28" s="227" t="s">
        <v>254</v>
      </c>
      <c r="C28" s="1203">
        <v>0</v>
      </c>
      <c r="D28" s="220">
        <v>0</v>
      </c>
      <c r="E28" s="209">
        <v>0</v>
      </c>
      <c r="F28" s="331" t="s">
        <v>525</v>
      </c>
    </row>
    <row r="29" spans="1:6" s="288" customFormat="1" ht="12" customHeight="1" thickBot="1">
      <c r="A29" s="201" t="s">
        <v>105</v>
      </c>
      <c r="B29" s="198" t="s">
        <v>255</v>
      </c>
      <c r="C29" s="1216">
        <f>C30+C33+C34+C35</f>
        <v>60200000</v>
      </c>
      <c r="D29" s="223">
        <f>D30+D33+D34+D35</f>
        <v>134321473</v>
      </c>
      <c r="E29" s="223">
        <f>E30+E33+E34+E35</f>
        <v>92680830</v>
      </c>
      <c r="F29" s="331" t="s">
        <v>526</v>
      </c>
    </row>
    <row r="30" spans="1:6" s="288" customFormat="1" ht="12" customHeight="1">
      <c r="A30" s="271" t="s">
        <v>256</v>
      </c>
      <c r="B30" s="225" t="s">
        <v>257</v>
      </c>
      <c r="C30" s="1217">
        <f>C31+C32</f>
        <v>50000000</v>
      </c>
      <c r="D30" s="228">
        <f>D31+D32</f>
        <v>119512904</v>
      </c>
      <c r="E30" s="228">
        <f>E31+E32</f>
        <v>82344939</v>
      </c>
      <c r="F30" s="331" t="s">
        <v>527</v>
      </c>
    </row>
    <row r="31" spans="1:6" s="288" customFormat="1" ht="12" customHeight="1">
      <c r="A31" s="272" t="s">
        <v>258</v>
      </c>
      <c r="B31" s="226" t="s">
        <v>259</v>
      </c>
      <c r="C31" s="1202">
        <v>10000000</v>
      </c>
      <c r="D31" s="218">
        <v>12538983</v>
      </c>
      <c r="E31" s="207">
        <v>10394344</v>
      </c>
      <c r="F31" s="331" t="s">
        <v>528</v>
      </c>
    </row>
    <row r="32" spans="1:6" s="288" customFormat="1" ht="12" customHeight="1">
      <c r="A32" s="272" t="s">
        <v>260</v>
      </c>
      <c r="B32" s="226" t="s">
        <v>261</v>
      </c>
      <c r="C32" s="1202">
        <v>40000000</v>
      </c>
      <c r="D32" s="218">
        <v>106973921</v>
      </c>
      <c r="E32" s="207">
        <v>71950595</v>
      </c>
      <c r="F32" s="331" t="s">
        <v>529</v>
      </c>
    </row>
    <row r="33" spans="1:6" s="288" customFormat="1" ht="12" customHeight="1">
      <c r="A33" s="272" t="s">
        <v>262</v>
      </c>
      <c r="B33" s="226" t="s">
        <v>263</v>
      </c>
      <c r="C33" s="1202">
        <v>4000000</v>
      </c>
      <c r="D33" s="218">
        <v>5448769</v>
      </c>
      <c r="E33" s="207">
        <v>4812394</v>
      </c>
      <c r="F33" s="331" t="s">
        <v>530</v>
      </c>
    </row>
    <row r="34" spans="1:6" s="288" customFormat="1" ht="12" customHeight="1">
      <c r="A34" s="272" t="s">
        <v>264</v>
      </c>
      <c r="B34" s="226" t="s">
        <v>265</v>
      </c>
      <c r="C34" s="1202">
        <v>3000000</v>
      </c>
      <c r="D34" s="218">
        <v>3000000</v>
      </c>
      <c r="E34" s="207">
        <v>2420100</v>
      </c>
      <c r="F34" s="331" t="s">
        <v>531</v>
      </c>
    </row>
    <row r="35" spans="1:6" s="288" customFormat="1" ht="12" customHeight="1" thickBot="1">
      <c r="A35" s="273" t="s">
        <v>266</v>
      </c>
      <c r="B35" s="227" t="s">
        <v>267</v>
      </c>
      <c r="C35" s="1203">
        <v>3200000</v>
      </c>
      <c r="D35" s="220">
        <v>6359800</v>
      </c>
      <c r="E35" s="209">
        <v>3103397</v>
      </c>
      <c r="F35" s="331" t="s">
        <v>532</v>
      </c>
    </row>
    <row r="36" spans="1:6" s="288" customFormat="1" ht="12" customHeight="1" thickBot="1">
      <c r="A36" s="201" t="s">
        <v>10</v>
      </c>
      <c r="B36" s="198" t="s">
        <v>268</v>
      </c>
      <c r="C36" s="1205">
        <f>SUM(C37:C46)</f>
        <v>17908166</v>
      </c>
      <c r="D36" s="217">
        <f>SUM(D37:D46)</f>
        <v>27338987</v>
      </c>
      <c r="E36" s="217">
        <f>SUM(E37:E46)</f>
        <v>23805785</v>
      </c>
      <c r="F36" s="331" t="s">
        <v>533</v>
      </c>
    </row>
    <row r="37" spans="1:6" s="288" customFormat="1" ht="12" customHeight="1">
      <c r="A37" s="271" t="s">
        <v>61</v>
      </c>
      <c r="B37" s="225" t="s">
        <v>269</v>
      </c>
      <c r="C37" s="1206">
        <v>0</v>
      </c>
      <c r="D37" s="219">
        <v>0</v>
      </c>
      <c r="E37" s="208">
        <v>0</v>
      </c>
      <c r="F37" s="331" t="s">
        <v>534</v>
      </c>
    </row>
    <row r="38" spans="1:6" s="288" customFormat="1" ht="12" customHeight="1">
      <c r="A38" s="272" t="s">
        <v>62</v>
      </c>
      <c r="B38" s="226" t="s">
        <v>270</v>
      </c>
      <c r="C38" s="1202">
        <v>9753000</v>
      </c>
      <c r="D38" s="218">
        <v>9753000</v>
      </c>
      <c r="E38" s="207">
        <v>9160053</v>
      </c>
      <c r="F38" s="331" t="s">
        <v>535</v>
      </c>
    </row>
    <row r="39" spans="1:6" s="288" customFormat="1" ht="12" customHeight="1">
      <c r="A39" s="272" t="s">
        <v>63</v>
      </c>
      <c r="B39" s="226" t="s">
        <v>271</v>
      </c>
      <c r="C39" s="1202">
        <v>2000000</v>
      </c>
      <c r="D39" s="218">
        <v>2211562</v>
      </c>
      <c r="E39" s="207">
        <v>2050917</v>
      </c>
      <c r="F39" s="331" t="s">
        <v>536</v>
      </c>
    </row>
    <row r="40" spans="1:6" s="288" customFormat="1" ht="12" customHeight="1">
      <c r="A40" s="272" t="s">
        <v>107</v>
      </c>
      <c r="B40" s="226" t="s">
        <v>272</v>
      </c>
      <c r="C40" s="1202">
        <v>1586056</v>
      </c>
      <c r="D40" s="218">
        <v>8044541</v>
      </c>
      <c r="E40" s="207">
        <v>5614673</v>
      </c>
      <c r="F40" s="331" t="s">
        <v>537</v>
      </c>
    </row>
    <row r="41" spans="1:6" s="288" customFormat="1" ht="12" customHeight="1">
      <c r="A41" s="272" t="s">
        <v>108</v>
      </c>
      <c r="B41" s="226" t="s">
        <v>273</v>
      </c>
      <c r="C41" s="1202"/>
      <c r="D41" s="218">
        <v>149414</v>
      </c>
      <c r="E41" s="207">
        <v>61250</v>
      </c>
      <c r="F41" s="331" t="s">
        <v>538</v>
      </c>
    </row>
    <row r="42" spans="1:6" s="288" customFormat="1" ht="12" customHeight="1">
      <c r="A42" s="272" t="s">
        <v>109</v>
      </c>
      <c r="B42" s="226" t="s">
        <v>274</v>
      </c>
      <c r="C42" s="1202">
        <v>1969110</v>
      </c>
      <c r="D42" s="218">
        <v>2890935</v>
      </c>
      <c r="E42" s="207">
        <v>2669677</v>
      </c>
      <c r="F42" s="331" t="s">
        <v>539</v>
      </c>
    </row>
    <row r="43" spans="1:6" s="288" customFormat="1" ht="12" customHeight="1">
      <c r="A43" s="272" t="s">
        <v>110</v>
      </c>
      <c r="B43" s="226" t="s">
        <v>275</v>
      </c>
      <c r="C43" s="1202"/>
      <c r="D43" s="218">
        <v>0</v>
      </c>
      <c r="E43" s="207">
        <v>0</v>
      </c>
      <c r="F43" s="331" t="s">
        <v>540</v>
      </c>
    </row>
    <row r="44" spans="1:6" s="288" customFormat="1" ht="12" customHeight="1">
      <c r="A44" s="272" t="s">
        <v>111</v>
      </c>
      <c r="B44" s="226" t="s">
        <v>276</v>
      </c>
      <c r="C44" s="1202">
        <v>600000</v>
      </c>
      <c r="D44" s="218">
        <v>0</v>
      </c>
      <c r="E44" s="207">
        <v>0</v>
      </c>
      <c r="F44" s="331" t="s">
        <v>541</v>
      </c>
    </row>
    <row r="45" spans="1:6" s="288" customFormat="1" ht="12" customHeight="1">
      <c r="A45" s="272" t="s">
        <v>277</v>
      </c>
      <c r="B45" s="226" t="s">
        <v>278</v>
      </c>
      <c r="C45" s="1218"/>
      <c r="D45" s="221"/>
      <c r="E45" s="210"/>
      <c r="F45" s="331" t="s">
        <v>542</v>
      </c>
    </row>
    <row r="46" spans="1:6" s="262" customFormat="1" ht="12" customHeight="1" thickBot="1">
      <c r="A46" s="273" t="s">
        <v>279</v>
      </c>
      <c r="B46" s="227" t="s">
        <v>280</v>
      </c>
      <c r="C46" s="1219">
        <v>2000000</v>
      </c>
      <c r="D46" s="222">
        <v>4289535</v>
      </c>
      <c r="E46" s="211">
        <v>4249215</v>
      </c>
      <c r="F46" s="331" t="s">
        <v>543</v>
      </c>
    </row>
    <row r="47" spans="1:6" s="288" customFormat="1" ht="12" customHeight="1" thickBot="1">
      <c r="A47" s="201" t="s">
        <v>11</v>
      </c>
      <c r="B47" s="198" t="s">
        <v>281</v>
      </c>
      <c r="C47" s="1205">
        <f>SUM(C48:C52)</f>
        <v>0</v>
      </c>
      <c r="D47" s="217">
        <f>SUM(D48:D52)</f>
        <v>702000</v>
      </c>
      <c r="E47" s="217">
        <f>SUM(E48:E52)</f>
        <v>702000</v>
      </c>
      <c r="F47" s="331" t="s">
        <v>544</v>
      </c>
    </row>
    <row r="48" spans="1:6" s="288" customFormat="1" ht="12" customHeight="1">
      <c r="A48" s="271" t="s">
        <v>64</v>
      </c>
      <c r="B48" s="225" t="s">
        <v>282</v>
      </c>
      <c r="C48" s="1220">
        <v>0</v>
      </c>
      <c r="D48" s="229">
        <v>0</v>
      </c>
      <c r="E48" s="212">
        <v>0</v>
      </c>
      <c r="F48" s="331" t="s">
        <v>545</v>
      </c>
    </row>
    <row r="49" spans="1:6" s="288" customFormat="1" ht="12" customHeight="1">
      <c r="A49" s="272" t="s">
        <v>65</v>
      </c>
      <c r="B49" s="226" t="s">
        <v>283</v>
      </c>
      <c r="C49" s="1218">
        <v>0</v>
      </c>
      <c r="D49" s="221">
        <v>702000</v>
      </c>
      <c r="E49" s="210">
        <v>702000</v>
      </c>
      <c r="F49" s="331" t="s">
        <v>546</v>
      </c>
    </row>
    <row r="50" spans="1:6" s="288" customFormat="1" ht="12" customHeight="1">
      <c r="A50" s="272" t="s">
        <v>284</v>
      </c>
      <c r="B50" s="226" t="s">
        <v>285</v>
      </c>
      <c r="C50" s="221"/>
      <c r="D50" s="221">
        <v>0</v>
      </c>
      <c r="E50" s="210">
        <v>0</v>
      </c>
      <c r="F50" s="331" t="s">
        <v>547</v>
      </c>
    </row>
    <row r="51" spans="1:6" s="288" customFormat="1" ht="12" customHeight="1">
      <c r="A51" s="272" t="s">
        <v>286</v>
      </c>
      <c r="B51" s="226" t="s">
        <v>287</v>
      </c>
      <c r="C51" s="221">
        <v>0</v>
      </c>
      <c r="D51" s="221">
        <v>0</v>
      </c>
      <c r="E51" s="210">
        <v>0</v>
      </c>
      <c r="F51" s="331" t="s">
        <v>548</v>
      </c>
    </row>
    <row r="52" spans="1:6" s="288" customFormat="1" ht="12" customHeight="1" thickBot="1">
      <c r="A52" s="273" t="s">
        <v>288</v>
      </c>
      <c r="B52" s="227" t="s">
        <v>289</v>
      </c>
      <c r="C52" s="222">
        <v>0</v>
      </c>
      <c r="D52" s="222">
        <v>0</v>
      </c>
      <c r="E52" s="211">
        <v>0</v>
      </c>
      <c r="F52" s="331" t="s">
        <v>549</v>
      </c>
    </row>
    <row r="53" spans="1:6" s="288" customFormat="1" ht="12" customHeight="1" thickBot="1">
      <c r="A53" s="201" t="s">
        <v>112</v>
      </c>
      <c r="B53" s="198" t="s">
        <v>290</v>
      </c>
      <c r="C53" s="217">
        <f>SUM(C54:C57)</f>
        <v>0</v>
      </c>
      <c r="D53" s="217">
        <f>SUM(D54:D57)</f>
        <v>455000</v>
      </c>
      <c r="E53" s="217">
        <f>SUM(E54:E57)</f>
        <v>455000</v>
      </c>
      <c r="F53" s="331" t="s">
        <v>550</v>
      </c>
    </row>
    <row r="54" spans="1:6" s="262" customFormat="1" ht="12" customHeight="1">
      <c r="A54" s="271" t="s">
        <v>66</v>
      </c>
      <c r="B54" s="225" t="s">
        <v>291</v>
      </c>
      <c r="C54" s="219">
        <v>0</v>
      </c>
      <c r="D54" s="219">
        <v>0</v>
      </c>
      <c r="E54" s="208">
        <v>0</v>
      </c>
      <c r="F54" s="331" t="s">
        <v>551</v>
      </c>
    </row>
    <row r="55" spans="1:6" s="262" customFormat="1" ht="12" customHeight="1">
      <c r="A55" s="272" t="s">
        <v>67</v>
      </c>
      <c r="B55" s="226" t="s">
        <v>292</v>
      </c>
      <c r="C55" s="218">
        <v>0</v>
      </c>
      <c r="D55" s="218"/>
      <c r="E55" s="207"/>
      <c r="F55" s="331" t="s">
        <v>552</v>
      </c>
    </row>
    <row r="56" spans="1:6" s="262" customFormat="1" ht="12" customHeight="1">
      <c r="A56" s="272" t="s">
        <v>293</v>
      </c>
      <c r="B56" s="226" t="s">
        <v>294</v>
      </c>
      <c r="C56" s="218"/>
      <c r="D56" s="218">
        <v>455000</v>
      </c>
      <c r="E56" s="207">
        <v>455000</v>
      </c>
      <c r="F56" s="331" t="s">
        <v>553</v>
      </c>
    </row>
    <row r="57" spans="1:6" s="262" customFormat="1" ht="12" customHeight="1" thickBot="1">
      <c r="A57" s="273" t="s">
        <v>295</v>
      </c>
      <c r="B57" s="227" t="s">
        <v>296</v>
      </c>
      <c r="C57" s="220">
        <v>0</v>
      </c>
      <c r="D57" s="220">
        <v>0</v>
      </c>
      <c r="E57" s="209">
        <v>0</v>
      </c>
      <c r="F57" s="331" t="s">
        <v>554</v>
      </c>
    </row>
    <row r="58" spans="1:6" s="288" customFormat="1" ht="12" customHeight="1" thickBot="1">
      <c r="A58" s="201" t="s">
        <v>13</v>
      </c>
      <c r="B58" s="213" t="s">
        <v>297</v>
      </c>
      <c r="C58" s="217">
        <f>SUM(C59:C62)</f>
        <v>0</v>
      </c>
      <c r="D58" s="217">
        <f>SUM(D59:D62)</f>
        <v>0</v>
      </c>
      <c r="E58" s="217">
        <f>SUM(E59:E62)</f>
        <v>0</v>
      </c>
      <c r="F58" s="331" t="s">
        <v>555</v>
      </c>
    </row>
    <row r="59" spans="1:6" s="288" customFormat="1" ht="12" customHeight="1">
      <c r="A59" s="271" t="s">
        <v>113</v>
      </c>
      <c r="B59" s="225" t="s">
        <v>298</v>
      </c>
      <c r="C59" s="221">
        <v>0</v>
      </c>
      <c r="D59" s="221">
        <v>0</v>
      </c>
      <c r="E59" s="210">
        <v>0</v>
      </c>
      <c r="F59" s="331" t="s">
        <v>556</v>
      </c>
    </row>
    <row r="60" spans="1:6" s="288" customFormat="1" ht="12" customHeight="1">
      <c r="A60" s="272" t="s">
        <v>114</v>
      </c>
      <c r="B60" s="226" t="s">
        <v>446</v>
      </c>
      <c r="C60" s="221"/>
      <c r="D60" s="221">
        <v>0</v>
      </c>
      <c r="E60" s="210">
        <v>0</v>
      </c>
      <c r="F60" s="331" t="s">
        <v>557</v>
      </c>
    </row>
    <row r="61" spans="1:6" s="288" customFormat="1" ht="12" customHeight="1">
      <c r="A61" s="272" t="s">
        <v>139</v>
      </c>
      <c r="B61" s="226" t="s">
        <v>300</v>
      </c>
      <c r="C61" s="221">
        <v>0</v>
      </c>
      <c r="D61" s="221"/>
      <c r="E61" s="210">
        <v>0</v>
      </c>
      <c r="F61" s="331" t="s">
        <v>558</v>
      </c>
    </row>
    <row r="62" spans="1:6" s="288" customFormat="1" ht="12" customHeight="1" thickBot="1">
      <c r="A62" s="273" t="s">
        <v>301</v>
      </c>
      <c r="B62" s="227" t="s">
        <v>302</v>
      </c>
      <c r="C62" s="221">
        <v>0</v>
      </c>
      <c r="D62" s="221">
        <v>0</v>
      </c>
      <c r="E62" s="210">
        <v>0</v>
      </c>
      <c r="F62" s="331" t="s">
        <v>559</v>
      </c>
    </row>
    <row r="63" spans="1:6" s="288" customFormat="1" ht="12" customHeight="1" thickBot="1">
      <c r="A63" s="201" t="s">
        <v>14</v>
      </c>
      <c r="B63" s="198" t="s">
        <v>303</v>
      </c>
      <c r="C63" s="223">
        <f>C8+C15+C22+C29+C36+C47+C53+C58</f>
        <v>256464603</v>
      </c>
      <c r="D63" s="223">
        <f>D8+D15+D22+D29+D36+D47+D53+D58</f>
        <v>401800657</v>
      </c>
      <c r="E63" s="223">
        <f>E8+E15+E22+E29+E36+E47+E53+E58</f>
        <v>356626812</v>
      </c>
      <c r="F63" s="331" t="s">
        <v>560</v>
      </c>
    </row>
    <row r="64" spans="1:6" s="288" customFormat="1" ht="12" customHeight="1" thickBot="1">
      <c r="A64" s="274" t="s">
        <v>444</v>
      </c>
      <c r="B64" s="213" t="s">
        <v>305</v>
      </c>
      <c r="C64" s="217">
        <f>SUM(C65:C67)</f>
        <v>0</v>
      </c>
      <c r="D64" s="217">
        <f>SUM(D65:D67)</f>
        <v>0</v>
      </c>
      <c r="E64" s="217">
        <f>SUM(E65:E67)</f>
        <v>0</v>
      </c>
      <c r="F64" s="217">
        <f>SUM(F65:F67)</f>
        <v>0</v>
      </c>
    </row>
    <row r="65" spans="1:6" s="288" customFormat="1" ht="12" customHeight="1">
      <c r="A65" s="271" t="s">
        <v>306</v>
      </c>
      <c r="B65" s="225" t="s">
        <v>307</v>
      </c>
      <c r="C65" s="221">
        <v>0</v>
      </c>
      <c r="D65" s="221">
        <v>0</v>
      </c>
      <c r="E65" s="210">
        <v>0</v>
      </c>
      <c r="F65" s="331" t="s">
        <v>562</v>
      </c>
    </row>
    <row r="66" spans="1:6" s="288" customFormat="1" ht="12" customHeight="1">
      <c r="A66" s="272" t="s">
        <v>308</v>
      </c>
      <c r="B66" s="226" t="s">
        <v>309</v>
      </c>
      <c r="C66" s="221">
        <v>0</v>
      </c>
      <c r="D66" s="221">
        <v>0</v>
      </c>
      <c r="E66" s="210">
        <v>0</v>
      </c>
      <c r="F66" s="331" t="s">
        <v>563</v>
      </c>
    </row>
    <row r="67" spans="1:6" s="288" customFormat="1" ht="12" customHeight="1" thickBot="1">
      <c r="A67" s="273" t="s">
        <v>310</v>
      </c>
      <c r="B67" s="268" t="s">
        <v>311</v>
      </c>
      <c r="C67" s="221">
        <v>0</v>
      </c>
      <c r="D67" s="221">
        <v>0</v>
      </c>
      <c r="E67" s="210">
        <v>0</v>
      </c>
      <c r="F67" s="331" t="s">
        <v>564</v>
      </c>
    </row>
    <row r="68" spans="1:6" s="288" customFormat="1" ht="12" customHeight="1" thickBot="1">
      <c r="A68" s="274" t="s">
        <v>312</v>
      </c>
      <c r="B68" s="213" t="s">
        <v>313</v>
      </c>
      <c r="C68" s="217">
        <f>SUM(C69:C72)</f>
        <v>0</v>
      </c>
      <c r="D68" s="217">
        <f>SUM(D69:D72)</f>
        <v>0</v>
      </c>
      <c r="E68" s="217">
        <f>SUM(E69:E72)</f>
        <v>0</v>
      </c>
      <c r="F68" s="331" t="s">
        <v>565</v>
      </c>
    </row>
    <row r="69" spans="1:6" s="288" customFormat="1" ht="12" customHeight="1">
      <c r="A69" s="271" t="s">
        <v>92</v>
      </c>
      <c r="B69" s="225" t="s">
        <v>314</v>
      </c>
      <c r="C69" s="221">
        <v>0</v>
      </c>
      <c r="D69" s="221">
        <v>0</v>
      </c>
      <c r="E69" s="210">
        <v>0</v>
      </c>
      <c r="F69" s="331" t="s">
        <v>566</v>
      </c>
    </row>
    <row r="70" spans="1:6" s="288" customFormat="1" ht="12" customHeight="1">
      <c r="A70" s="272" t="s">
        <v>93</v>
      </c>
      <c r="B70" s="226" t="s">
        <v>315</v>
      </c>
      <c r="C70" s="221">
        <v>0</v>
      </c>
      <c r="D70" s="221">
        <v>0</v>
      </c>
      <c r="E70" s="210">
        <v>0</v>
      </c>
      <c r="F70" s="331" t="s">
        <v>567</v>
      </c>
    </row>
    <row r="71" spans="1:6" s="288" customFormat="1" ht="12" customHeight="1">
      <c r="A71" s="272" t="s">
        <v>316</v>
      </c>
      <c r="B71" s="226" t="s">
        <v>317</v>
      </c>
      <c r="C71" s="221">
        <v>0</v>
      </c>
      <c r="D71" s="221">
        <v>0</v>
      </c>
      <c r="E71" s="210">
        <v>0</v>
      </c>
      <c r="F71" s="331" t="s">
        <v>568</v>
      </c>
    </row>
    <row r="72" spans="1:6" s="288" customFormat="1" ht="12" customHeight="1" thickBot="1">
      <c r="A72" s="273" t="s">
        <v>318</v>
      </c>
      <c r="B72" s="227" t="s">
        <v>319</v>
      </c>
      <c r="C72" s="221">
        <v>0</v>
      </c>
      <c r="D72" s="221">
        <v>0</v>
      </c>
      <c r="E72" s="210">
        <v>0</v>
      </c>
      <c r="F72" s="331" t="s">
        <v>569</v>
      </c>
    </row>
    <row r="73" spans="1:6" s="288" customFormat="1" ht="12" customHeight="1" thickBot="1">
      <c r="A73" s="274" t="s">
        <v>320</v>
      </c>
      <c r="B73" s="213" t="s">
        <v>321</v>
      </c>
      <c r="C73" s="217">
        <f>SUM(C74:C75)</f>
        <v>137199700</v>
      </c>
      <c r="D73" s="217">
        <f>SUM(D74:D75)</f>
        <v>136352618</v>
      </c>
      <c r="E73" s="217">
        <f>SUM(E74:E75)</f>
        <v>136352618</v>
      </c>
      <c r="F73" s="331" t="s">
        <v>570</v>
      </c>
    </row>
    <row r="74" spans="1:6" s="288" customFormat="1" ht="12" customHeight="1">
      <c r="A74" s="271" t="s">
        <v>322</v>
      </c>
      <c r="B74" s="225" t="s">
        <v>323</v>
      </c>
      <c r="C74" s="221">
        <v>137199700</v>
      </c>
      <c r="D74" s="221">
        <v>136352618</v>
      </c>
      <c r="E74" s="210">
        <v>136352618</v>
      </c>
      <c r="F74" s="331" t="s">
        <v>571</v>
      </c>
    </row>
    <row r="75" spans="1:6" s="288" customFormat="1" ht="12" customHeight="1" thickBot="1">
      <c r="A75" s="273" t="s">
        <v>324</v>
      </c>
      <c r="B75" s="227" t="s">
        <v>325</v>
      </c>
      <c r="C75" s="221">
        <v>0</v>
      </c>
      <c r="D75" s="221">
        <v>0</v>
      </c>
      <c r="E75" s="210">
        <v>0</v>
      </c>
      <c r="F75" s="331" t="s">
        <v>572</v>
      </c>
    </row>
    <row r="76" spans="1:6" s="288" customFormat="1" ht="12" customHeight="1" thickBot="1">
      <c r="A76" s="274" t="s">
        <v>326</v>
      </c>
      <c r="B76" s="213" t="s">
        <v>327</v>
      </c>
      <c r="C76" s="217">
        <f>SUM(C77:C79)</f>
        <v>0</v>
      </c>
      <c r="D76" s="217">
        <f>SUM(D77:D79)</f>
        <v>4649687</v>
      </c>
      <c r="E76" s="217">
        <f>SUM(E77:E79)</f>
        <v>4649687</v>
      </c>
      <c r="F76" s="331" t="s">
        <v>573</v>
      </c>
    </row>
    <row r="77" spans="1:6" s="288" customFormat="1" ht="12" customHeight="1">
      <c r="A77" s="271" t="s">
        <v>328</v>
      </c>
      <c r="B77" s="225" t="s">
        <v>329</v>
      </c>
      <c r="C77" s="221"/>
      <c r="D77" s="221">
        <v>4649687</v>
      </c>
      <c r="E77" s="210">
        <v>4649687</v>
      </c>
      <c r="F77" s="331" t="s">
        <v>574</v>
      </c>
    </row>
    <row r="78" spans="1:6" s="288" customFormat="1" ht="12" customHeight="1">
      <c r="A78" s="272" t="s">
        <v>330</v>
      </c>
      <c r="B78" s="226" t="s">
        <v>331</v>
      </c>
      <c r="C78" s="221">
        <v>0</v>
      </c>
      <c r="D78" s="221">
        <v>0</v>
      </c>
      <c r="E78" s="210">
        <v>0</v>
      </c>
      <c r="F78" s="331" t="s">
        <v>575</v>
      </c>
    </row>
    <row r="79" spans="1:6" s="288" customFormat="1" ht="12" customHeight="1" thickBot="1">
      <c r="A79" s="273" t="s">
        <v>332</v>
      </c>
      <c r="B79" s="227" t="s">
        <v>333</v>
      </c>
      <c r="C79" s="221">
        <v>0</v>
      </c>
      <c r="D79" s="221">
        <v>0</v>
      </c>
      <c r="E79" s="210">
        <v>0</v>
      </c>
      <c r="F79" s="331" t="s">
        <v>576</v>
      </c>
    </row>
    <row r="80" spans="1:6" s="288" customFormat="1" ht="12" customHeight="1" thickBot="1">
      <c r="A80" s="274" t="s">
        <v>334</v>
      </c>
      <c r="B80" s="213" t="s">
        <v>335</v>
      </c>
      <c r="C80" s="217">
        <f>SUM(C81:C84)</f>
        <v>0</v>
      </c>
      <c r="D80" s="217">
        <f>SUM(D81:D84)</f>
        <v>0</v>
      </c>
      <c r="E80" s="217">
        <f>SUM(E81:E84)</f>
        <v>0</v>
      </c>
      <c r="F80" s="331" t="s">
        <v>577</v>
      </c>
    </row>
    <row r="81" spans="1:6" s="288" customFormat="1" ht="12" customHeight="1">
      <c r="A81" s="275" t="s">
        <v>336</v>
      </c>
      <c r="B81" s="225" t="s">
        <v>337</v>
      </c>
      <c r="C81" s="221">
        <v>0</v>
      </c>
      <c r="D81" s="221">
        <v>0</v>
      </c>
      <c r="E81" s="210">
        <v>0</v>
      </c>
      <c r="F81" s="331" t="s">
        <v>578</v>
      </c>
    </row>
    <row r="82" spans="1:6" s="288" customFormat="1" ht="12" customHeight="1">
      <c r="A82" s="276" t="s">
        <v>338</v>
      </c>
      <c r="B82" s="226" t="s">
        <v>339</v>
      </c>
      <c r="C82" s="221">
        <v>0</v>
      </c>
      <c r="D82" s="221">
        <v>0</v>
      </c>
      <c r="E82" s="210">
        <v>0</v>
      </c>
      <c r="F82" s="331" t="s">
        <v>579</v>
      </c>
    </row>
    <row r="83" spans="1:6" s="288" customFormat="1" ht="12" customHeight="1">
      <c r="A83" s="276" t="s">
        <v>340</v>
      </c>
      <c r="B83" s="226" t="s">
        <v>341</v>
      </c>
      <c r="C83" s="221">
        <v>0</v>
      </c>
      <c r="D83" s="221">
        <v>0</v>
      </c>
      <c r="E83" s="210">
        <v>0</v>
      </c>
      <c r="F83" s="331" t="s">
        <v>580</v>
      </c>
    </row>
    <row r="84" spans="1:6" s="288" customFormat="1" ht="12" customHeight="1" thickBot="1">
      <c r="A84" s="277" t="s">
        <v>342</v>
      </c>
      <c r="B84" s="227" t="s">
        <v>343</v>
      </c>
      <c r="C84" s="221">
        <v>0</v>
      </c>
      <c r="D84" s="221">
        <v>0</v>
      </c>
      <c r="E84" s="210">
        <v>0</v>
      </c>
      <c r="F84" s="331" t="s">
        <v>581</v>
      </c>
    </row>
    <row r="85" spans="1:6" s="288" customFormat="1" ht="12" customHeight="1" thickBot="1">
      <c r="A85" s="274" t="s">
        <v>344</v>
      </c>
      <c r="B85" s="213" t="s">
        <v>345</v>
      </c>
      <c r="C85" s="230">
        <v>0</v>
      </c>
      <c r="D85" s="230">
        <v>0</v>
      </c>
      <c r="E85" s="231">
        <v>0</v>
      </c>
      <c r="F85" s="331" t="s">
        <v>582</v>
      </c>
    </row>
    <row r="86" spans="1:6" s="288" customFormat="1" ht="12" customHeight="1" thickBot="1">
      <c r="A86" s="274" t="s">
        <v>346</v>
      </c>
      <c r="B86" s="269" t="s">
        <v>347</v>
      </c>
      <c r="C86" s="223">
        <f>C64+C68+C73+C76+C80+C85</f>
        <v>137199700</v>
      </c>
      <c r="D86" s="223">
        <f>D64+D68+D73+D76+D80+D85</f>
        <v>141002305</v>
      </c>
      <c r="E86" s="223">
        <f>E64+E68+E73+E76+E80+E85</f>
        <v>141002305</v>
      </c>
      <c r="F86" s="331" t="s">
        <v>583</v>
      </c>
    </row>
    <row r="87" spans="1:6" s="288" customFormat="1" ht="12" customHeight="1" thickBot="1">
      <c r="A87" s="278" t="s">
        <v>348</v>
      </c>
      <c r="B87" s="270" t="s">
        <v>445</v>
      </c>
      <c r="C87" s="223">
        <f>C63+C86</f>
        <v>393664303</v>
      </c>
      <c r="D87" s="223">
        <f>D63+D86</f>
        <v>542802962</v>
      </c>
      <c r="E87" s="223">
        <f>E63+E86</f>
        <v>497629117</v>
      </c>
      <c r="F87" s="331" t="s">
        <v>584</v>
      </c>
    </row>
    <row r="88" spans="1:6" s="288" customFormat="1" ht="15" customHeight="1">
      <c r="A88" s="252"/>
      <c r="B88" s="253"/>
      <c r="C88" s="260"/>
      <c r="D88" s="260"/>
      <c r="E88" s="260"/>
      <c r="F88" s="332"/>
    </row>
    <row r="89" spans="1:5" ht="13.5" thickBot="1">
      <c r="A89" s="254" t="s">
        <v>1122</v>
      </c>
      <c r="B89" s="255"/>
      <c r="C89" s="261"/>
      <c r="D89" s="261"/>
      <c r="E89" s="261"/>
    </row>
    <row r="90" spans="1:6" s="287" customFormat="1" ht="16.5" customHeight="1" thickBot="1">
      <c r="A90" s="1407" t="s">
        <v>43</v>
      </c>
      <c r="B90" s="1408"/>
      <c r="C90" s="1408"/>
      <c r="D90" s="1408"/>
      <c r="E90" s="1409"/>
      <c r="F90" s="331"/>
    </row>
    <row r="91" spans="1:6" s="188" customFormat="1" ht="12" customHeight="1" thickBot="1">
      <c r="A91" s="267" t="s">
        <v>6</v>
      </c>
      <c r="B91" s="200" t="s">
        <v>356</v>
      </c>
      <c r="C91" s="1200">
        <f>SUM(C92:C96)</f>
        <v>267188228</v>
      </c>
      <c r="D91" s="1214">
        <f>SUM(D92:D96)</f>
        <v>285353694</v>
      </c>
      <c r="E91" s="1209">
        <f>SUM(E92:E96)</f>
        <v>249480625</v>
      </c>
      <c r="F91" s="333" t="s">
        <v>505</v>
      </c>
    </row>
    <row r="92" spans="1:6" ht="12" customHeight="1">
      <c r="A92" s="279" t="s">
        <v>68</v>
      </c>
      <c r="B92" s="194" t="s">
        <v>36</v>
      </c>
      <c r="C92" s="1201">
        <v>42150204</v>
      </c>
      <c r="D92" s="46">
        <v>49713962</v>
      </c>
      <c r="E92" s="1210">
        <v>47361547</v>
      </c>
      <c r="F92" s="333" t="s">
        <v>506</v>
      </c>
    </row>
    <row r="93" spans="1:6" ht="12" customHeight="1">
      <c r="A93" s="272" t="s">
        <v>69</v>
      </c>
      <c r="B93" s="192" t="s">
        <v>115</v>
      </c>
      <c r="C93" s="1202">
        <v>9806000</v>
      </c>
      <c r="D93" s="218">
        <v>10404130</v>
      </c>
      <c r="E93" s="207">
        <v>9063357</v>
      </c>
      <c r="F93" s="333" t="s">
        <v>507</v>
      </c>
    </row>
    <row r="94" spans="1:6" ht="12" customHeight="1">
      <c r="A94" s="272" t="s">
        <v>70</v>
      </c>
      <c r="B94" s="192" t="s">
        <v>90</v>
      </c>
      <c r="C94" s="1203">
        <v>82561060</v>
      </c>
      <c r="D94" s="220">
        <v>88900385</v>
      </c>
      <c r="E94" s="209">
        <v>69890202</v>
      </c>
      <c r="F94" s="333" t="s">
        <v>508</v>
      </c>
    </row>
    <row r="95" spans="1:6" ht="12" customHeight="1">
      <c r="A95" s="272" t="s">
        <v>71</v>
      </c>
      <c r="B95" s="195" t="s">
        <v>116</v>
      </c>
      <c r="C95" s="1203">
        <v>7060000</v>
      </c>
      <c r="D95" s="220">
        <v>7865500</v>
      </c>
      <c r="E95" s="209">
        <v>4776987</v>
      </c>
      <c r="F95" s="333" t="s">
        <v>509</v>
      </c>
    </row>
    <row r="96" spans="1:6" ht="12" customHeight="1">
      <c r="A96" s="272" t="s">
        <v>80</v>
      </c>
      <c r="B96" s="197" t="s">
        <v>117</v>
      </c>
      <c r="C96" s="1203">
        <f>C101+C106</f>
        <v>125610964</v>
      </c>
      <c r="D96" s="220">
        <f>D101+D106+D97</f>
        <v>128469717</v>
      </c>
      <c r="E96" s="209">
        <f>E101+E106+E97</f>
        <v>118388532</v>
      </c>
      <c r="F96" s="333" t="s">
        <v>510</v>
      </c>
    </row>
    <row r="97" spans="1:6" ht="12" customHeight="1">
      <c r="A97" s="272" t="s">
        <v>72</v>
      </c>
      <c r="B97" s="192" t="s">
        <v>357</v>
      </c>
      <c r="C97" s="1203"/>
      <c r="D97" s="220">
        <v>1001109</v>
      </c>
      <c r="E97" s="209">
        <v>1001109</v>
      </c>
      <c r="F97" s="333" t="s">
        <v>511</v>
      </c>
    </row>
    <row r="98" spans="1:6" ht="12" customHeight="1">
      <c r="A98" s="272" t="s">
        <v>73</v>
      </c>
      <c r="B98" s="203" t="s">
        <v>358</v>
      </c>
      <c r="C98" s="1203"/>
      <c r="D98" s="220">
        <v>0</v>
      </c>
      <c r="E98" s="209">
        <v>0</v>
      </c>
      <c r="F98" s="333" t="s">
        <v>512</v>
      </c>
    </row>
    <row r="99" spans="1:6" ht="12" customHeight="1">
      <c r="A99" s="272" t="s">
        <v>81</v>
      </c>
      <c r="B99" s="204" t="s">
        <v>359</v>
      </c>
      <c r="C99" s="1203"/>
      <c r="D99" s="220">
        <v>0</v>
      </c>
      <c r="E99" s="209">
        <v>0</v>
      </c>
      <c r="F99" s="333" t="s">
        <v>513</v>
      </c>
    </row>
    <row r="100" spans="1:6" ht="12" customHeight="1">
      <c r="A100" s="272" t="s">
        <v>82</v>
      </c>
      <c r="B100" s="204" t="s">
        <v>360</v>
      </c>
      <c r="C100" s="1203"/>
      <c r="D100" s="220">
        <v>0</v>
      </c>
      <c r="E100" s="209">
        <v>0</v>
      </c>
      <c r="F100" s="333" t="s">
        <v>514</v>
      </c>
    </row>
    <row r="101" spans="1:6" ht="12" customHeight="1">
      <c r="A101" s="272" t="s">
        <v>83</v>
      </c>
      <c r="B101" s="203" t="s">
        <v>361</v>
      </c>
      <c r="C101" s="1203">
        <v>121360964</v>
      </c>
      <c r="D101" s="220">
        <f>1316580+121902028</f>
        <v>123218608</v>
      </c>
      <c r="E101" s="209">
        <f>1316580+112526318</f>
        <v>113842898</v>
      </c>
      <c r="F101" s="333" t="s">
        <v>515</v>
      </c>
    </row>
    <row r="102" spans="1:6" ht="12" customHeight="1">
      <c r="A102" s="272" t="s">
        <v>84</v>
      </c>
      <c r="B102" s="203" t="s">
        <v>362</v>
      </c>
      <c r="C102" s="1203"/>
      <c r="D102" s="220">
        <v>0</v>
      </c>
      <c r="E102" s="209">
        <v>0</v>
      </c>
      <c r="F102" s="333" t="s">
        <v>516</v>
      </c>
    </row>
    <row r="103" spans="1:6" ht="12" customHeight="1">
      <c r="A103" s="272" t="s">
        <v>86</v>
      </c>
      <c r="B103" s="204" t="s">
        <v>363</v>
      </c>
      <c r="C103" s="1203"/>
      <c r="D103" s="220">
        <v>0</v>
      </c>
      <c r="E103" s="209">
        <v>0</v>
      </c>
      <c r="F103" s="333" t="s">
        <v>517</v>
      </c>
    </row>
    <row r="104" spans="1:6" ht="12" customHeight="1">
      <c r="A104" s="280" t="s">
        <v>118</v>
      </c>
      <c r="B104" s="205" t="s">
        <v>364</v>
      </c>
      <c r="C104" s="1203"/>
      <c r="D104" s="220">
        <v>0</v>
      </c>
      <c r="E104" s="209">
        <v>0</v>
      </c>
      <c r="F104" s="333" t="s">
        <v>518</v>
      </c>
    </row>
    <row r="105" spans="1:6" ht="12" customHeight="1">
      <c r="A105" s="272" t="s">
        <v>365</v>
      </c>
      <c r="B105" s="205" t="s">
        <v>366</v>
      </c>
      <c r="C105" s="1203"/>
      <c r="D105" s="220">
        <v>0</v>
      </c>
      <c r="E105" s="209">
        <v>0</v>
      </c>
      <c r="F105" s="333" t="s">
        <v>519</v>
      </c>
    </row>
    <row r="106" spans="1:6" s="188" customFormat="1" ht="12" customHeight="1" thickBot="1">
      <c r="A106" s="281" t="s">
        <v>367</v>
      </c>
      <c r="B106" s="206" t="s">
        <v>368</v>
      </c>
      <c r="C106" s="1204">
        <v>4250000</v>
      </c>
      <c r="D106" s="1215">
        <v>4250000</v>
      </c>
      <c r="E106" s="1211">
        <v>3544525</v>
      </c>
      <c r="F106" s="333" t="s">
        <v>520</v>
      </c>
    </row>
    <row r="107" spans="1:6" ht="12" customHeight="1" thickBot="1">
      <c r="A107" s="201" t="s">
        <v>7</v>
      </c>
      <c r="B107" s="199" t="s">
        <v>369</v>
      </c>
      <c r="C107" s="1205">
        <f>C108+C110+C112</f>
        <v>55293600</v>
      </c>
      <c r="D107" s="217">
        <f>D108+D110+D112</f>
        <v>112441968</v>
      </c>
      <c r="E107" s="1212">
        <f>E108+E110+E112</f>
        <v>88915917</v>
      </c>
      <c r="F107" s="333" t="s">
        <v>521</v>
      </c>
    </row>
    <row r="108" spans="1:6" ht="12" customHeight="1">
      <c r="A108" s="271" t="s">
        <v>74</v>
      </c>
      <c r="B108" s="192" t="s">
        <v>138</v>
      </c>
      <c r="C108" s="1206">
        <v>15359700</v>
      </c>
      <c r="D108" s="219">
        <v>34247620</v>
      </c>
      <c r="E108" s="208">
        <v>30545553</v>
      </c>
      <c r="F108" s="333" t="s">
        <v>522</v>
      </c>
    </row>
    <row r="109" spans="1:6" ht="12" customHeight="1">
      <c r="A109" s="271" t="s">
        <v>75</v>
      </c>
      <c r="B109" s="196" t="s">
        <v>370</v>
      </c>
      <c r="C109" s="1206"/>
      <c r="D109" s="219"/>
      <c r="E109" s="208"/>
      <c r="F109" s="333" t="s">
        <v>523</v>
      </c>
    </row>
    <row r="110" spans="1:6" ht="12" customHeight="1">
      <c r="A110" s="271" t="s">
        <v>76</v>
      </c>
      <c r="B110" s="196" t="s">
        <v>119</v>
      </c>
      <c r="C110" s="1202">
        <v>37033900</v>
      </c>
      <c r="D110" s="218">
        <v>75294348</v>
      </c>
      <c r="E110" s="207">
        <v>58170364</v>
      </c>
      <c r="F110" s="333" t="s">
        <v>524</v>
      </c>
    </row>
    <row r="111" spans="1:6" ht="12" customHeight="1">
      <c r="A111" s="271" t="s">
        <v>77</v>
      </c>
      <c r="B111" s="196" t="s">
        <v>371</v>
      </c>
      <c r="C111" s="1207"/>
      <c r="D111" s="218"/>
      <c r="E111" s="207"/>
      <c r="F111" s="333" t="s">
        <v>525</v>
      </c>
    </row>
    <row r="112" spans="1:6" ht="12" customHeight="1">
      <c r="A112" s="271" t="s">
        <v>78</v>
      </c>
      <c r="B112" s="215" t="s">
        <v>140</v>
      </c>
      <c r="C112" s="1207">
        <v>2900000</v>
      </c>
      <c r="D112" s="218">
        <v>2900000</v>
      </c>
      <c r="E112" s="207">
        <v>200000</v>
      </c>
      <c r="F112" s="333" t="s">
        <v>526</v>
      </c>
    </row>
    <row r="113" spans="1:6" ht="12" customHeight="1">
      <c r="A113" s="271" t="s">
        <v>85</v>
      </c>
      <c r="B113" s="214" t="s">
        <v>372</v>
      </c>
      <c r="C113" s="1207">
        <v>0</v>
      </c>
      <c r="D113" s="218">
        <v>0</v>
      </c>
      <c r="E113" s="207">
        <v>0</v>
      </c>
      <c r="F113" s="333" t="s">
        <v>527</v>
      </c>
    </row>
    <row r="114" spans="1:6" ht="12" customHeight="1">
      <c r="A114" s="271" t="s">
        <v>87</v>
      </c>
      <c r="B114" s="224" t="s">
        <v>373</v>
      </c>
      <c r="C114" s="1207">
        <v>0</v>
      </c>
      <c r="D114" s="218">
        <v>0</v>
      </c>
      <c r="E114" s="207">
        <v>0</v>
      </c>
      <c r="F114" s="333" t="s">
        <v>528</v>
      </c>
    </row>
    <row r="115" spans="1:6" ht="12" customHeight="1">
      <c r="A115" s="271" t="s">
        <v>120</v>
      </c>
      <c r="B115" s="204" t="s">
        <v>360</v>
      </c>
      <c r="C115" s="1207">
        <v>0</v>
      </c>
      <c r="D115" s="218">
        <v>0</v>
      </c>
      <c r="E115" s="207">
        <v>0</v>
      </c>
      <c r="F115" s="333" t="s">
        <v>529</v>
      </c>
    </row>
    <row r="116" spans="1:6" ht="12" customHeight="1">
      <c r="A116" s="271" t="s">
        <v>121</v>
      </c>
      <c r="B116" s="204" t="s">
        <v>374</v>
      </c>
      <c r="C116" s="1207">
        <v>0</v>
      </c>
      <c r="D116" s="218">
        <v>0</v>
      </c>
      <c r="E116" s="207">
        <v>0</v>
      </c>
      <c r="F116" s="333" t="s">
        <v>530</v>
      </c>
    </row>
    <row r="117" spans="1:6" ht="12" customHeight="1">
      <c r="A117" s="271" t="s">
        <v>122</v>
      </c>
      <c r="B117" s="204" t="s">
        <v>375</v>
      </c>
      <c r="C117" s="1207">
        <v>0</v>
      </c>
      <c r="D117" s="218">
        <v>0</v>
      </c>
      <c r="E117" s="207">
        <v>0</v>
      </c>
      <c r="F117" s="333" t="s">
        <v>531</v>
      </c>
    </row>
    <row r="118" spans="1:6" ht="12" customHeight="1">
      <c r="A118" s="271" t="s">
        <v>376</v>
      </c>
      <c r="B118" s="204" t="s">
        <v>363</v>
      </c>
      <c r="C118" s="1207">
        <v>0</v>
      </c>
      <c r="D118" s="218">
        <v>0</v>
      </c>
      <c r="E118" s="207">
        <v>0</v>
      </c>
      <c r="F118" s="333" t="s">
        <v>532</v>
      </c>
    </row>
    <row r="119" spans="1:6" ht="12" customHeight="1">
      <c r="A119" s="271" t="s">
        <v>377</v>
      </c>
      <c r="B119" s="204" t="s">
        <v>378</v>
      </c>
      <c r="C119" s="1207">
        <v>0</v>
      </c>
      <c r="D119" s="218">
        <v>0</v>
      </c>
      <c r="E119" s="207">
        <v>0</v>
      </c>
      <c r="F119" s="333" t="s">
        <v>533</v>
      </c>
    </row>
    <row r="120" spans="1:6" ht="12" customHeight="1" thickBot="1">
      <c r="A120" s="280" t="s">
        <v>379</v>
      </c>
      <c r="B120" s="204" t="s">
        <v>380</v>
      </c>
      <c r="C120" s="1208">
        <v>2900000</v>
      </c>
      <c r="D120" s="220">
        <v>2900000</v>
      </c>
      <c r="E120" s="209">
        <v>200000</v>
      </c>
      <c r="F120" s="333" t="s">
        <v>534</v>
      </c>
    </row>
    <row r="121" spans="1:6" ht="12" customHeight="1" thickBot="1">
      <c r="A121" s="201" t="s">
        <v>8</v>
      </c>
      <c r="B121" s="202" t="s">
        <v>381</v>
      </c>
      <c r="C121" s="1205">
        <f>SUM(C122:C123)</f>
        <v>66063463</v>
      </c>
      <c r="D121" s="217">
        <f>SUM(D122:D123)</f>
        <v>139888288</v>
      </c>
      <c r="E121" s="1212">
        <f>SUM(E122:E123)</f>
        <v>0</v>
      </c>
      <c r="F121" s="333" t="s">
        <v>535</v>
      </c>
    </row>
    <row r="122" spans="1:6" ht="12" customHeight="1">
      <c r="A122" s="271" t="s">
        <v>57</v>
      </c>
      <c r="B122" s="193" t="s">
        <v>45</v>
      </c>
      <c r="C122" s="1206">
        <v>66063463</v>
      </c>
      <c r="D122" s="219">
        <v>139888288</v>
      </c>
      <c r="E122" s="208">
        <v>0</v>
      </c>
      <c r="F122" s="333" t="s">
        <v>536</v>
      </c>
    </row>
    <row r="123" spans="1:6" ht="12" customHeight="1" thickBot="1">
      <c r="A123" s="273" t="s">
        <v>58</v>
      </c>
      <c r="B123" s="196" t="s">
        <v>46</v>
      </c>
      <c r="C123" s="1203">
        <v>0</v>
      </c>
      <c r="D123" s="220">
        <v>0</v>
      </c>
      <c r="E123" s="209">
        <v>0</v>
      </c>
      <c r="F123" s="333" t="s">
        <v>537</v>
      </c>
    </row>
    <row r="124" spans="1:6" ht="12" customHeight="1" thickBot="1">
      <c r="A124" s="201" t="s">
        <v>9</v>
      </c>
      <c r="B124" s="202" t="s">
        <v>382</v>
      </c>
      <c r="C124" s="1205">
        <f>C91+C107+C121</f>
        <v>388545291</v>
      </c>
      <c r="D124" s="217">
        <f>D91+D107+D121</f>
        <v>537683950</v>
      </c>
      <c r="E124" s="1212">
        <f>E91+E107+E121</f>
        <v>338396542</v>
      </c>
      <c r="F124" s="333" t="s">
        <v>538</v>
      </c>
    </row>
    <row r="125" spans="1:6" ht="12" customHeight="1" thickBot="1">
      <c r="A125" s="201" t="s">
        <v>10</v>
      </c>
      <c r="B125" s="202" t="s">
        <v>447</v>
      </c>
      <c r="C125" s="1205">
        <f>SUM(C126:C128)</f>
        <v>0</v>
      </c>
      <c r="D125" s="217">
        <f>SUM(D126:D128)</f>
        <v>0</v>
      </c>
      <c r="E125" s="1212">
        <f>SUM(E126:E128)</f>
        <v>0</v>
      </c>
      <c r="F125" s="333" t="s">
        <v>539</v>
      </c>
    </row>
    <row r="126" spans="1:6" ht="12" customHeight="1">
      <c r="A126" s="271" t="s">
        <v>61</v>
      </c>
      <c r="B126" s="193" t="s">
        <v>384</v>
      </c>
      <c r="C126" s="1207">
        <v>0</v>
      </c>
      <c r="D126" s="218">
        <v>0</v>
      </c>
      <c r="E126" s="207">
        <v>0</v>
      </c>
      <c r="F126" s="333" t="s">
        <v>540</v>
      </c>
    </row>
    <row r="127" spans="1:6" ht="12" customHeight="1">
      <c r="A127" s="271" t="s">
        <v>62</v>
      </c>
      <c r="B127" s="193" t="s">
        <v>385</v>
      </c>
      <c r="C127" s="1207">
        <v>0</v>
      </c>
      <c r="D127" s="218">
        <v>0</v>
      </c>
      <c r="E127" s="207">
        <v>0</v>
      </c>
      <c r="F127" s="333" t="s">
        <v>541</v>
      </c>
    </row>
    <row r="128" spans="1:6" ht="12" customHeight="1" thickBot="1">
      <c r="A128" s="280" t="s">
        <v>63</v>
      </c>
      <c r="B128" s="191" t="s">
        <v>386</v>
      </c>
      <c r="C128" s="1207">
        <v>0</v>
      </c>
      <c r="D128" s="218">
        <v>0</v>
      </c>
      <c r="E128" s="207">
        <v>0</v>
      </c>
      <c r="F128" s="333" t="s">
        <v>542</v>
      </c>
    </row>
    <row r="129" spans="1:6" ht="12" customHeight="1" thickBot="1">
      <c r="A129" s="201" t="s">
        <v>11</v>
      </c>
      <c r="B129" s="202" t="s">
        <v>387</v>
      </c>
      <c r="C129" s="1205">
        <f>SUM(C130:C133)</f>
        <v>0</v>
      </c>
      <c r="D129" s="217">
        <f>SUM(D130:D133)</f>
        <v>0</v>
      </c>
      <c r="E129" s="1212">
        <f>SUM(E130:E133)</f>
        <v>0</v>
      </c>
      <c r="F129" s="333" t="s">
        <v>543</v>
      </c>
    </row>
    <row r="130" spans="1:6" ht="12" customHeight="1">
      <c r="A130" s="271" t="s">
        <v>64</v>
      </c>
      <c r="B130" s="193" t="s">
        <v>388</v>
      </c>
      <c r="C130" s="1207">
        <v>0</v>
      </c>
      <c r="D130" s="218">
        <v>0</v>
      </c>
      <c r="E130" s="207">
        <v>0</v>
      </c>
      <c r="F130" s="333" t="s">
        <v>544</v>
      </c>
    </row>
    <row r="131" spans="1:6" ht="12" customHeight="1">
      <c r="A131" s="271" t="s">
        <v>65</v>
      </c>
      <c r="B131" s="193" t="s">
        <v>389</v>
      </c>
      <c r="C131" s="1207">
        <v>0</v>
      </c>
      <c r="D131" s="218">
        <v>0</v>
      </c>
      <c r="E131" s="207">
        <v>0</v>
      </c>
      <c r="F131" s="333" t="s">
        <v>545</v>
      </c>
    </row>
    <row r="132" spans="1:6" ht="12" customHeight="1">
      <c r="A132" s="271" t="s">
        <v>284</v>
      </c>
      <c r="B132" s="193" t="s">
        <v>390</v>
      </c>
      <c r="C132" s="1207">
        <v>0</v>
      </c>
      <c r="D132" s="218">
        <v>0</v>
      </c>
      <c r="E132" s="207">
        <v>0</v>
      </c>
      <c r="F132" s="333" t="s">
        <v>546</v>
      </c>
    </row>
    <row r="133" spans="1:6" s="188" customFormat="1" ht="12" customHeight="1" thickBot="1">
      <c r="A133" s="280" t="s">
        <v>286</v>
      </c>
      <c r="B133" s="191" t="s">
        <v>391</v>
      </c>
      <c r="C133" s="1207">
        <v>0</v>
      </c>
      <c r="D133" s="218">
        <v>0</v>
      </c>
      <c r="E133" s="207">
        <v>0</v>
      </c>
      <c r="F133" s="333" t="s">
        <v>547</v>
      </c>
    </row>
    <row r="134" spans="1:11" ht="13.5" thickBot="1">
      <c r="A134" s="201" t="s">
        <v>12</v>
      </c>
      <c r="B134" s="202" t="s">
        <v>493</v>
      </c>
      <c r="C134" s="1216">
        <f>SUM(C135:C139)</f>
        <v>5119012</v>
      </c>
      <c r="D134" s="223">
        <f>SUM(D135:D139)</f>
        <v>5119012</v>
      </c>
      <c r="E134" s="1223">
        <f>SUM(E135:E139)</f>
        <v>5119012</v>
      </c>
      <c r="F134" s="333" t="s">
        <v>548</v>
      </c>
      <c r="K134" s="243"/>
    </row>
    <row r="135" spans="1:6" ht="12.75">
      <c r="A135" s="271" t="s">
        <v>66</v>
      </c>
      <c r="B135" s="193" t="s">
        <v>393</v>
      </c>
      <c r="C135" s="1207">
        <v>0</v>
      </c>
      <c r="D135" s="218"/>
      <c r="E135" s="207"/>
      <c r="F135" s="333" t="s">
        <v>549</v>
      </c>
    </row>
    <row r="136" spans="1:6" ht="12" customHeight="1">
      <c r="A136" s="271" t="s">
        <v>67</v>
      </c>
      <c r="B136" s="193" t="s">
        <v>394</v>
      </c>
      <c r="C136" s="1207">
        <v>5119012</v>
      </c>
      <c r="D136" s="218">
        <v>5119012</v>
      </c>
      <c r="E136" s="207">
        <v>5119012</v>
      </c>
      <c r="F136" s="333" t="s">
        <v>550</v>
      </c>
    </row>
    <row r="137" spans="1:6" s="188" customFormat="1" ht="12" customHeight="1">
      <c r="A137" s="271" t="s">
        <v>293</v>
      </c>
      <c r="B137" s="193" t="s">
        <v>492</v>
      </c>
      <c r="C137" s="1207"/>
      <c r="D137" s="218">
        <v>0</v>
      </c>
      <c r="E137" s="207">
        <v>0</v>
      </c>
      <c r="F137" s="333" t="s">
        <v>551</v>
      </c>
    </row>
    <row r="138" spans="1:6" s="188" customFormat="1" ht="12" customHeight="1">
      <c r="A138" s="271" t="s">
        <v>295</v>
      </c>
      <c r="B138" s="193" t="s">
        <v>395</v>
      </c>
      <c r="C138" s="1207">
        <v>0</v>
      </c>
      <c r="D138" s="218">
        <v>0</v>
      </c>
      <c r="E138" s="207">
        <v>0</v>
      </c>
      <c r="F138" s="333" t="s">
        <v>552</v>
      </c>
    </row>
    <row r="139" spans="1:6" s="188" customFormat="1" ht="12" customHeight="1" thickBot="1">
      <c r="A139" s="280" t="s">
        <v>491</v>
      </c>
      <c r="B139" s="191" t="s">
        <v>396</v>
      </c>
      <c r="C139" s="1207">
        <v>0</v>
      </c>
      <c r="D139" s="218">
        <v>0</v>
      </c>
      <c r="E139" s="207">
        <v>0</v>
      </c>
      <c r="F139" s="333" t="s">
        <v>553</v>
      </c>
    </row>
    <row r="140" spans="1:6" s="188" customFormat="1" ht="12" customHeight="1" thickBot="1">
      <c r="A140" s="201" t="s">
        <v>13</v>
      </c>
      <c r="B140" s="202" t="s">
        <v>448</v>
      </c>
      <c r="C140" s="1221">
        <f>SUM(C141:C144)</f>
        <v>0</v>
      </c>
      <c r="D140" s="1060">
        <f>SUM(D141:D144)</f>
        <v>0</v>
      </c>
      <c r="E140" s="1224">
        <f>SUM(E141:E144)</f>
        <v>0</v>
      </c>
      <c r="F140" s="333" t="s">
        <v>554</v>
      </c>
    </row>
    <row r="141" spans="1:6" s="188" customFormat="1" ht="12" customHeight="1">
      <c r="A141" s="271" t="s">
        <v>113</v>
      </c>
      <c r="B141" s="193" t="s">
        <v>398</v>
      </c>
      <c r="C141" s="1207">
        <v>0</v>
      </c>
      <c r="D141" s="218">
        <v>0</v>
      </c>
      <c r="E141" s="207">
        <v>0</v>
      </c>
      <c r="F141" s="333" t="s">
        <v>555</v>
      </c>
    </row>
    <row r="142" spans="1:6" s="188" customFormat="1" ht="12" customHeight="1">
      <c r="A142" s="271" t="s">
        <v>114</v>
      </c>
      <c r="B142" s="193" t="s">
        <v>399</v>
      </c>
      <c r="C142" s="1207">
        <v>0</v>
      </c>
      <c r="D142" s="218">
        <v>0</v>
      </c>
      <c r="E142" s="207">
        <v>0</v>
      </c>
      <c r="F142" s="333" t="s">
        <v>556</v>
      </c>
    </row>
    <row r="143" spans="1:6" s="188" customFormat="1" ht="12" customHeight="1">
      <c r="A143" s="271" t="s">
        <v>139</v>
      </c>
      <c r="B143" s="193" t="s">
        <v>400</v>
      </c>
      <c r="C143" s="1207">
        <v>0</v>
      </c>
      <c r="D143" s="218">
        <v>0</v>
      </c>
      <c r="E143" s="207">
        <v>0</v>
      </c>
      <c r="F143" s="333" t="s">
        <v>557</v>
      </c>
    </row>
    <row r="144" spans="1:6" ht="12.75" customHeight="1" thickBot="1">
      <c r="A144" s="271" t="s">
        <v>301</v>
      </c>
      <c r="B144" s="193" t="s">
        <v>401</v>
      </c>
      <c r="C144" s="1207">
        <v>0</v>
      </c>
      <c r="D144" s="218">
        <v>0</v>
      </c>
      <c r="E144" s="207">
        <v>0</v>
      </c>
      <c r="F144" s="333" t="s">
        <v>558</v>
      </c>
    </row>
    <row r="145" spans="1:6" ht="12" customHeight="1" thickBot="1">
      <c r="A145" s="201" t="s">
        <v>14</v>
      </c>
      <c r="B145" s="202" t="s">
        <v>402</v>
      </c>
      <c r="C145" s="1222">
        <f>C125+C129+C134+C140</f>
        <v>5119012</v>
      </c>
      <c r="D145" s="1062">
        <f>D125+D129+D134+D140</f>
        <v>5119012</v>
      </c>
      <c r="E145" s="1225">
        <f>E125+E129+E134+E140</f>
        <v>5119012</v>
      </c>
      <c r="F145" s="333" t="s">
        <v>559</v>
      </c>
    </row>
    <row r="146" spans="1:6" ht="15" customHeight="1" thickBot="1">
      <c r="A146" s="282" t="s">
        <v>15</v>
      </c>
      <c r="B146" s="216" t="s">
        <v>403</v>
      </c>
      <c r="C146" s="1222">
        <f>C124+C145</f>
        <v>393664303</v>
      </c>
      <c r="D146" s="1062">
        <f>D124+D145</f>
        <v>542802962</v>
      </c>
      <c r="E146" s="1225">
        <f>E124+E145</f>
        <v>343515554</v>
      </c>
      <c r="F146" s="333" t="s">
        <v>560</v>
      </c>
    </row>
    <row r="147" spans="1:5" ht="12.75">
      <c r="A147" s="38"/>
      <c r="B147" s="39"/>
      <c r="C147" s="40"/>
      <c r="D147" s="40"/>
      <c r="E147" s="40"/>
    </row>
    <row r="148" spans="1:5" ht="15" customHeight="1" hidden="1" thickBot="1">
      <c r="A148" s="256" t="s">
        <v>494</v>
      </c>
      <c r="B148" s="257"/>
      <c r="C148" s="56">
        <v>17</v>
      </c>
      <c r="D148" s="57">
        <v>17</v>
      </c>
      <c r="E148" s="54">
        <v>17</v>
      </c>
    </row>
    <row r="149" spans="1:5" ht="14.25" customHeight="1" hidden="1" thickBot="1">
      <c r="A149" s="256" t="s">
        <v>131</v>
      </c>
      <c r="B149" s="257"/>
      <c r="C149" s="56">
        <v>14</v>
      </c>
      <c r="D149" s="57">
        <v>14</v>
      </c>
      <c r="E149" s="54">
        <v>14</v>
      </c>
    </row>
    <row r="150" ht="12.75" hidden="1"/>
    <row r="151" ht="12.75" hidden="1"/>
  </sheetData>
  <sheetProtection/>
  <mergeCells count="4">
    <mergeCell ref="B3:D3"/>
    <mergeCell ref="A7:E7"/>
    <mergeCell ref="A90:E90"/>
    <mergeCell ref="B2:D2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0" r:id="rId1"/>
  <headerFooter alignWithMargins="0">
    <oddHeader>&amp;C&amp;"Times New Roman CE,Félkövér"&amp;12
</oddHeader>
  </headerFooter>
  <rowBreaks count="2" manualBreakCount="2">
    <brk id="76" max="4" man="1"/>
    <brk id="8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Normal="130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303" customWidth="1"/>
    <col min="2" max="2" width="59.375" style="30" customWidth="1"/>
    <col min="3" max="5" width="15.875" style="30" customWidth="1"/>
    <col min="6" max="6" width="0" style="327" hidden="1" customWidth="1"/>
    <col min="7" max="16384" width="9.375" style="30" customWidth="1"/>
  </cols>
  <sheetData>
    <row r="1" spans="1:6" s="247" customFormat="1" ht="21" customHeight="1" thickBot="1">
      <c r="A1" s="246"/>
      <c r="B1" s="248"/>
      <c r="C1" s="284"/>
      <c r="D1" s="284"/>
      <c r="E1" s="1192" t="s">
        <v>1131</v>
      </c>
      <c r="F1" s="328"/>
    </row>
    <row r="2" spans="1:6" s="285" customFormat="1" ht="31.5" customHeight="1">
      <c r="A2" s="266" t="s">
        <v>129</v>
      </c>
      <c r="B2" s="1410" t="s">
        <v>585</v>
      </c>
      <c r="C2" s="1411"/>
      <c r="D2" s="1412"/>
      <c r="E2" s="306" t="s">
        <v>47</v>
      </c>
      <c r="F2" s="329"/>
    </row>
    <row r="3" spans="1:6" s="285" customFormat="1" ht="24.75" thickBot="1">
      <c r="A3" s="283" t="s">
        <v>449</v>
      </c>
      <c r="B3" s="1404" t="s">
        <v>442</v>
      </c>
      <c r="C3" s="1413"/>
      <c r="D3" s="1414"/>
      <c r="E3" s="307" t="s">
        <v>40</v>
      </c>
      <c r="F3" s="329"/>
    </row>
    <row r="4" spans="1:6" s="286" customFormat="1" ht="15.75" customHeight="1" thickBot="1">
      <c r="A4" s="249"/>
      <c r="B4" s="249"/>
      <c r="C4" s="250"/>
      <c r="D4" s="250"/>
      <c r="E4" s="250" t="s">
        <v>644</v>
      </c>
      <c r="F4" s="330"/>
    </row>
    <row r="5" spans="1:5" ht="24.75" thickBot="1">
      <c r="A5" s="189" t="s">
        <v>130</v>
      </c>
      <c r="B5" s="190" t="s">
        <v>41</v>
      </c>
      <c r="C5" s="45" t="s">
        <v>160</v>
      </c>
      <c r="D5" s="45" t="s">
        <v>161</v>
      </c>
      <c r="E5" s="251" t="s">
        <v>162</v>
      </c>
    </row>
    <row r="6" spans="1:6" s="287" customFormat="1" ht="12.75" customHeight="1" thickBot="1">
      <c r="A6" s="244" t="s">
        <v>350</v>
      </c>
      <c r="B6" s="245" t="s">
        <v>351</v>
      </c>
      <c r="C6" s="245" t="s">
        <v>352</v>
      </c>
      <c r="D6" s="55" t="s">
        <v>353</v>
      </c>
      <c r="E6" s="53" t="s">
        <v>354</v>
      </c>
      <c r="F6" s="331"/>
    </row>
    <row r="7" spans="1:6" s="287" customFormat="1" ht="15.75" customHeight="1" thickBot="1">
      <c r="A7" s="1407" t="s">
        <v>42</v>
      </c>
      <c r="B7" s="1408"/>
      <c r="C7" s="1408"/>
      <c r="D7" s="1408"/>
      <c r="E7" s="1409"/>
      <c r="F7" s="331"/>
    </row>
    <row r="8" spans="1:6" s="262" customFormat="1" ht="12" customHeight="1" thickBot="1">
      <c r="A8" s="244" t="s">
        <v>6</v>
      </c>
      <c r="B8" s="299" t="s">
        <v>450</v>
      </c>
      <c r="C8" s="235">
        <f>SUM(C9:C18)</f>
        <v>15084000</v>
      </c>
      <c r="D8" s="235">
        <f>SUM(D9:D18)</f>
        <v>18030962</v>
      </c>
      <c r="E8" s="235">
        <f>SUM(E9:E18)</f>
        <v>16464772</v>
      </c>
      <c r="F8" s="235">
        <f>SUM(F9:F18)</f>
        <v>0</v>
      </c>
    </row>
    <row r="9" spans="1:6" s="262" customFormat="1" ht="12" customHeight="1">
      <c r="A9" s="308" t="s">
        <v>68</v>
      </c>
      <c r="B9" s="194" t="s">
        <v>269</v>
      </c>
      <c r="C9" s="50">
        <v>0</v>
      </c>
      <c r="D9" s="50">
        <v>0</v>
      </c>
      <c r="E9" s="294">
        <v>0</v>
      </c>
      <c r="F9" s="331" t="s">
        <v>506</v>
      </c>
    </row>
    <row r="10" spans="1:6" s="262" customFormat="1" ht="12" customHeight="1">
      <c r="A10" s="309" t="s">
        <v>69</v>
      </c>
      <c r="B10" s="192" t="s">
        <v>270</v>
      </c>
      <c r="C10" s="233"/>
      <c r="D10" s="233">
        <v>2575769</v>
      </c>
      <c r="E10" s="58">
        <v>2448801</v>
      </c>
      <c r="F10" s="331" t="s">
        <v>507</v>
      </c>
    </row>
    <row r="11" spans="1:6" s="262" customFormat="1" ht="12" customHeight="1">
      <c r="A11" s="309" t="s">
        <v>70</v>
      </c>
      <c r="B11" s="192" t="s">
        <v>271</v>
      </c>
      <c r="C11" s="233"/>
      <c r="D11" s="233"/>
      <c r="E11" s="58">
        <v>0</v>
      </c>
      <c r="F11" s="331" t="s">
        <v>508</v>
      </c>
    </row>
    <row r="12" spans="1:6" s="262" customFormat="1" ht="12" customHeight="1">
      <c r="A12" s="309" t="s">
        <v>71</v>
      </c>
      <c r="B12" s="192" t="s">
        <v>272</v>
      </c>
      <c r="C12" s="233"/>
      <c r="D12" s="233">
        <v>0</v>
      </c>
      <c r="E12" s="58"/>
      <c r="F12" s="331" t="s">
        <v>509</v>
      </c>
    </row>
    <row r="13" spans="1:6" s="262" customFormat="1" ht="12" customHeight="1">
      <c r="A13" s="309" t="s">
        <v>91</v>
      </c>
      <c r="B13" s="192" t="s">
        <v>273</v>
      </c>
      <c r="C13" s="233">
        <v>11877000</v>
      </c>
      <c r="D13" s="233">
        <v>9537698</v>
      </c>
      <c r="E13" s="58">
        <v>8413892</v>
      </c>
      <c r="F13" s="331" t="s">
        <v>510</v>
      </c>
    </row>
    <row r="14" spans="1:6" s="262" customFormat="1" ht="12" customHeight="1">
      <c r="A14" s="309" t="s">
        <v>72</v>
      </c>
      <c r="B14" s="192" t="s">
        <v>451</v>
      </c>
      <c r="C14" s="233">
        <v>3207000</v>
      </c>
      <c r="D14" s="233">
        <v>3250156</v>
      </c>
      <c r="E14" s="58">
        <v>2934740</v>
      </c>
      <c r="F14" s="331" t="s">
        <v>511</v>
      </c>
    </row>
    <row r="15" spans="1:6" s="288" customFormat="1" ht="12" customHeight="1">
      <c r="A15" s="309" t="s">
        <v>73</v>
      </c>
      <c r="B15" s="191" t="s">
        <v>452</v>
      </c>
      <c r="C15" s="233"/>
      <c r="D15" s="233">
        <v>2645204</v>
      </c>
      <c r="E15" s="58">
        <v>2645204</v>
      </c>
      <c r="F15" s="331" t="s">
        <v>512</v>
      </c>
    </row>
    <row r="16" spans="1:6" s="288" customFormat="1" ht="12" customHeight="1">
      <c r="A16" s="309" t="s">
        <v>81</v>
      </c>
      <c r="B16" s="192" t="s">
        <v>276</v>
      </c>
      <c r="C16" s="51"/>
      <c r="D16" s="51"/>
      <c r="E16" s="293"/>
      <c r="F16" s="331" t="s">
        <v>513</v>
      </c>
    </row>
    <row r="17" spans="1:6" s="262" customFormat="1" ht="12" customHeight="1">
      <c r="A17" s="309" t="s">
        <v>82</v>
      </c>
      <c r="B17" s="192" t="s">
        <v>278</v>
      </c>
      <c r="C17" s="233"/>
      <c r="D17" s="233">
        <v>0</v>
      </c>
      <c r="E17" s="58"/>
      <c r="F17" s="331" t="s">
        <v>514</v>
      </c>
    </row>
    <row r="18" spans="1:6" s="288" customFormat="1" ht="12" customHeight="1" thickBot="1">
      <c r="A18" s="309" t="s">
        <v>83</v>
      </c>
      <c r="B18" s="191" t="s">
        <v>280</v>
      </c>
      <c r="C18" s="234"/>
      <c r="D18" s="234">
        <v>22135</v>
      </c>
      <c r="E18" s="289">
        <v>22135</v>
      </c>
      <c r="F18" s="331" t="s">
        <v>515</v>
      </c>
    </row>
    <row r="19" spans="1:6" s="288" customFormat="1" ht="25.5" customHeight="1" thickBot="1">
      <c r="A19" s="244" t="s">
        <v>7</v>
      </c>
      <c r="B19" s="299" t="s">
        <v>453</v>
      </c>
      <c r="C19" s="235">
        <f>SUM(C20:C23)</f>
        <v>0</v>
      </c>
      <c r="D19" s="235">
        <f>SUM(D20:D23)</f>
        <v>1166842</v>
      </c>
      <c r="E19" s="235">
        <f>SUM(E20:E23)</f>
        <v>1166842</v>
      </c>
      <c r="F19" s="331" t="s">
        <v>516</v>
      </c>
    </row>
    <row r="20" spans="1:6" s="288" customFormat="1" ht="12" customHeight="1">
      <c r="A20" s="309" t="s">
        <v>74</v>
      </c>
      <c r="B20" s="193" t="s">
        <v>242</v>
      </c>
      <c r="C20" s="233">
        <v>0</v>
      </c>
      <c r="D20" s="233">
        <v>0</v>
      </c>
      <c r="E20" s="58">
        <v>0</v>
      </c>
      <c r="F20" s="331" t="s">
        <v>517</v>
      </c>
    </row>
    <row r="21" spans="1:6" s="288" customFormat="1" ht="12" customHeight="1">
      <c r="A21" s="309" t="s">
        <v>75</v>
      </c>
      <c r="B21" s="192" t="s">
        <v>454</v>
      </c>
      <c r="C21" s="233">
        <v>0</v>
      </c>
      <c r="D21" s="233">
        <v>0</v>
      </c>
      <c r="E21" s="58">
        <v>0</v>
      </c>
      <c r="F21" s="331" t="s">
        <v>518</v>
      </c>
    </row>
    <row r="22" spans="1:6" s="288" customFormat="1" ht="12" customHeight="1">
      <c r="A22" s="309" t="s">
        <v>76</v>
      </c>
      <c r="B22" s="192" t="s">
        <v>455</v>
      </c>
      <c r="C22" s="233"/>
      <c r="D22" s="233">
        <v>1166842</v>
      </c>
      <c r="E22" s="58">
        <v>1166842</v>
      </c>
      <c r="F22" s="331" t="s">
        <v>519</v>
      </c>
    </row>
    <row r="23" spans="1:6" s="288" customFormat="1" ht="12" customHeight="1" thickBot="1">
      <c r="A23" s="309" t="s">
        <v>77</v>
      </c>
      <c r="B23" s="192" t="s">
        <v>495</v>
      </c>
      <c r="C23" s="233">
        <v>0</v>
      </c>
      <c r="D23" s="233">
        <v>0</v>
      </c>
      <c r="E23" s="58">
        <v>0</v>
      </c>
      <c r="F23" s="331" t="s">
        <v>520</v>
      </c>
    </row>
    <row r="24" spans="1:6" s="288" customFormat="1" ht="24" customHeight="1" thickBot="1">
      <c r="A24" s="298" t="s">
        <v>8</v>
      </c>
      <c r="B24" s="202" t="s">
        <v>106</v>
      </c>
      <c r="C24" s="37">
        <v>0</v>
      </c>
      <c r="D24" s="37">
        <v>0</v>
      </c>
      <c r="E24" s="304">
        <v>0</v>
      </c>
      <c r="F24" s="331" t="s">
        <v>521</v>
      </c>
    </row>
    <row r="25" spans="1:6" s="288" customFormat="1" ht="23.25" customHeight="1" thickBot="1">
      <c r="A25" s="298" t="s">
        <v>9</v>
      </c>
      <c r="B25" s="202" t="s">
        <v>456</v>
      </c>
      <c r="C25" s="235">
        <f>SUM(C26:C28)</f>
        <v>0</v>
      </c>
      <c r="D25" s="235">
        <f>SUM(D26:D28)</f>
        <v>0</v>
      </c>
      <c r="E25" s="235">
        <f>SUM(E26:E28)</f>
        <v>0</v>
      </c>
      <c r="F25" s="331" t="s">
        <v>522</v>
      </c>
    </row>
    <row r="26" spans="1:6" s="288" customFormat="1" ht="12" customHeight="1">
      <c r="A26" s="310" t="s">
        <v>256</v>
      </c>
      <c r="B26" s="311" t="s">
        <v>454</v>
      </c>
      <c r="C26" s="47">
        <v>0</v>
      </c>
      <c r="D26" s="47">
        <v>0</v>
      </c>
      <c r="E26" s="292">
        <v>0</v>
      </c>
      <c r="F26" s="331" t="s">
        <v>523</v>
      </c>
    </row>
    <row r="27" spans="1:6" s="288" customFormat="1" ht="12" customHeight="1">
      <c r="A27" s="310" t="s">
        <v>262</v>
      </c>
      <c r="B27" s="312" t="s">
        <v>457</v>
      </c>
      <c r="C27" s="236"/>
      <c r="D27" s="236">
        <v>0</v>
      </c>
      <c r="E27" s="291">
        <v>0</v>
      </c>
      <c r="F27" s="331" t="s">
        <v>524</v>
      </c>
    </row>
    <row r="28" spans="1:6" s="288" customFormat="1" ht="12" customHeight="1" thickBot="1">
      <c r="A28" s="309" t="s">
        <v>264</v>
      </c>
      <c r="B28" s="313" t="s">
        <v>496</v>
      </c>
      <c r="C28" s="295">
        <v>0</v>
      </c>
      <c r="D28" s="295">
        <v>0</v>
      </c>
      <c r="E28" s="290">
        <v>0</v>
      </c>
      <c r="F28" s="331" t="s">
        <v>525</v>
      </c>
    </row>
    <row r="29" spans="1:6" s="288" customFormat="1" ht="12" customHeight="1" thickBot="1">
      <c r="A29" s="298" t="s">
        <v>10</v>
      </c>
      <c r="B29" s="202" t="s">
        <v>458</v>
      </c>
      <c r="C29" s="235">
        <f>SUM(C30:C32)</f>
        <v>0</v>
      </c>
      <c r="D29" s="235">
        <f>SUM(D30:D32)</f>
        <v>0</v>
      </c>
      <c r="E29" s="235">
        <f>SUM(E30:E32)</f>
        <v>0</v>
      </c>
      <c r="F29" s="331" t="s">
        <v>526</v>
      </c>
    </row>
    <row r="30" spans="1:6" s="288" customFormat="1" ht="12" customHeight="1">
      <c r="A30" s="310" t="s">
        <v>61</v>
      </c>
      <c r="B30" s="311" t="s">
        <v>282</v>
      </c>
      <c r="C30" s="47">
        <v>0</v>
      </c>
      <c r="D30" s="47">
        <v>0</v>
      </c>
      <c r="E30" s="292">
        <v>0</v>
      </c>
      <c r="F30" s="331" t="s">
        <v>527</v>
      </c>
    </row>
    <row r="31" spans="1:6" s="288" customFormat="1" ht="12" customHeight="1">
      <c r="A31" s="310" t="s">
        <v>62</v>
      </c>
      <c r="B31" s="312" t="s">
        <v>283</v>
      </c>
      <c r="C31" s="236">
        <v>0</v>
      </c>
      <c r="D31" s="236">
        <v>0</v>
      </c>
      <c r="E31" s="291">
        <v>0</v>
      </c>
      <c r="F31" s="331" t="s">
        <v>528</v>
      </c>
    </row>
    <row r="32" spans="1:6" s="288" customFormat="1" ht="12" customHeight="1" thickBot="1">
      <c r="A32" s="309" t="s">
        <v>63</v>
      </c>
      <c r="B32" s="297" t="s">
        <v>285</v>
      </c>
      <c r="C32" s="295"/>
      <c r="D32" s="295">
        <v>0</v>
      </c>
      <c r="E32" s="290">
        <v>0</v>
      </c>
      <c r="F32" s="331" t="s">
        <v>529</v>
      </c>
    </row>
    <row r="33" spans="1:6" s="288" customFormat="1" ht="12" customHeight="1" thickBot="1">
      <c r="A33" s="298" t="s">
        <v>11</v>
      </c>
      <c r="B33" s="202" t="s">
        <v>410</v>
      </c>
      <c r="C33" s="37">
        <v>0</v>
      </c>
      <c r="D33" s="37">
        <v>0</v>
      </c>
      <c r="E33" s="304">
        <v>0</v>
      </c>
      <c r="F33" s="331" t="s">
        <v>530</v>
      </c>
    </row>
    <row r="34" spans="1:6" s="262" customFormat="1" ht="12" customHeight="1" thickBot="1">
      <c r="A34" s="298" t="s">
        <v>12</v>
      </c>
      <c r="B34" s="202" t="s">
        <v>459</v>
      </c>
      <c r="C34" s="37">
        <v>0</v>
      </c>
      <c r="D34" s="37">
        <v>0</v>
      </c>
      <c r="E34" s="304">
        <v>0</v>
      </c>
      <c r="F34" s="331" t="s">
        <v>531</v>
      </c>
    </row>
    <row r="35" spans="1:6" s="262" customFormat="1" ht="12" customHeight="1" thickBot="1">
      <c r="A35" s="244" t="s">
        <v>13</v>
      </c>
      <c r="B35" s="202" t="s">
        <v>497</v>
      </c>
      <c r="C35" s="235">
        <f>C8+C19+C24+C25+C29+C33+C34</f>
        <v>15084000</v>
      </c>
      <c r="D35" s="235">
        <f>D8+D19+D24+D25+D29+D33+D34</f>
        <v>19197804</v>
      </c>
      <c r="E35" s="235">
        <f>E8+E19+E24+E25+E29+E33+E34</f>
        <v>17631614</v>
      </c>
      <c r="F35" s="331" t="s">
        <v>532</v>
      </c>
    </row>
    <row r="36" spans="1:6" s="262" customFormat="1" ht="12" customHeight="1" thickBot="1">
      <c r="A36" s="300" t="s">
        <v>14</v>
      </c>
      <c r="B36" s="202" t="s">
        <v>461</v>
      </c>
      <c r="C36" s="235">
        <f>SUM(C37:C39)</f>
        <v>80445816</v>
      </c>
      <c r="D36" s="235">
        <f>SUM(D37:D39)</f>
        <v>80832742</v>
      </c>
      <c r="E36" s="235">
        <f>SUM(E37:E39)</f>
        <v>74537248</v>
      </c>
      <c r="F36" s="331" t="s">
        <v>533</v>
      </c>
    </row>
    <row r="37" spans="1:6" s="262" customFormat="1" ht="12" customHeight="1">
      <c r="A37" s="310" t="s">
        <v>462</v>
      </c>
      <c r="B37" s="311" t="s">
        <v>147</v>
      </c>
      <c r="C37" s="47">
        <v>718905</v>
      </c>
      <c r="D37" s="47">
        <v>564767</v>
      </c>
      <c r="E37" s="292">
        <v>564767</v>
      </c>
      <c r="F37" s="331" t="s">
        <v>534</v>
      </c>
    </row>
    <row r="38" spans="1:6" s="288" customFormat="1" ht="12" customHeight="1">
      <c r="A38" s="310" t="s">
        <v>463</v>
      </c>
      <c r="B38" s="312" t="s">
        <v>2</v>
      </c>
      <c r="C38" s="236"/>
      <c r="D38" s="236"/>
      <c r="E38" s="291"/>
      <c r="F38" s="331" t="s">
        <v>535</v>
      </c>
    </row>
    <row r="39" spans="1:6" s="288" customFormat="1" ht="12" customHeight="1" thickBot="1">
      <c r="A39" s="309" t="s">
        <v>464</v>
      </c>
      <c r="B39" s="297" t="s">
        <v>465</v>
      </c>
      <c r="C39" s="295">
        <v>79726911</v>
      </c>
      <c r="D39" s="295">
        <v>80267975</v>
      </c>
      <c r="E39" s="290">
        <v>73972481</v>
      </c>
      <c r="F39" s="331" t="s">
        <v>536</v>
      </c>
    </row>
    <row r="40" spans="1:6" s="288" customFormat="1" ht="15" customHeight="1" thickBot="1">
      <c r="A40" s="300" t="s">
        <v>15</v>
      </c>
      <c r="B40" s="301" t="s">
        <v>466</v>
      </c>
      <c r="C40" s="52">
        <f>C35+C36</f>
        <v>95529816</v>
      </c>
      <c r="D40" s="52">
        <f>D35+D36</f>
        <v>100030546</v>
      </c>
      <c r="E40" s="52">
        <f>E35+E36</f>
        <v>92168862</v>
      </c>
      <c r="F40" s="331" t="s">
        <v>537</v>
      </c>
    </row>
    <row r="41" spans="1:6" s="288" customFormat="1" ht="15" customHeight="1">
      <c r="A41" s="252"/>
      <c r="B41" s="253"/>
      <c r="C41" s="260"/>
      <c r="D41" s="260"/>
      <c r="E41" s="260"/>
      <c r="F41" s="331"/>
    </row>
    <row r="42" spans="1:6" ht="16.5" thickBot="1">
      <c r="A42" s="254"/>
      <c r="B42" s="255"/>
      <c r="C42" s="261"/>
      <c r="D42" s="261"/>
      <c r="E42" s="261"/>
      <c r="F42" s="331"/>
    </row>
    <row r="43" spans="1:5" s="287" customFormat="1" ht="16.5" customHeight="1" thickBot="1">
      <c r="A43" s="1407" t="s">
        <v>43</v>
      </c>
      <c r="B43" s="1408"/>
      <c r="C43" s="1408"/>
      <c r="D43" s="1408"/>
      <c r="E43" s="1409"/>
    </row>
    <row r="44" spans="1:6" s="188" customFormat="1" ht="12" customHeight="1" thickBot="1">
      <c r="A44" s="298" t="s">
        <v>6</v>
      </c>
      <c r="B44" s="202" t="s">
        <v>467</v>
      </c>
      <c r="C44" s="235">
        <f>SUM(C45:C49)</f>
        <v>94929816</v>
      </c>
      <c r="D44" s="235">
        <f>SUM(D45:D49)</f>
        <v>98418451</v>
      </c>
      <c r="E44" s="235">
        <f>SUM(E45:E49)</f>
        <v>90388555</v>
      </c>
      <c r="F44" s="331" t="s">
        <v>505</v>
      </c>
    </row>
    <row r="45" spans="1:6" ht="12" customHeight="1">
      <c r="A45" s="309" t="s">
        <v>68</v>
      </c>
      <c r="B45" s="193" t="s">
        <v>36</v>
      </c>
      <c r="C45" s="47">
        <v>42582850</v>
      </c>
      <c r="D45" s="47">
        <v>44014670</v>
      </c>
      <c r="E45" s="240">
        <v>43174331</v>
      </c>
      <c r="F45" s="331" t="s">
        <v>506</v>
      </c>
    </row>
    <row r="46" spans="1:6" ht="12" customHeight="1">
      <c r="A46" s="309" t="s">
        <v>69</v>
      </c>
      <c r="B46" s="192" t="s">
        <v>115</v>
      </c>
      <c r="C46" s="232">
        <v>9075766</v>
      </c>
      <c r="D46" s="232">
        <v>9306010</v>
      </c>
      <c r="E46" s="241">
        <v>9142467</v>
      </c>
      <c r="F46" s="331" t="s">
        <v>507</v>
      </c>
    </row>
    <row r="47" spans="1:6" ht="12" customHeight="1">
      <c r="A47" s="309" t="s">
        <v>70</v>
      </c>
      <c r="B47" s="192" t="s">
        <v>90</v>
      </c>
      <c r="C47" s="232">
        <v>43271200</v>
      </c>
      <c r="D47" s="232">
        <v>45097771</v>
      </c>
      <c r="E47" s="241">
        <v>38071757</v>
      </c>
      <c r="F47" s="331" t="s">
        <v>508</v>
      </c>
    </row>
    <row r="48" spans="1:6" ht="12" customHeight="1">
      <c r="A48" s="309" t="s">
        <v>71</v>
      </c>
      <c r="B48" s="192" t="s">
        <v>116</v>
      </c>
      <c r="C48" s="232"/>
      <c r="D48" s="232"/>
      <c r="E48" s="241"/>
      <c r="F48" s="331" t="s">
        <v>509</v>
      </c>
    </row>
    <row r="49" spans="1:6" ht="12" customHeight="1" thickBot="1">
      <c r="A49" s="309" t="s">
        <v>91</v>
      </c>
      <c r="B49" s="192" t="s">
        <v>117</v>
      </c>
      <c r="C49" s="232"/>
      <c r="D49" s="232"/>
      <c r="E49" s="241"/>
      <c r="F49" s="331" t="s">
        <v>510</v>
      </c>
    </row>
    <row r="50" spans="1:6" ht="12" customHeight="1" thickBot="1">
      <c r="A50" s="298" t="s">
        <v>7</v>
      </c>
      <c r="B50" s="202" t="s">
        <v>468</v>
      </c>
      <c r="C50" s="235">
        <f>SUM(C51:C53)</f>
        <v>600000</v>
      </c>
      <c r="D50" s="235">
        <f>SUM(D51:D53)</f>
        <v>1612095</v>
      </c>
      <c r="E50" s="235">
        <f>SUM(E51:E53)</f>
        <v>877597</v>
      </c>
      <c r="F50" s="331" t="s">
        <v>511</v>
      </c>
    </row>
    <row r="51" spans="1:6" s="188" customFormat="1" ht="12" customHeight="1">
      <c r="A51" s="309" t="s">
        <v>74</v>
      </c>
      <c r="B51" s="193" t="s">
        <v>138</v>
      </c>
      <c r="C51" s="47">
        <v>600000</v>
      </c>
      <c r="D51" s="47">
        <v>1612095</v>
      </c>
      <c r="E51" s="240">
        <v>877597</v>
      </c>
      <c r="F51" s="331" t="s">
        <v>512</v>
      </c>
    </row>
    <row r="52" spans="1:6" ht="12" customHeight="1">
      <c r="A52" s="309" t="s">
        <v>75</v>
      </c>
      <c r="B52" s="192" t="s">
        <v>119</v>
      </c>
      <c r="C52" s="232"/>
      <c r="D52" s="232">
        <v>0</v>
      </c>
      <c r="E52" s="241">
        <v>0</v>
      </c>
      <c r="F52" s="331" t="s">
        <v>513</v>
      </c>
    </row>
    <row r="53" spans="1:6" ht="12" customHeight="1">
      <c r="A53" s="309" t="s">
        <v>76</v>
      </c>
      <c r="B53" s="192" t="s">
        <v>44</v>
      </c>
      <c r="C53" s="232">
        <v>0</v>
      </c>
      <c r="D53" s="232">
        <v>0</v>
      </c>
      <c r="E53" s="241">
        <v>0</v>
      </c>
      <c r="F53" s="331" t="s">
        <v>514</v>
      </c>
    </row>
    <row r="54" spans="1:6" ht="12" customHeight="1" thickBot="1">
      <c r="A54" s="309" t="s">
        <v>77</v>
      </c>
      <c r="B54" s="192" t="s">
        <v>498</v>
      </c>
      <c r="C54" s="232">
        <v>0</v>
      </c>
      <c r="D54" s="232">
        <v>0</v>
      </c>
      <c r="E54" s="241">
        <v>0</v>
      </c>
      <c r="F54" s="331" t="s">
        <v>515</v>
      </c>
    </row>
    <row r="55" spans="1:6" ht="12" customHeight="1" thickBot="1">
      <c r="A55" s="298" t="s">
        <v>8</v>
      </c>
      <c r="B55" s="302" t="s">
        <v>469</v>
      </c>
      <c r="C55" s="235">
        <f>C44+C50</f>
        <v>95529816</v>
      </c>
      <c r="D55" s="235">
        <f>D44+D50</f>
        <v>100030546</v>
      </c>
      <c r="E55" s="235">
        <f>E44+E50</f>
        <v>91266152</v>
      </c>
      <c r="F55" s="331" t="s">
        <v>516</v>
      </c>
    </row>
    <row r="56" spans="3:6" ht="16.5" hidden="1" thickBot="1">
      <c r="C56" s="305"/>
      <c r="D56" s="305"/>
      <c r="E56" s="305"/>
      <c r="F56" s="331"/>
    </row>
    <row r="57" spans="1:6" ht="15" customHeight="1" hidden="1" thickBot="1">
      <c r="A57" s="256" t="s">
        <v>494</v>
      </c>
      <c r="B57" s="257"/>
      <c r="C57" s="56">
        <v>15</v>
      </c>
      <c r="D57" s="56">
        <v>15</v>
      </c>
      <c r="E57" s="296">
        <v>15</v>
      </c>
      <c r="F57" s="331"/>
    </row>
    <row r="58" spans="1:6" ht="14.25" customHeight="1" hidden="1" thickBot="1">
      <c r="A58" s="256" t="s">
        <v>131</v>
      </c>
      <c r="B58" s="257"/>
      <c r="C58" s="56"/>
      <c r="D58" s="56"/>
      <c r="E58" s="296"/>
      <c r="F58" s="331"/>
    </row>
    <row r="59" ht="15.75" hidden="1">
      <c r="F59" s="331"/>
    </row>
    <row r="60" ht="15.75">
      <c r="F60" s="331"/>
    </row>
    <row r="61" ht="15.75">
      <c r="F61" s="331"/>
    </row>
    <row r="62" ht="15.75">
      <c r="F62" s="331"/>
    </row>
    <row r="63" ht="15.75">
      <c r="F63" s="331"/>
    </row>
    <row r="64" ht="15.75">
      <c r="F64" s="331"/>
    </row>
    <row r="65" ht="15.75">
      <c r="F65" s="331"/>
    </row>
    <row r="66" ht="15.75">
      <c r="F66" s="331"/>
    </row>
    <row r="67" ht="15.75">
      <c r="F67" s="331"/>
    </row>
    <row r="68" ht="15.75">
      <c r="F68" s="331"/>
    </row>
    <row r="69" ht="15.75">
      <c r="F69" s="331"/>
    </row>
    <row r="70" ht="15.75">
      <c r="F70" s="331"/>
    </row>
    <row r="71" ht="15.75">
      <c r="F71" s="331"/>
    </row>
    <row r="72" ht="15.75">
      <c r="F72" s="331"/>
    </row>
    <row r="73" ht="15.75">
      <c r="F73" s="331"/>
    </row>
    <row r="74" ht="15.75">
      <c r="F74" s="331"/>
    </row>
    <row r="75" ht="15.75">
      <c r="F75" s="331"/>
    </row>
    <row r="76" ht="15.75">
      <c r="F76" s="331"/>
    </row>
    <row r="77" ht="15.75">
      <c r="F77" s="331"/>
    </row>
    <row r="78" ht="15.75">
      <c r="F78" s="331"/>
    </row>
    <row r="79" ht="15.75">
      <c r="F79" s="331"/>
    </row>
    <row r="80" ht="15.75">
      <c r="F80" s="331"/>
    </row>
    <row r="81" ht="15.75">
      <c r="F81" s="331"/>
    </row>
    <row r="82" ht="15.75">
      <c r="F82" s="331"/>
    </row>
    <row r="83" ht="15.75">
      <c r="F83" s="331"/>
    </row>
    <row r="84" ht="15.75">
      <c r="F84" s="331"/>
    </row>
    <row r="85" ht="15.75">
      <c r="F85" s="331"/>
    </row>
    <row r="86" ht="15.75">
      <c r="F86" s="331"/>
    </row>
    <row r="87" ht="15.75">
      <c r="F87" s="331"/>
    </row>
    <row r="88" ht="15">
      <c r="F88" s="332"/>
    </row>
    <row r="90" ht="15.75">
      <c r="F90" s="331"/>
    </row>
    <row r="91" ht="12.75">
      <c r="F91" s="333"/>
    </row>
    <row r="92" ht="12.75">
      <c r="F92" s="333"/>
    </row>
    <row r="93" ht="12.75">
      <c r="F93" s="333"/>
    </row>
    <row r="94" ht="12.75">
      <c r="F94" s="333"/>
    </row>
    <row r="95" ht="12.75">
      <c r="F95" s="333"/>
    </row>
    <row r="96" ht="12.75">
      <c r="F96" s="333"/>
    </row>
    <row r="97" ht="12.75">
      <c r="F97" s="333"/>
    </row>
    <row r="98" ht="12.75">
      <c r="F98" s="333"/>
    </row>
    <row r="99" ht="12.75">
      <c r="F99" s="333"/>
    </row>
    <row r="100" ht="12.75">
      <c r="F100" s="333"/>
    </row>
    <row r="101" ht="12.75">
      <c r="F101" s="333"/>
    </row>
    <row r="102" ht="12.75">
      <c r="F102" s="333"/>
    </row>
    <row r="103" ht="12.75">
      <c r="F103" s="333"/>
    </row>
    <row r="104" ht="12.75">
      <c r="F104" s="333"/>
    </row>
    <row r="105" ht="12.75">
      <c r="F105" s="333"/>
    </row>
    <row r="106" ht="12.75">
      <c r="F106" s="333"/>
    </row>
    <row r="107" ht="12.75">
      <c r="F107" s="333"/>
    </row>
    <row r="108" ht="12.75">
      <c r="F108" s="333"/>
    </row>
    <row r="109" ht="12.75">
      <c r="F109" s="333"/>
    </row>
    <row r="110" ht="12.75">
      <c r="F110" s="333"/>
    </row>
    <row r="111" ht="12.75">
      <c r="F111" s="333"/>
    </row>
    <row r="112" ht="12.75">
      <c r="F112" s="333"/>
    </row>
    <row r="113" ht="12.75">
      <c r="F113" s="333"/>
    </row>
    <row r="114" ht="12.75">
      <c r="F114" s="333"/>
    </row>
    <row r="115" ht="12.75">
      <c r="F115" s="333"/>
    </row>
    <row r="116" ht="12.75">
      <c r="F116" s="333"/>
    </row>
    <row r="117" ht="12.75">
      <c r="F117" s="333"/>
    </row>
    <row r="118" ht="12.75">
      <c r="F118" s="333"/>
    </row>
    <row r="119" ht="12.75">
      <c r="F119" s="333"/>
    </row>
    <row r="120" ht="12.75">
      <c r="F120" s="333"/>
    </row>
    <row r="121" ht="12.75">
      <c r="F121" s="333"/>
    </row>
    <row r="122" ht="12.75">
      <c r="F122" s="333"/>
    </row>
    <row r="123" ht="12.75">
      <c r="F123" s="333"/>
    </row>
    <row r="124" ht="12.75">
      <c r="F124" s="333"/>
    </row>
    <row r="125" ht="12.75">
      <c r="F125" s="333"/>
    </row>
    <row r="126" ht="12.75">
      <c r="F126" s="333"/>
    </row>
    <row r="127" ht="12.75">
      <c r="F127" s="333"/>
    </row>
    <row r="128" ht="12.75">
      <c r="F128" s="333"/>
    </row>
    <row r="129" ht="12.75">
      <c r="F129" s="333"/>
    </row>
    <row r="130" ht="12.75">
      <c r="F130" s="333"/>
    </row>
    <row r="131" ht="12.75">
      <c r="F131" s="333"/>
    </row>
    <row r="132" ht="12.75">
      <c r="F132" s="333"/>
    </row>
    <row r="133" ht="12.75">
      <c r="F133" s="333"/>
    </row>
    <row r="134" ht="12.75">
      <c r="F134" s="333"/>
    </row>
    <row r="135" ht="12.75">
      <c r="F135" s="333"/>
    </row>
    <row r="136" ht="12.75">
      <c r="F136" s="333"/>
    </row>
    <row r="137" ht="12.75">
      <c r="F137" s="333"/>
    </row>
    <row r="138" ht="12.75">
      <c r="F138" s="333"/>
    </row>
    <row r="139" ht="12.75">
      <c r="F139" s="333"/>
    </row>
    <row r="140" ht="12.75">
      <c r="F140" s="333"/>
    </row>
    <row r="141" ht="12.75">
      <c r="F141" s="333"/>
    </row>
    <row r="142" ht="12.75">
      <c r="F142" s="333"/>
    </row>
    <row r="143" ht="12.75">
      <c r="F143" s="333"/>
    </row>
    <row r="144" ht="12.75">
      <c r="F144" s="333"/>
    </row>
    <row r="145" ht="12.75">
      <c r="F145" s="333"/>
    </row>
    <row r="146" ht="12.75">
      <c r="F146" s="333"/>
    </row>
  </sheetData>
  <sheetProtection/>
  <mergeCells count="4">
    <mergeCell ref="B3:D3"/>
    <mergeCell ref="A7:E7"/>
    <mergeCell ref="A43:E43"/>
    <mergeCell ref="B2:D2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0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Normal="130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8.625" style="303" customWidth="1"/>
    <col min="2" max="2" width="62.00390625" style="30" customWidth="1"/>
    <col min="3" max="5" width="15.875" style="30" customWidth="1"/>
    <col min="6" max="6" width="0" style="327" hidden="1" customWidth="1"/>
    <col min="7" max="16384" width="9.375" style="30" customWidth="1"/>
  </cols>
  <sheetData>
    <row r="1" spans="1:6" s="247" customFormat="1" ht="21" customHeight="1" thickBot="1">
      <c r="A1" s="246"/>
      <c r="B1" s="248"/>
      <c r="C1" s="284"/>
      <c r="D1" s="284"/>
      <c r="E1" s="1192" t="s">
        <v>1132</v>
      </c>
      <c r="F1" s="328"/>
    </row>
    <row r="2" spans="1:6" s="285" customFormat="1" ht="25.5" customHeight="1">
      <c r="A2" s="266" t="s">
        <v>129</v>
      </c>
      <c r="B2" s="1410" t="s">
        <v>587</v>
      </c>
      <c r="C2" s="1411"/>
      <c r="D2" s="1412"/>
      <c r="E2" s="306" t="s">
        <v>48</v>
      </c>
      <c r="F2" s="329"/>
    </row>
    <row r="3" spans="1:6" s="285" customFormat="1" ht="24.75" thickBot="1">
      <c r="A3" s="283" t="s">
        <v>128</v>
      </c>
      <c r="B3" s="1404" t="s">
        <v>442</v>
      </c>
      <c r="C3" s="1413"/>
      <c r="D3" s="1414"/>
      <c r="E3" s="307" t="s">
        <v>40</v>
      </c>
      <c r="F3" s="329"/>
    </row>
    <row r="4" spans="1:6" s="286" customFormat="1" ht="15.75" customHeight="1" thickBot="1">
      <c r="A4" s="249"/>
      <c r="B4" s="249"/>
      <c r="C4" s="250"/>
      <c r="D4" s="250"/>
      <c r="E4" s="250" t="s">
        <v>644</v>
      </c>
      <c r="F4" s="330"/>
    </row>
    <row r="5" spans="1:5" ht="24.75" thickBot="1">
      <c r="A5" s="189" t="s">
        <v>130</v>
      </c>
      <c r="B5" s="190" t="s">
        <v>41</v>
      </c>
      <c r="C5" s="45" t="s">
        <v>160</v>
      </c>
      <c r="D5" s="45" t="s">
        <v>161</v>
      </c>
      <c r="E5" s="251" t="s">
        <v>162</v>
      </c>
    </row>
    <row r="6" spans="1:6" s="287" customFormat="1" ht="12.75" customHeight="1" thickBot="1">
      <c r="A6" s="244" t="s">
        <v>350</v>
      </c>
      <c r="B6" s="245" t="s">
        <v>351</v>
      </c>
      <c r="C6" s="245" t="s">
        <v>352</v>
      </c>
      <c r="D6" s="55" t="s">
        <v>353</v>
      </c>
      <c r="E6" s="53" t="s">
        <v>354</v>
      </c>
      <c r="F6" s="331"/>
    </row>
    <row r="7" spans="1:6" s="287" customFormat="1" ht="15.75" customHeight="1" thickBot="1">
      <c r="A7" s="1407" t="s">
        <v>42</v>
      </c>
      <c r="B7" s="1408"/>
      <c r="C7" s="1408"/>
      <c r="D7" s="1408"/>
      <c r="E7" s="1409"/>
      <c r="F7" s="331"/>
    </row>
    <row r="8" spans="1:6" s="262" customFormat="1" ht="12" customHeight="1" thickBot="1">
      <c r="A8" s="244" t="s">
        <v>6</v>
      </c>
      <c r="B8" s="299" t="s">
        <v>450</v>
      </c>
      <c r="C8" s="235">
        <f>SUM(C9:C18)</f>
        <v>0</v>
      </c>
      <c r="D8" s="235">
        <f>SUM(D9:D18)</f>
        <v>578</v>
      </c>
      <c r="E8" s="235">
        <f>SUM(E9:E18)</f>
        <v>579</v>
      </c>
      <c r="F8" s="331" t="s">
        <v>505</v>
      </c>
    </row>
    <row r="9" spans="1:6" s="262" customFormat="1" ht="12" customHeight="1">
      <c r="A9" s="308" t="s">
        <v>68</v>
      </c>
      <c r="B9" s="194" t="s">
        <v>269</v>
      </c>
      <c r="C9" s="50">
        <v>0</v>
      </c>
      <c r="D9" s="320">
        <v>0</v>
      </c>
      <c r="E9" s="294">
        <v>0</v>
      </c>
      <c r="F9" s="331" t="s">
        <v>506</v>
      </c>
    </row>
    <row r="10" spans="1:6" s="262" customFormat="1" ht="12" customHeight="1">
      <c r="A10" s="309" t="s">
        <v>69</v>
      </c>
      <c r="B10" s="192" t="s">
        <v>270</v>
      </c>
      <c r="C10" s="233"/>
      <c r="D10" s="321">
        <v>0</v>
      </c>
      <c r="E10" s="58">
        <v>0</v>
      </c>
      <c r="F10" s="331" t="s">
        <v>507</v>
      </c>
    </row>
    <row r="11" spans="1:6" s="262" customFormat="1" ht="12" customHeight="1">
      <c r="A11" s="309" t="s">
        <v>70</v>
      </c>
      <c r="B11" s="192" t="s">
        <v>271</v>
      </c>
      <c r="C11" s="233"/>
      <c r="D11" s="321">
        <v>0</v>
      </c>
      <c r="E11" s="58">
        <v>0</v>
      </c>
      <c r="F11" s="331" t="s">
        <v>508</v>
      </c>
    </row>
    <row r="12" spans="1:6" s="262" customFormat="1" ht="12" customHeight="1">
      <c r="A12" s="309" t="s">
        <v>71</v>
      </c>
      <c r="B12" s="192" t="s">
        <v>272</v>
      </c>
      <c r="C12" s="233"/>
      <c r="D12" s="321">
        <v>0</v>
      </c>
      <c r="E12" s="58">
        <v>0</v>
      </c>
      <c r="F12" s="331" t="s">
        <v>509</v>
      </c>
    </row>
    <row r="13" spans="1:6" s="262" customFormat="1" ht="12" customHeight="1">
      <c r="A13" s="309" t="s">
        <v>91</v>
      </c>
      <c r="B13" s="192" t="s">
        <v>273</v>
      </c>
      <c r="C13" s="233"/>
      <c r="D13" s="321">
        <v>0</v>
      </c>
      <c r="E13" s="58">
        <v>0</v>
      </c>
      <c r="F13" s="331" t="s">
        <v>510</v>
      </c>
    </row>
    <row r="14" spans="1:6" s="262" customFormat="1" ht="12" customHeight="1">
      <c r="A14" s="309" t="s">
        <v>72</v>
      </c>
      <c r="B14" s="192" t="s">
        <v>451</v>
      </c>
      <c r="C14" s="233"/>
      <c r="D14" s="321">
        <v>0</v>
      </c>
      <c r="E14" s="58">
        <v>0</v>
      </c>
      <c r="F14" s="331" t="s">
        <v>511</v>
      </c>
    </row>
    <row r="15" spans="1:6" s="288" customFormat="1" ht="12" customHeight="1">
      <c r="A15" s="309" t="s">
        <v>73</v>
      </c>
      <c r="B15" s="191" t="s">
        <v>452</v>
      </c>
      <c r="C15" s="233"/>
      <c r="D15" s="321">
        <v>0</v>
      </c>
      <c r="E15" s="58">
        <v>0</v>
      </c>
      <c r="F15" s="331" t="s">
        <v>512</v>
      </c>
    </row>
    <row r="16" spans="1:6" s="288" customFormat="1" ht="12" customHeight="1">
      <c r="A16" s="309" t="s">
        <v>81</v>
      </c>
      <c r="B16" s="192" t="s">
        <v>276</v>
      </c>
      <c r="C16" s="51"/>
      <c r="D16" s="322"/>
      <c r="E16" s="293"/>
      <c r="F16" s="331" t="s">
        <v>513</v>
      </c>
    </row>
    <row r="17" spans="1:6" s="262" customFormat="1" ht="12" customHeight="1">
      <c r="A17" s="309" t="s">
        <v>82</v>
      </c>
      <c r="B17" s="192" t="s">
        <v>278</v>
      </c>
      <c r="C17" s="233"/>
      <c r="D17" s="321">
        <v>0</v>
      </c>
      <c r="E17" s="58"/>
      <c r="F17" s="331" t="s">
        <v>514</v>
      </c>
    </row>
    <row r="18" spans="1:6" s="288" customFormat="1" ht="12" customHeight="1" thickBot="1">
      <c r="A18" s="309" t="s">
        <v>83</v>
      </c>
      <c r="B18" s="191" t="s">
        <v>280</v>
      </c>
      <c r="C18" s="234"/>
      <c r="D18" s="59">
        <v>578</v>
      </c>
      <c r="E18" s="289">
        <v>579</v>
      </c>
      <c r="F18" s="331" t="s">
        <v>515</v>
      </c>
    </row>
    <row r="19" spans="1:6" s="288" customFormat="1" ht="12" customHeight="1" thickBot="1">
      <c r="A19" s="244" t="s">
        <v>7</v>
      </c>
      <c r="B19" s="299" t="s">
        <v>453</v>
      </c>
      <c r="C19" s="235">
        <f>SUM(C20:C23)</f>
        <v>0</v>
      </c>
      <c r="D19" s="235">
        <f>SUM(D20:D23)</f>
        <v>120000</v>
      </c>
      <c r="E19" s="235">
        <f>SUM(E20:E23)</f>
        <v>120000</v>
      </c>
      <c r="F19" s="331" t="s">
        <v>516</v>
      </c>
    </row>
    <row r="20" spans="1:6" s="288" customFormat="1" ht="12" customHeight="1">
      <c r="A20" s="309" t="s">
        <v>74</v>
      </c>
      <c r="B20" s="193" t="s">
        <v>242</v>
      </c>
      <c r="C20" s="233">
        <v>0</v>
      </c>
      <c r="D20" s="321">
        <v>0</v>
      </c>
      <c r="E20" s="58">
        <v>0</v>
      </c>
      <c r="F20" s="331" t="s">
        <v>517</v>
      </c>
    </row>
    <row r="21" spans="1:6" s="288" customFormat="1" ht="12" customHeight="1">
      <c r="A21" s="309" t="s">
        <v>75</v>
      </c>
      <c r="B21" s="192" t="s">
        <v>454</v>
      </c>
      <c r="C21" s="233">
        <v>0</v>
      </c>
      <c r="D21" s="321">
        <v>0</v>
      </c>
      <c r="E21" s="58">
        <v>0</v>
      </c>
      <c r="F21" s="331" t="s">
        <v>518</v>
      </c>
    </row>
    <row r="22" spans="1:6" s="288" customFormat="1" ht="12" customHeight="1">
      <c r="A22" s="309" t="s">
        <v>76</v>
      </c>
      <c r="B22" s="192" t="s">
        <v>455</v>
      </c>
      <c r="C22" s="233"/>
      <c r="D22" s="321">
        <v>120000</v>
      </c>
      <c r="E22" s="58">
        <v>120000</v>
      </c>
      <c r="F22" s="331" t="s">
        <v>519</v>
      </c>
    </row>
    <row r="23" spans="1:6" s="262" customFormat="1" ht="12" customHeight="1" thickBot="1">
      <c r="A23" s="309" t="s">
        <v>77</v>
      </c>
      <c r="B23" s="192" t="s">
        <v>499</v>
      </c>
      <c r="C23" s="233">
        <v>0</v>
      </c>
      <c r="D23" s="321">
        <v>0</v>
      </c>
      <c r="E23" s="58">
        <v>0</v>
      </c>
      <c r="F23" s="331" t="s">
        <v>520</v>
      </c>
    </row>
    <row r="24" spans="1:6" s="262" customFormat="1" ht="12" customHeight="1" thickBot="1">
      <c r="A24" s="298" t="s">
        <v>8</v>
      </c>
      <c r="B24" s="202" t="s">
        <v>106</v>
      </c>
      <c r="C24" s="37">
        <v>0</v>
      </c>
      <c r="D24" s="323">
        <v>0</v>
      </c>
      <c r="E24" s="304">
        <v>0</v>
      </c>
      <c r="F24" s="331" t="s">
        <v>521</v>
      </c>
    </row>
    <row r="25" spans="1:6" s="262" customFormat="1" ht="12" customHeight="1" thickBot="1">
      <c r="A25" s="298" t="s">
        <v>9</v>
      </c>
      <c r="B25" s="202" t="s">
        <v>456</v>
      </c>
      <c r="C25" s="235">
        <f>SUM(C26:C27)</f>
        <v>0</v>
      </c>
      <c r="D25" s="235">
        <f>SUM(D26:D27)</f>
        <v>0</v>
      </c>
      <c r="E25" s="235">
        <f>SUM(E26:E27)</f>
        <v>0</v>
      </c>
      <c r="F25" s="331" t="s">
        <v>522</v>
      </c>
    </row>
    <row r="26" spans="1:6" s="262" customFormat="1" ht="12" customHeight="1">
      <c r="A26" s="310" t="s">
        <v>256</v>
      </c>
      <c r="B26" s="311" t="s">
        <v>454</v>
      </c>
      <c r="C26" s="47">
        <v>0</v>
      </c>
      <c r="D26" s="316">
        <v>0</v>
      </c>
      <c r="E26" s="292">
        <v>0</v>
      </c>
      <c r="F26" s="331" t="s">
        <v>523</v>
      </c>
    </row>
    <row r="27" spans="1:6" s="262" customFormat="1" ht="12" customHeight="1">
      <c r="A27" s="310" t="s">
        <v>262</v>
      </c>
      <c r="B27" s="312" t="s">
        <v>457</v>
      </c>
      <c r="C27" s="236"/>
      <c r="D27" s="324">
        <v>0</v>
      </c>
      <c r="E27" s="291">
        <v>0</v>
      </c>
      <c r="F27" s="331" t="s">
        <v>524</v>
      </c>
    </row>
    <row r="28" spans="1:6" s="262" customFormat="1" ht="12" customHeight="1" thickBot="1">
      <c r="A28" s="309" t="s">
        <v>264</v>
      </c>
      <c r="B28" s="313" t="s">
        <v>500</v>
      </c>
      <c r="C28" s="295">
        <v>0</v>
      </c>
      <c r="D28" s="325">
        <v>0</v>
      </c>
      <c r="E28" s="290">
        <v>0</v>
      </c>
      <c r="F28" s="331" t="s">
        <v>525</v>
      </c>
    </row>
    <row r="29" spans="1:6" s="262" customFormat="1" ht="12" customHeight="1" thickBot="1">
      <c r="A29" s="298" t="s">
        <v>10</v>
      </c>
      <c r="B29" s="202" t="s">
        <v>458</v>
      </c>
      <c r="C29" s="235">
        <f>SUM(C30:C32)</f>
        <v>0</v>
      </c>
      <c r="D29" s="235">
        <f>SUM(D30:D32)</f>
        <v>0</v>
      </c>
      <c r="E29" s="235">
        <f>SUM(E30:E32)</f>
        <v>0</v>
      </c>
      <c r="F29" s="331" t="s">
        <v>526</v>
      </c>
    </row>
    <row r="30" spans="1:6" s="262" customFormat="1" ht="12" customHeight="1">
      <c r="A30" s="310" t="s">
        <v>61</v>
      </c>
      <c r="B30" s="311" t="s">
        <v>282</v>
      </c>
      <c r="C30" s="47">
        <v>0</v>
      </c>
      <c r="D30" s="316">
        <v>0</v>
      </c>
      <c r="E30" s="292">
        <v>0</v>
      </c>
      <c r="F30" s="331" t="s">
        <v>527</v>
      </c>
    </row>
    <row r="31" spans="1:6" s="262" customFormat="1" ht="12" customHeight="1">
      <c r="A31" s="310" t="s">
        <v>62</v>
      </c>
      <c r="B31" s="312" t="s">
        <v>283</v>
      </c>
      <c r="C31" s="236">
        <v>0</v>
      </c>
      <c r="D31" s="324">
        <v>0</v>
      </c>
      <c r="E31" s="291">
        <v>0</v>
      </c>
      <c r="F31" s="331" t="s">
        <v>528</v>
      </c>
    </row>
    <row r="32" spans="1:6" s="262" customFormat="1" ht="12" customHeight="1" thickBot="1">
      <c r="A32" s="309" t="s">
        <v>63</v>
      </c>
      <c r="B32" s="297" t="s">
        <v>285</v>
      </c>
      <c r="C32" s="295"/>
      <c r="D32" s="325">
        <v>0</v>
      </c>
      <c r="E32" s="290">
        <v>0</v>
      </c>
      <c r="F32" s="331" t="s">
        <v>529</v>
      </c>
    </row>
    <row r="33" spans="1:6" s="262" customFormat="1" ht="12" customHeight="1" thickBot="1">
      <c r="A33" s="298" t="s">
        <v>11</v>
      </c>
      <c r="B33" s="202" t="s">
        <v>410</v>
      </c>
      <c r="C33" s="37">
        <v>0</v>
      </c>
      <c r="D33" s="323">
        <v>0</v>
      </c>
      <c r="E33" s="304">
        <v>0</v>
      </c>
      <c r="F33" s="331" t="s">
        <v>530</v>
      </c>
    </row>
    <row r="34" spans="1:6" s="262" customFormat="1" ht="12" customHeight="1" thickBot="1">
      <c r="A34" s="298" t="s">
        <v>12</v>
      </c>
      <c r="B34" s="202" t="s">
        <v>459</v>
      </c>
      <c r="C34" s="37">
        <v>0</v>
      </c>
      <c r="D34" s="323">
        <v>80000</v>
      </c>
      <c r="E34" s="304">
        <v>80000</v>
      </c>
      <c r="F34" s="331" t="s">
        <v>531</v>
      </c>
    </row>
    <row r="35" spans="1:6" s="262" customFormat="1" ht="12" customHeight="1" thickBot="1">
      <c r="A35" s="244" t="s">
        <v>13</v>
      </c>
      <c r="B35" s="202" t="s">
        <v>460</v>
      </c>
      <c r="C35" s="235">
        <f>C8+C19+C24+C25+C29+C33+C34</f>
        <v>0</v>
      </c>
      <c r="D35" s="235">
        <f>D8+D19+D24+D25+D29+D33+D34</f>
        <v>200578</v>
      </c>
      <c r="E35" s="235">
        <f>E8+E19+E24+E25+E29+E33+E34</f>
        <v>200579</v>
      </c>
      <c r="F35" s="331" t="s">
        <v>532</v>
      </c>
    </row>
    <row r="36" spans="1:6" s="288" customFormat="1" ht="12" customHeight="1" thickBot="1">
      <c r="A36" s="300" t="s">
        <v>14</v>
      </c>
      <c r="B36" s="202" t="s">
        <v>461</v>
      </c>
      <c r="C36" s="235">
        <f>SUM(C37:C39)</f>
        <v>42510304</v>
      </c>
      <c r="D36" s="235">
        <f>SUM(D37:D39)</f>
        <v>42699944</v>
      </c>
      <c r="E36" s="235">
        <f>SUM(E37:E39)</f>
        <v>39619728</v>
      </c>
      <c r="F36" s="331" t="s">
        <v>533</v>
      </c>
    </row>
    <row r="37" spans="1:6" s="288" customFormat="1" ht="15" customHeight="1">
      <c r="A37" s="310" t="s">
        <v>462</v>
      </c>
      <c r="B37" s="311" t="s">
        <v>147</v>
      </c>
      <c r="C37" s="47">
        <v>876251</v>
      </c>
      <c r="D37" s="316">
        <v>1065891</v>
      </c>
      <c r="E37" s="292">
        <v>1065891</v>
      </c>
      <c r="F37" s="331" t="s">
        <v>534</v>
      </c>
    </row>
    <row r="38" spans="1:6" s="288" customFormat="1" ht="15" customHeight="1">
      <c r="A38" s="310" t="s">
        <v>463</v>
      </c>
      <c r="B38" s="312" t="s">
        <v>2</v>
      </c>
      <c r="C38" s="236"/>
      <c r="D38" s="324"/>
      <c r="E38" s="291"/>
      <c r="F38" s="331" t="s">
        <v>535</v>
      </c>
    </row>
    <row r="39" spans="1:6" ht="16.5" thickBot="1">
      <c r="A39" s="309" t="s">
        <v>464</v>
      </c>
      <c r="B39" s="297" t="s">
        <v>465</v>
      </c>
      <c r="C39" s="295">
        <v>41634053</v>
      </c>
      <c r="D39" s="325">
        <v>41634053</v>
      </c>
      <c r="E39" s="290">
        <v>38553837</v>
      </c>
      <c r="F39" s="331" t="s">
        <v>536</v>
      </c>
    </row>
    <row r="40" spans="1:6" s="287" customFormat="1" ht="16.5" customHeight="1" thickBot="1">
      <c r="A40" s="300" t="s">
        <v>15</v>
      </c>
      <c r="B40" s="301" t="s">
        <v>466</v>
      </c>
      <c r="C40" s="52">
        <f>C35+C36</f>
        <v>42510304</v>
      </c>
      <c r="D40" s="52">
        <f>D35+D36</f>
        <v>42900522</v>
      </c>
      <c r="E40" s="52">
        <f>E35+E36</f>
        <v>39820307</v>
      </c>
      <c r="F40" s="331" t="s">
        <v>537</v>
      </c>
    </row>
    <row r="41" spans="1:6" s="188" customFormat="1" ht="12" customHeight="1">
      <c r="A41" s="252"/>
      <c r="B41" s="253"/>
      <c r="C41" s="260"/>
      <c r="D41" s="260"/>
      <c r="E41" s="260"/>
      <c r="F41" s="331"/>
    </row>
    <row r="42" spans="1:6" ht="12" customHeight="1" thickBot="1">
      <c r="A42" s="254"/>
      <c r="B42" s="255"/>
      <c r="C42" s="261"/>
      <c r="D42" s="261"/>
      <c r="E42" s="261"/>
      <c r="F42" s="331"/>
    </row>
    <row r="43" spans="1:6" ht="12" customHeight="1" thickBot="1">
      <c r="A43" s="1407" t="s">
        <v>43</v>
      </c>
      <c r="B43" s="1408"/>
      <c r="C43" s="1408"/>
      <c r="D43" s="1408"/>
      <c r="E43" s="1409"/>
      <c r="F43" s="287"/>
    </row>
    <row r="44" spans="1:6" ht="12" customHeight="1" thickBot="1">
      <c r="A44" s="298" t="s">
        <v>6</v>
      </c>
      <c r="B44" s="202" t="s">
        <v>467</v>
      </c>
      <c r="C44" s="235">
        <f>SUM(C45:C49)</f>
        <v>42125304</v>
      </c>
      <c r="D44" s="235">
        <f>SUM(D45:D49)</f>
        <v>42435522</v>
      </c>
      <c r="E44" s="235">
        <f>SUM(E45:E49)</f>
        <v>39135911</v>
      </c>
      <c r="F44" s="331" t="s">
        <v>505</v>
      </c>
    </row>
    <row r="45" spans="1:6" ht="12" customHeight="1">
      <c r="A45" s="309" t="s">
        <v>68</v>
      </c>
      <c r="B45" s="193" t="s">
        <v>36</v>
      </c>
      <c r="C45" s="47">
        <v>29854104</v>
      </c>
      <c r="D45" s="47">
        <v>30334104</v>
      </c>
      <c r="E45" s="292">
        <v>29157453</v>
      </c>
      <c r="F45" s="331" t="s">
        <v>506</v>
      </c>
    </row>
    <row r="46" spans="1:6" ht="12" customHeight="1">
      <c r="A46" s="309" t="s">
        <v>69</v>
      </c>
      <c r="B46" s="192" t="s">
        <v>115</v>
      </c>
      <c r="C46" s="232">
        <v>6090550</v>
      </c>
      <c r="D46" s="232">
        <v>6090550</v>
      </c>
      <c r="E46" s="314">
        <v>6001915</v>
      </c>
      <c r="F46" s="331" t="s">
        <v>507</v>
      </c>
    </row>
    <row r="47" spans="1:6" ht="12" customHeight="1">
      <c r="A47" s="309" t="s">
        <v>70</v>
      </c>
      <c r="B47" s="192" t="s">
        <v>90</v>
      </c>
      <c r="C47" s="232">
        <v>6180650</v>
      </c>
      <c r="D47" s="232">
        <v>6010868</v>
      </c>
      <c r="E47" s="314">
        <v>3976543</v>
      </c>
      <c r="F47" s="331" t="s">
        <v>508</v>
      </c>
    </row>
    <row r="48" spans="1:6" s="188" customFormat="1" ht="12" customHeight="1">
      <c r="A48" s="309" t="s">
        <v>71</v>
      </c>
      <c r="B48" s="192" t="s">
        <v>116</v>
      </c>
      <c r="C48" s="232"/>
      <c r="D48" s="232"/>
      <c r="E48" s="314"/>
      <c r="F48" s="331" t="s">
        <v>509</v>
      </c>
    </row>
    <row r="49" spans="1:6" ht="12" customHeight="1" thickBot="1">
      <c r="A49" s="309" t="s">
        <v>91</v>
      </c>
      <c r="B49" s="192" t="s">
        <v>117</v>
      </c>
      <c r="C49" s="232"/>
      <c r="D49" s="232"/>
      <c r="E49" s="314"/>
      <c r="F49" s="331" t="s">
        <v>510</v>
      </c>
    </row>
    <row r="50" spans="1:6" ht="12" customHeight="1" thickBot="1">
      <c r="A50" s="298" t="s">
        <v>7</v>
      </c>
      <c r="B50" s="202" t="s">
        <v>468</v>
      </c>
      <c r="C50" s="235">
        <f>SUM(C51:C53)</f>
        <v>385000</v>
      </c>
      <c r="D50" s="235">
        <f>SUM(D51:D53)</f>
        <v>465000</v>
      </c>
      <c r="E50" s="235">
        <f>SUM(E51:E53)</f>
        <v>403423</v>
      </c>
      <c r="F50" s="235">
        <f>SUM(F51:F53)</f>
        <v>0</v>
      </c>
    </row>
    <row r="51" spans="1:6" ht="12" customHeight="1">
      <c r="A51" s="309" t="s">
        <v>74</v>
      </c>
      <c r="B51" s="193" t="s">
        <v>138</v>
      </c>
      <c r="C51" s="47">
        <v>385000</v>
      </c>
      <c r="D51" s="47">
        <v>465000</v>
      </c>
      <c r="E51" s="292">
        <v>403423</v>
      </c>
      <c r="F51" s="331" t="s">
        <v>512</v>
      </c>
    </row>
    <row r="52" spans="1:6" ht="12" customHeight="1">
      <c r="A52" s="309" t="s">
        <v>75</v>
      </c>
      <c r="B52" s="192" t="s">
        <v>119</v>
      </c>
      <c r="C52" s="232"/>
      <c r="D52" s="232"/>
      <c r="E52" s="314"/>
      <c r="F52" s="331" t="s">
        <v>513</v>
      </c>
    </row>
    <row r="53" spans="1:6" ht="15" customHeight="1">
      <c r="A53" s="309" t="s">
        <v>76</v>
      </c>
      <c r="B53" s="192" t="s">
        <v>44</v>
      </c>
      <c r="C53" s="232">
        <v>0</v>
      </c>
      <c r="D53" s="232">
        <v>0</v>
      </c>
      <c r="E53" s="314">
        <v>0</v>
      </c>
      <c r="F53" s="331" t="s">
        <v>514</v>
      </c>
    </row>
    <row r="54" spans="1:6" ht="16.5" thickBot="1">
      <c r="A54" s="309" t="s">
        <v>77</v>
      </c>
      <c r="B54" s="192" t="s">
        <v>501</v>
      </c>
      <c r="C54" s="232">
        <v>0</v>
      </c>
      <c r="D54" s="232">
        <v>0</v>
      </c>
      <c r="E54" s="314">
        <v>0</v>
      </c>
      <c r="F54" s="331" t="s">
        <v>515</v>
      </c>
    </row>
    <row r="55" spans="1:6" ht="15" customHeight="1" thickBot="1">
      <c r="A55" s="298" t="s">
        <v>8</v>
      </c>
      <c r="B55" s="302" t="s">
        <v>469</v>
      </c>
      <c r="C55" s="52">
        <f>C44+C50</f>
        <v>42510304</v>
      </c>
      <c r="D55" s="52">
        <f>D44+D50</f>
        <v>42900522</v>
      </c>
      <c r="E55" s="52">
        <f>E44+E50</f>
        <v>39539334</v>
      </c>
      <c r="F55" s="331" t="s">
        <v>516</v>
      </c>
    </row>
    <row r="56" spans="3:6" ht="15.75">
      <c r="C56" s="305"/>
      <c r="D56" s="305"/>
      <c r="E56" s="305"/>
      <c r="F56" s="331"/>
    </row>
    <row r="57" spans="1:6" ht="16.5" hidden="1" thickBot="1">
      <c r="A57" s="256" t="s">
        <v>494</v>
      </c>
      <c r="B57" s="257"/>
      <c r="C57" s="56">
        <v>9</v>
      </c>
      <c r="D57" s="56">
        <v>9</v>
      </c>
      <c r="E57" s="296">
        <v>9</v>
      </c>
      <c r="F57" s="331"/>
    </row>
    <row r="58" spans="1:6" ht="16.5" hidden="1" thickBot="1">
      <c r="A58" s="256" t="s">
        <v>131</v>
      </c>
      <c r="B58" s="257"/>
      <c r="C58" s="56"/>
      <c r="D58" s="56"/>
      <c r="E58" s="296"/>
      <c r="F58" s="331"/>
    </row>
    <row r="59" ht="15.75">
      <c r="F59" s="331"/>
    </row>
    <row r="60" ht="15.75">
      <c r="F60" s="331"/>
    </row>
    <row r="61" ht="15.75">
      <c r="F61" s="331"/>
    </row>
    <row r="62" ht="15.75">
      <c r="F62" s="331"/>
    </row>
    <row r="63" ht="15.75">
      <c r="F63" s="331"/>
    </row>
    <row r="64" ht="15.75">
      <c r="F64" s="331"/>
    </row>
    <row r="65" ht="15.75">
      <c r="F65" s="331"/>
    </row>
    <row r="66" ht="15.75">
      <c r="F66" s="331"/>
    </row>
    <row r="67" ht="15.75">
      <c r="F67" s="331"/>
    </row>
    <row r="68" ht="15.75">
      <c r="F68" s="331"/>
    </row>
    <row r="69" ht="15.75">
      <c r="F69" s="331"/>
    </row>
    <row r="70" ht="15.75">
      <c r="F70" s="331"/>
    </row>
    <row r="71" ht="15.75">
      <c r="F71" s="331"/>
    </row>
    <row r="72" ht="15.75">
      <c r="F72" s="331"/>
    </row>
    <row r="73" ht="15.75">
      <c r="F73" s="331"/>
    </row>
    <row r="74" ht="15.75">
      <c r="F74" s="331"/>
    </row>
    <row r="75" ht="15.75">
      <c r="F75" s="331"/>
    </row>
    <row r="76" ht="15.75">
      <c r="F76" s="331"/>
    </row>
    <row r="77" ht="15.75">
      <c r="F77" s="331"/>
    </row>
    <row r="78" ht="15.75">
      <c r="F78" s="331"/>
    </row>
    <row r="79" ht="15.75">
      <c r="F79" s="331"/>
    </row>
    <row r="80" ht="15.75">
      <c r="F80" s="331"/>
    </row>
    <row r="81" ht="15.75">
      <c r="F81" s="331"/>
    </row>
    <row r="82" ht="15.75">
      <c r="F82" s="331"/>
    </row>
    <row r="83" ht="15.75">
      <c r="F83" s="331"/>
    </row>
    <row r="84" ht="15.75">
      <c r="F84" s="331"/>
    </row>
    <row r="85" ht="15.75">
      <c r="F85" s="331"/>
    </row>
    <row r="86" ht="15.75">
      <c r="F86" s="331"/>
    </row>
    <row r="87" ht="15.75">
      <c r="F87" s="331"/>
    </row>
    <row r="88" ht="15">
      <c r="F88" s="332"/>
    </row>
    <row r="90" ht="15.75">
      <c r="F90" s="331"/>
    </row>
    <row r="91" ht="12.75">
      <c r="F91" s="333"/>
    </row>
    <row r="92" ht="12.75">
      <c r="F92" s="333"/>
    </row>
    <row r="93" ht="12.75">
      <c r="F93" s="333"/>
    </row>
    <row r="94" ht="12.75">
      <c r="F94" s="333"/>
    </row>
    <row r="95" ht="12.75">
      <c r="F95" s="333"/>
    </row>
    <row r="96" ht="12.75">
      <c r="F96" s="333"/>
    </row>
    <row r="97" ht="12.75">
      <c r="F97" s="333"/>
    </row>
    <row r="98" ht="12.75">
      <c r="F98" s="333"/>
    </row>
    <row r="99" ht="12.75">
      <c r="F99" s="333"/>
    </row>
    <row r="100" ht="12.75">
      <c r="F100" s="333"/>
    </row>
    <row r="101" ht="12.75">
      <c r="F101" s="333"/>
    </row>
    <row r="102" ht="12.75">
      <c r="F102" s="333"/>
    </row>
    <row r="103" ht="12.75">
      <c r="F103" s="333"/>
    </row>
    <row r="104" ht="12.75">
      <c r="F104" s="333"/>
    </row>
    <row r="105" ht="12.75">
      <c r="F105" s="333"/>
    </row>
    <row r="106" ht="12.75">
      <c r="F106" s="333"/>
    </row>
    <row r="107" ht="12.75">
      <c r="F107" s="333"/>
    </row>
    <row r="108" ht="12.75">
      <c r="F108" s="333"/>
    </row>
    <row r="109" ht="12.75">
      <c r="F109" s="333"/>
    </row>
    <row r="110" ht="12.75">
      <c r="F110" s="333"/>
    </row>
    <row r="111" ht="12.75">
      <c r="F111" s="333"/>
    </row>
    <row r="112" ht="12.75">
      <c r="F112" s="333"/>
    </row>
    <row r="113" ht="12.75">
      <c r="F113" s="333"/>
    </row>
    <row r="114" ht="12.75">
      <c r="F114" s="333"/>
    </row>
    <row r="115" ht="12.75">
      <c r="F115" s="333"/>
    </row>
    <row r="116" ht="12.75">
      <c r="F116" s="333"/>
    </row>
    <row r="117" ht="12.75">
      <c r="F117" s="333"/>
    </row>
    <row r="118" ht="12.75">
      <c r="F118" s="333"/>
    </row>
    <row r="119" ht="12.75">
      <c r="F119" s="333"/>
    </row>
    <row r="120" ht="12.75">
      <c r="F120" s="333"/>
    </row>
    <row r="121" ht="12.75">
      <c r="F121" s="333"/>
    </row>
    <row r="122" ht="12.75">
      <c r="F122" s="333"/>
    </row>
    <row r="123" ht="12.75">
      <c r="F123" s="333"/>
    </row>
    <row r="124" ht="12.75">
      <c r="F124" s="333"/>
    </row>
    <row r="125" ht="12.75">
      <c r="F125" s="333"/>
    </row>
    <row r="126" ht="12.75">
      <c r="F126" s="333"/>
    </row>
    <row r="127" ht="12.75">
      <c r="F127" s="333"/>
    </row>
    <row r="128" ht="12.75">
      <c r="F128" s="333"/>
    </row>
    <row r="129" ht="12.75">
      <c r="F129" s="333"/>
    </row>
    <row r="130" ht="12.75">
      <c r="F130" s="333"/>
    </row>
    <row r="131" ht="12.75">
      <c r="F131" s="333"/>
    </row>
    <row r="132" ht="12.75">
      <c r="F132" s="333"/>
    </row>
    <row r="133" ht="12.75">
      <c r="F133" s="333"/>
    </row>
    <row r="134" ht="12.75">
      <c r="F134" s="333"/>
    </row>
    <row r="135" ht="12.75">
      <c r="F135" s="333"/>
    </row>
    <row r="136" ht="12.75">
      <c r="F136" s="333"/>
    </row>
    <row r="137" ht="12.75">
      <c r="F137" s="333"/>
    </row>
    <row r="138" ht="12.75">
      <c r="F138" s="333"/>
    </row>
    <row r="139" ht="12.75">
      <c r="F139" s="333"/>
    </row>
    <row r="140" ht="12.75">
      <c r="F140" s="333"/>
    </row>
    <row r="141" ht="12.75">
      <c r="F141" s="333"/>
    </row>
    <row r="142" ht="12.75">
      <c r="F142" s="333"/>
    </row>
    <row r="143" ht="12.75">
      <c r="F143" s="333"/>
    </row>
    <row r="144" ht="12.75">
      <c r="F144" s="333"/>
    </row>
    <row r="145" ht="12.75">
      <c r="F145" s="333"/>
    </row>
    <row r="146" ht="12.75">
      <c r="F146" s="333"/>
    </row>
  </sheetData>
  <sheetProtection/>
  <mergeCells count="4">
    <mergeCell ref="B3:D3"/>
    <mergeCell ref="A7:E7"/>
    <mergeCell ref="A43:E43"/>
    <mergeCell ref="B2:D2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scale="70" r:id="rId1"/>
  <rowBreaks count="1" manualBreakCount="1">
    <brk id="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Ildikó</cp:lastModifiedBy>
  <cp:lastPrinted>2019-05-29T06:17:08Z</cp:lastPrinted>
  <dcterms:created xsi:type="dcterms:W3CDTF">2015-03-31T11:47:09Z</dcterms:created>
  <dcterms:modified xsi:type="dcterms:W3CDTF">2019-05-29T06:28:43Z</dcterms:modified>
  <cp:category/>
  <cp:version/>
  <cp:contentType/>
  <cp:contentStatus/>
</cp:coreProperties>
</file>