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Bölcsőde" sheetId="5" r:id="rId5"/>
    <sheet name="5. Állami tám." sheetId="6" r:id="rId6"/>
    <sheet name="6. Felhalmozás" sheetId="7" r:id="rId7"/>
    <sheet name="7,a Műk. mérleg" sheetId="8" r:id="rId8"/>
    <sheet name="7,b Beruh. mérleg" sheetId="9" r:id="rId9"/>
    <sheet name="11. Likviditási terv" sheetId="10" r:id="rId10"/>
    <sheet name="12. Közvetett támogatás" sheetId="11" r:id="rId11"/>
    <sheet name="14. Adósságot kel. ügyletek" sheetId="12" r:id="rId12"/>
  </sheets>
  <externalReferences>
    <externalReference r:id="rId15"/>
  </externalReferences>
  <definedNames>
    <definedName name="_xlfn.IFERROR" hidden="1">#NAME?</definedName>
    <definedName name="_xlnm.Print_Area" localSheetId="0">'1. Mérlegszerű'!$A$1:$P$72</definedName>
    <definedName name="_xlnm.Print_Area" localSheetId="9">'11. Likviditási terv'!$A$1:$O$33</definedName>
    <definedName name="_xlnm.Print_Area" localSheetId="1">'2,a Elemi bevételek'!$A$1:$K$44</definedName>
    <definedName name="_xlnm.Print_Area" localSheetId="2">'2,b Elemi kiadások'!$A$1:$K$65</definedName>
    <definedName name="_xlnm.Print_Area" localSheetId="3">'3. Hivatal'!$A$1:$H$54</definedName>
    <definedName name="_xlnm.Print_Area" localSheetId="4">'4. Bölcsőde'!$A$1:$J$41</definedName>
    <definedName name="_xlnm.Print_Area" localSheetId="6">'6. Felhalmozás'!$A$1:$L$23</definedName>
  </definedNames>
  <calcPr fullCalcOnLoad="1"/>
</workbook>
</file>

<file path=xl/sharedStrings.xml><?xml version="1.0" encoding="utf-8"?>
<sst xmlns="http://schemas.openxmlformats.org/spreadsheetml/2006/main" count="1128" uniqueCount="636">
  <si>
    <t>CSESZTREG KÖZSÉG ÖNKORMÁNYZATA ÉS INTÉZMÉNYE</t>
  </si>
  <si>
    <t>2019. ÉVI MŰKÖDÉSI ÉS FELHALMOZÁSI CÉLÚ BEVÉTELEI ÉS KIADÁSAI</t>
  </si>
  <si>
    <t>3/2019. (II.25.) önkormányzati rendelet 1. melléklete</t>
  </si>
  <si>
    <t>Adatok Ft-ban</t>
  </si>
  <si>
    <t xml:space="preserve">Megnevezés </t>
  </si>
  <si>
    <t>Eredeti előirányzat 2018.</t>
  </si>
  <si>
    <t>2018. évi várható teljesítés</t>
  </si>
  <si>
    <t>Eredeti előirányzat 2019.</t>
  </si>
  <si>
    <t>Módosított előirányzat 03.31.</t>
  </si>
  <si>
    <t xml:space="preserve">MŰKÖDÉSI CÉLÚ BEVÉTELEK </t>
  </si>
  <si>
    <t>MŰKÖDÉSI CÉLÚ  KIADÁSOK</t>
  </si>
  <si>
    <t>A</t>
  </si>
  <si>
    <t>Önkormányzat</t>
  </si>
  <si>
    <t>1.1. Működési célú támogatás áht-n belülről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</si>
  <si>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</si>
  <si>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</si>
  <si>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</si>
  <si>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</si>
  <si>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</si>
  <si>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</si>
  <si>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</si>
  <si>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</si>
  <si>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1.6. Tartalékok</t>
  </si>
  <si>
    <t>Önkormányzat összesen</t>
  </si>
  <si>
    <t>B</t>
  </si>
  <si>
    <t>Közös Önkormányzati Hivatal</t>
  </si>
  <si>
    <t>2.1. Működési célú támogatás aht-n belül</t>
  </si>
  <si>
    <t>2.1. Személyi juttatások</t>
  </si>
  <si>
    <t xml:space="preserve">2.2. Működési bevételek </t>
  </si>
  <si>
    <t>2.2. Munkaadókat terhelő járulékok és szociális hozzájárulási adó</t>
  </si>
  <si>
    <t>2.3. Dologi kiadások</t>
  </si>
  <si>
    <t>2.4. Egyéb működési célú kiadások</t>
  </si>
  <si>
    <t>Közös Önkormányzati Hivatal össz.</t>
  </si>
  <si>
    <t>C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</si>
  <si>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</si>
  <si>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</si>
  <si>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</si>
  <si>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</si>
  <si>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</si>
  <si>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3.4. Egyéb működési célú kiadások</t>
  </si>
  <si>
    <t>Csodavilág Mini Bölcsőde össz.</t>
  </si>
  <si>
    <t xml:space="preserve">Költségvetési működési bevételek összesen </t>
  </si>
  <si>
    <t>Költségvetési működési  kiadások összesen</t>
  </si>
  <si>
    <t>Finanszírozási működési bevételek összesen</t>
  </si>
  <si>
    <t>Finanszírozási működési kiadások összesen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</si>
  <si>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</si>
  <si>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</si>
  <si>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</si>
  <si>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</si>
  <si>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</si>
  <si>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</si>
  <si>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1.7. Beruházások </t>
  </si>
  <si>
    <t xml:space="preserve">1.6. Felhalmozási bevételek </t>
  </si>
  <si>
    <t>1.8. Felújítások</t>
  </si>
  <si>
    <t>1.7. Felhalmozási célú átvett pénzeszközök</t>
  </si>
  <si>
    <t>1.9. Egyéb felhalmozási célú kiadások</t>
  </si>
  <si>
    <t>2.3. Felhalmozási bevételek</t>
  </si>
  <si>
    <t>2.5. Beruházási kiadás</t>
  </si>
  <si>
    <t>Közös Önkormányzati Hivatal összesen:</t>
  </si>
  <si>
    <t>3.5. Beruházási kiadás</t>
  </si>
  <si>
    <t>Költségvetési felhalmozási bevételek összesen</t>
  </si>
  <si>
    <t>Költségvetési felhalmozási kiadások összesen</t>
  </si>
  <si>
    <t xml:space="preserve"> </t>
  </si>
  <si>
    <t xml:space="preserve">Felhalmozási célú finanszírozási kiadások </t>
  </si>
  <si>
    <t>1.8. Hosszú lejáratú hitelek, kölcsönök felvétele pénzügyi vállalkozástól</t>
  </si>
  <si>
    <t>1.10. Likviditási célú hitelek, kölcsönök törlesztése pénzügyi vállalkozásnak</t>
  </si>
  <si>
    <t>1.9. Likviditási célú hitelek, kölcsönök felvételek pénzügyi vállalkozástól</t>
  </si>
  <si>
    <t>1.10. Előző év költségvetési maradványának igénybevétele</t>
  </si>
  <si>
    <t>2.4. Előző év költségvetési maradványának igénybevétele</t>
  </si>
  <si>
    <t>3.2.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</si>
  <si>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</si>
  <si>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</si>
  <si>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</si>
  <si>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</si>
  <si>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</si>
  <si>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Csesztreg Község Önkormányzatának elemi bevételei </t>
  </si>
  <si>
    <t>2019.</t>
  </si>
  <si>
    <t>3/2019. (II.25.) önkormányzati rendelet 2/a. melléklete</t>
  </si>
  <si>
    <t>Rovatszám</t>
  </si>
  <si>
    <t>KIEMELT ELŐIRÁNYZATOK</t>
  </si>
  <si>
    <t>2018. évi várható teljestés</t>
  </si>
  <si>
    <t>Módosított előirányzat 03.31-ből</t>
  </si>
  <si>
    <t>Kötelező feladatok</t>
  </si>
  <si>
    <t>Önként vállalt feladatok</t>
  </si>
  <si>
    <t>Államigazgatási feladatok</t>
  </si>
  <si>
    <t>D</t>
  </si>
  <si>
    <t>E</t>
  </si>
  <si>
    <t>F</t>
  </si>
  <si>
    <t>G</t>
  </si>
  <si>
    <t>H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</si>
  <si>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</si>
  <si>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</si>
  <si>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</si>
  <si>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</si>
  <si>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</si>
  <si>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</si>
  <si>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</si>
  <si>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</si>
  <si>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</si>
  <si>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</si>
  <si>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</si>
  <si>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</si>
  <si>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</si>
  <si>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költségvetési tán. és kiegészítő tám.</t>
  </si>
  <si>
    <t>B16.</t>
  </si>
  <si>
    <t>Egyéb működési célú támogatások bevételei ÁH-on belül</t>
  </si>
  <si>
    <t>B2.</t>
  </si>
  <si>
    <t>Felhalmozási célú támogatások ÁH-on belül</t>
  </si>
  <si>
    <t>B25.</t>
  </si>
  <si>
    <t>Egyéb felhalmozási célú támogatások áht-n belülről</t>
  </si>
  <si>
    <t>B3.</t>
  </si>
  <si>
    <t>Közhatalmi bevételek</t>
  </si>
  <si>
    <t>B35.</t>
  </si>
  <si>
    <t>Termékek és szolgáltatások adói</t>
  </si>
  <si>
    <t>B351.</t>
  </si>
  <si>
    <t>Értékesítési forgalmi adók (Iparűzési adó)</t>
  </si>
  <si>
    <t>B354.</t>
  </si>
  <si>
    <t>Gépjárműadók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</si>
  <si>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</si>
  <si>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</si>
  <si>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</si>
  <si>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</si>
  <si>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</si>
  <si>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</si>
  <si>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</si>
  <si>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</si>
  <si>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</si>
  <si>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</si>
  <si>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</si>
  <si>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</si>
  <si>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</si>
  <si>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</si>
  <si>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B411.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</si>
  <si>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</si>
  <si>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</si>
  <si>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</si>
  <si>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</si>
  <si>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</si>
  <si>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</si>
  <si>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</si>
  <si>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</si>
  <si>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</si>
  <si>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</si>
  <si>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</si>
  <si>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</si>
  <si>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</si>
  <si>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</si>
  <si>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</si>
  <si>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B8111.</t>
  </si>
  <si>
    <t>Hosszú lejáratú hitelek, kölcsönök felvétele pénzügyi vállalkozástól</t>
  </si>
  <si>
    <t>B8112.</t>
  </si>
  <si>
    <t>Likviditási célú hitelek, kölcsönök felvétele pénzügyi vállalkozástól</t>
  </si>
  <si>
    <t>B813.</t>
  </si>
  <si>
    <t>Előző év költségvetési maradványának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</si>
  <si>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</si>
  <si>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</si>
  <si>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</si>
  <si>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</si>
  <si>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</si>
  <si>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>3/2019. (II.25.) önkormányzati rendelet 2/b. melléklete</t>
  </si>
  <si>
    <t xml:space="preserve"> Eredeti előirányzat 2019.</t>
  </si>
  <si>
    <t>2018. évi várható  teljesítés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</si>
  <si>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</si>
  <si>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</si>
  <si>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</si>
  <si>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</si>
  <si>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</si>
  <si>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</si>
  <si>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</si>
  <si>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</si>
  <si>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</si>
  <si>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</si>
  <si>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</si>
  <si>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</si>
  <si>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</si>
  <si>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</si>
  <si>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</si>
  <si>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</si>
  <si>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</si>
  <si>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</si>
  <si>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</si>
  <si>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</si>
  <si>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</si>
  <si>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</si>
  <si>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</si>
  <si>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</si>
  <si>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</si>
  <si>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</si>
  <si>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</si>
  <si>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</si>
  <si>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</si>
  <si>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</si>
  <si>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</si>
  <si>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</si>
  <si>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</si>
  <si>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</si>
  <si>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</si>
  <si>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</si>
  <si>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</si>
  <si>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</si>
  <si>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</si>
  <si>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</si>
  <si>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</si>
  <si>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</si>
  <si>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</si>
  <si>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</si>
  <si>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</si>
  <si>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</si>
  <si>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K335.</t>
  </si>
  <si>
    <t>Közvetített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</si>
  <si>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</si>
  <si>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</si>
  <si>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</si>
  <si>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</si>
  <si>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</si>
  <si>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</si>
  <si>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</si>
  <si>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</si>
  <si>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</si>
  <si>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Előzetesen felszámított és fizetendő áfa</t>
  </si>
  <si>
    <t>K353</t>
  </si>
  <si>
    <t xml:space="preserve">Kamatkiadások 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</si>
  <si>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</si>
  <si>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</si>
  <si>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</si>
  <si>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</si>
  <si>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</si>
  <si>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</si>
  <si>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</si>
  <si>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</si>
  <si>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</si>
  <si>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</si>
  <si>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K5021.</t>
  </si>
  <si>
    <t>A helyi önkormányzatok előző évi elszámolásaiból származó kiadások</t>
  </si>
  <si>
    <t>K506.</t>
  </si>
  <si>
    <t>Egyéb működési célú kiadások ÁHT-n belülre</t>
  </si>
  <si>
    <t>K508.</t>
  </si>
  <si>
    <t>Működési célú visszatérítendő támogatások ÁHT-n kívülre</t>
  </si>
  <si>
    <t>K512.</t>
  </si>
  <si>
    <t>Egyéb működési célú támogatások ÁHT-n kívülre</t>
  </si>
  <si>
    <t>K513.</t>
  </si>
  <si>
    <t>Tartalékok előirányzata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</si>
  <si>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</si>
  <si>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</si>
  <si>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</si>
  <si>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</si>
  <si>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</si>
  <si>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</si>
  <si>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</si>
  <si>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</si>
  <si>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</si>
  <si>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</si>
  <si>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</si>
  <si>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</si>
  <si>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</si>
  <si>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</si>
  <si>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</si>
  <si>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</si>
  <si>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K89.</t>
  </si>
  <si>
    <t>Egyéb felhalmozási célú támogatások áht-n kívülre</t>
  </si>
  <si>
    <t>K1.-K8.</t>
  </si>
  <si>
    <t>Költségvetési kiadások összesen</t>
  </si>
  <si>
    <t>K9.</t>
  </si>
  <si>
    <t>Finanszírozási kiadások</t>
  </si>
  <si>
    <t>K9112.</t>
  </si>
  <si>
    <t>Likviditási célú hitelek, kölcsönök törlesztése pénzügyi vállalkozásnak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</si>
  <si>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</si>
  <si>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</si>
  <si>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</si>
  <si>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</si>
  <si>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</si>
  <si>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</si>
  <si>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Módosítótt előirányzat 03.31.</t>
  </si>
  <si>
    <t>Előirányzat módosítás 08.31.</t>
  </si>
  <si>
    <t>Módosított előirányzat 08.31.</t>
  </si>
  <si>
    <t xml:space="preserve"> Csesztregi Közös Önkormányzati Hivatal költségvetése</t>
  </si>
  <si>
    <t>3/2019. (II.25.) önkormányzati rendelet 3. melléklete</t>
  </si>
  <si>
    <t>BEVÉTELEK</t>
  </si>
  <si>
    <t>Eredeti előirányzat 2019-ből</t>
  </si>
  <si>
    <t>Működési célú támogatások ÁHT-n belülről</t>
  </si>
  <si>
    <t>Egyéb működési célú támogatások ÁHT-n belülről</t>
  </si>
  <si>
    <t>B403.</t>
  </si>
  <si>
    <t>Ellátási díjak előirányzata</t>
  </si>
  <si>
    <t>B406.</t>
  </si>
  <si>
    <t>Kiszámlázott áfa előirányzata</t>
  </si>
  <si>
    <t>B53.</t>
  </si>
  <si>
    <t>Egyéb tárgyi eszközök értékesítése</t>
  </si>
  <si>
    <t>B1-B7.</t>
  </si>
  <si>
    <t>B816.</t>
  </si>
  <si>
    <t>Központi, irányítószervi támogatás</t>
  </si>
  <si>
    <t>B1.- B8.</t>
  </si>
  <si>
    <t>KIADÁSOK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</si>
  <si>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</si>
  <si>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</si>
  <si>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</si>
  <si>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</si>
  <si>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</si>
  <si>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</si>
  <si>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>Csodavilág Mini Bölcsőde költségvetése</t>
  </si>
  <si>
    <t>3/2019. (II.25.) önkormányzati rendelet 4. melléklete</t>
  </si>
  <si>
    <t>Eredeti előirányzat        2017.</t>
  </si>
  <si>
    <t>2017. évi várható teljesítés</t>
  </si>
  <si>
    <t xml:space="preserve">K5. </t>
  </si>
  <si>
    <t>Egyéb működési célú támogatások áht-n kívülre</t>
  </si>
  <si>
    <t>Eredeti előirányzat        2019.</t>
  </si>
  <si>
    <t>Előirányzat módosítása 08.31.</t>
  </si>
  <si>
    <t xml:space="preserve">Csesztreg Község Önkormányzata </t>
  </si>
  <si>
    <t>Felhalmozási jellegű bevételek és kiadások (önkormányzati szinten)</t>
  </si>
  <si>
    <t>3/2019. (II.25.) önkormányzati rendelet 6. melléklete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</si>
  <si>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</si>
  <si>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</si>
  <si>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</si>
  <si>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</si>
  <si>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</si>
  <si>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</si>
  <si>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Igazgatáshoz szükséges kis értékű tárgyi eszközök beszerzés</t>
  </si>
  <si>
    <t>Fecskeház kialakítása</t>
  </si>
  <si>
    <t>Teleki úti szolgálati lakás értékesítése</t>
  </si>
  <si>
    <t>562913</t>
  </si>
  <si>
    <t>096020</t>
  </si>
  <si>
    <t>Kossuth úti asztaltozás</t>
  </si>
  <si>
    <t>Tulajdonosi bevételek (Zalavíz)</t>
  </si>
  <si>
    <t>680001</t>
  </si>
  <si>
    <t>013350</t>
  </si>
  <si>
    <t>Tulajdonosi bevételek (Telenor, Vodafone, fejlesztési díjak)</t>
  </si>
  <si>
    <t>Kerkai úti aszfaltozás</t>
  </si>
  <si>
    <t>Napelem park (foglaló és vételár előleg)</t>
  </si>
  <si>
    <t>Autóbuszforduló kialakítása az ipartelepnél</t>
  </si>
  <si>
    <t>Szabadidőpark haszonbérletéből származó bevétel</t>
  </si>
  <si>
    <t>066020</t>
  </si>
  <si>
    <t>Térfigyelő kamerarendszer bővítése</t>
  </si>
  <si>
    <t>Fecskeházak kialakítására kapott pályázati támogatás</t>
  </si>
  <si>
    <t>Egészségügy részére kis értékű eszközök beszerzése</t>
  </si>
  <si>
    <t>Közétkeztetés fejlesztési pályázat támogatási bevétele</t>
  </si>
  <si>
    <t>910502</t>
  </si>
  <si>
    <t>082091</t>
  </si>
  <si>
    <t>Víziközmű felújítása</t>
  </si>
  <si>
    <t>Ingatlan értékesítése</t>
  </si>
  <si>
    <t>931102</t>
  </si>
  <si>
    <t>081030</t>
  </si>
  <si>
    <t>Védőnői szolgálat részére kis értékű eszközök beszerzése</t>
  </si>
  <si>
    <t>052020</t>
  </si>
  <si>
    <t>Pávakör NKA pályázat- kis értékű eszközök beszerzése</t>
  </si>
  <si>
    <t>Művelődési Ház felújítása (fűtés, szellőzés)</t>
  </si>
  <si>
    <t>Egyéb felhalmozási célú támogatások áht-n kívülre (Horgászegyesület-tóparti fejlesztések)</t>
  </si>
  <si>
    <t>ÖSSZESEN:</t>
  </si>
  <si>
    <t>1.11. Befektetési célú belföldi értékpapírok beváltása, értékesítése</t>
  </si>
  <si>
    <t>Felhalmozási célú bevételek összesen:</t>
  </si>
  <si>
    <t>Felhalmozázi célú kiadások összesen:</t>
  </si>
  <si>
    <t>B410.</t>
  </si>
  <si>
    <t>Biztosító által fizetett kártérítés</t>
  </si>
  <si>
    <t>B812</t>
  </si>
  <si>
    <t>Belföldi értékpapírok bevételei</t>
  </si>
  <si>
    <t>K63</t>
  </si>
  <si>
    <t>Infornatikai eszközök beszerzése, létesítése</t>
  </si>
  <si>
    <t>0</t>
  </si>
  <si>
    <t>K505.</t>
  </si>
  <si>
    <t>Működési célú visszatérítendő támogatások, kölcsönök törlesztése ÁHT-n belülre</t>
  </si>
  <si>
    <t>I</t>
  </si>
  <si>
    <t>Egyéb működési célú támogatások ÁHT-n belülre</t>
  </si>
  <si>
    <t>II. Felhalmozási célú bevételek és kiadások mérlege
(Önkormányzati szinten)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</si>
  <si>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</si>
  <si>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</si>
  <si>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</si>
  <si>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</si>
  <si>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</si>
  <si>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</si>
  <si>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2.</t>
  </si>
  <si>
    <t>1.-ből EU-s támogatás</t>
  </si>
  <si>
    <t>1.-ből EU-s forrásból megvalósuló beruházás</t>
  </si>
  <si>
    <t>3.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</si>
  <si>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</si>
  <si>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</si>
  <si>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</si>
  <si>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</si>
  <si>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</si>
  <si>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</si>
  <si>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</si>
  <si>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</si>
  <si>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Tartalékok</t>
  </si>
  <si>
    <t>7.</t>
  </si>
  <si>
    <t>8.</t>
  </si>
  <si>
    <t>Költségvetési bevételek összesen: (1.+3.+4.+6.+7.)</t>
  </si>
  <si>
    <t>Költségvetési kiadások összesen: (1.+3.+5.+6.+7.)</t>
  </si>
  <si>
    <t>9.</t>
  </si>
  <si>
    <t>Hiány belső finanszírozás bevételei ( 10.+…+14.)</t>
  </si>
  <si>
    <t>Értékpapír vásárlása, visszavásárlása</t>
  </si>
  <si>
    <t>10.</t>
  </si>
  <si>
    <t>Költségvetési maradvány igénybevétele</t>
  </si>
  <si>
    <t>Likviditási célú hitelek törlesztése</t>
  </si>
  <si>
    <t>11.</t>
  </si>
  <si>
    <t xml:space="preserve">Vállalkozási maradvány igénybevétele </t>
  </si>
  <si>
    <t>Rövid lejáratú hitelek törlesztése</t>
  </si>
  <si>
    <t>12.</t>
  </si>
  <si>
    <t xml:space="preserve">Betét visszavonásából származó bevétel </t>
  </si>
  <si>
    <t>Hosszú lejáratú hitelek törlesztése</t>
  </si>
  <si>
    <t>13.</t>
  </si>
  <si>
    <t>Értékpapír értékesítése</t>
  </si>
  <si>
    <t>Kölcsön törlesztése</t>
  </si>
  <si>
    <t>14.</t>
  </si>
  <si>
    <t>Befektetési célú belföldi, külföldi értékpapírok vásárlása</t>
  </si>
  <si>
    <t>15.</t>
  </si>
  <si>
    <t>Hiány külső finanszírozásának bevételei (16.+…+20. )</t>
  </si>
  <si>
    <t>Betét elhelyezése</t>
  </si>
  <si>
    <t>16.</t>
  </si>
  <si>
    <t>Hosszú lejáratú hitelek, kölcsönök felvétele</t>
  </si>
  <si>
    <t>Pénzügyi lízing kiadásai</t>
  </si>
  <si>
    <t>17.</t>
  </si>
  <si>
    <t>Likviditási célú hitelek, kölcsönök felvétele</t>
  </si>
  <si>
    <t>18.</t>
  </si>
  <si>
    <t>Rövid lejáratú hitelek, kölcsönök felvétele</t>
  </si>
  <si>
    <t>19.</t>
  </si>
  <si>
    <t>Értékpapírok kibocsátása</t>
  </si>
  <si>
    <t>20.</t>
  </si>
  <si>
    <t>Egyéb külső finanszírozási bevételek</t>
  </si>
  <si>
    <t>21.</t>
  </si>
  <si>
    <t>Felhalmozási célú finanszírozási bevételek összesen (9.+15.)</t>
  </si>
  <si>
    <t>Felhalmozási célú finanszírozási kiadások összesen
(9.+...+20.)</t>
  </si>
  <si>
    <t>22.</t>
  </si>
  <si>
    <t>BEVÉTEL ÖSSZESEN (8.+21.)</t>
  </si>
  <si>
    <t>KIADÁSOK ÖSSZESEN (8.+21.)</t>
  </si>
  <si>
    <t>23.</t>
  </si>
  <si>
    <t>Költségvetési hiány:</t>
  </si>
  <si>
    <t>Költségvetési többlet:</t>
  </si>
  <si>
    <t>24.</t>
  </si>
  <si>
    <t>Tárgyévi  hiány:</t>
  </si>
  <si>
    <t>-</t>
  </si>
  <si>
    <t>Tárgyévi  többlet:</t>
  </si>
  <si>
    <t>I. Működési célú bevételek és kiadások mérlege
(Önkormányzati szinten)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</si>
  <si>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</si>
  <si>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</si>
  <si>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</si>
  <si>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</si>
  <si>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</si>
  <si>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6.-ból EU-s támogatás (közvetlen)</t>
  </si>
  <si>
    <t>Költségvetési bevételek összesen (1.+2.+4.+5.+6.+8.)</t>
  </si>
  <si>
    <t>Költségvetési kiadások összesen (1.+...+8.)</t>
  </si>
  <si>
    <t>Hiány belső finanszírozásának bevételei (11.+…+14. 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</si>
  <si>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</si>
  <si>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</si>
  <si>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 </t>
  </si>
  <si>
    <t xml:space="preserve">Hiány külső finanszírozásának bevételei (16.+17.) </t>
  </si>
  <si>
    <t>Forgatási célú belföldi, külföldi értékpapírok vásárlása</t>
  </si>
  <si>
    <t xml:space="preserve">   Likviditási célú hitelek, kölcsönök felvétele</t>
  </si>
  <si>
    <t>Pénzeszközök lekötött betétként elhelyezése</t>
  </si>
  <si>
    <t xml:space="preserve">   Értékpapírok bevételei</t>
  </si>
  <si>
    <t>Adóssághoz nem kapcsolódó származékos ügyletek</t>
  </si>
  <si>
    <t>Váltóbevételek</t>
  </si>
  <si>
    <t>Váltókiadások</t>
  </si>
  <si>
    <t>Adóssághoz nem kapcsolódó származékos ügyletek bevételei</t>
  </si>
  <si>
    <t>Államháztartáson belüli megelőlegezések visszafizetése</t>
  </si>
  <si>
    <t>Működési célú finanszírozási bevételek összesen (10.+15.+19.+20.)</t>
  </si>
  <si>
    <t>Működési célú finanszírozási kiadások összesen (10.+...+20.)</t>
  </si>
  <si>
    <t>BEVÉTEL ÖSSZESEN (9.+21.)</t>
  </si>
  <si>
    <t>KIADÁSOK ÖSSZESEN (9.+21.)</t>
  </si>
  <si>
    <t>CSESZTREG KÖZSÉG ÖNKORMÁNYZATA ÉS INTÉZMÉNYEI 2019. ÉVI MÓDOSÍTOTT ELŐIRÁNYZAT FELHASZNÁLÁSI ÜTEMTERVE</t>
  </si>
  <si>
    <t>3/2019. (II.25.) önkormányzati rendelet 11. melléklete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</si>
  <si>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</si>
  <si>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</si>
  <si>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</si>
  <si>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</si>
  <si>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</si>
  <si>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</si>
  <si>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</si>
  <si>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</si>
  <si>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</si>
  <si>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</si>
  <si>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</si>
  <si>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</si>
  <si>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</si>
  <si>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</si>
  <si>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Nyitó pénzkészlet</t>
  </si>
  <si>
    <t>Működési célú támogatások áht-n belülről</t>
  </si>
  <si>
    <t>Felhalmozási célú támogatások áht-n belülről</t>
  </si>
  <si>
    <t>Előző évi költségvetési maradvány igénybevétele</t>
  </si>
  <si>
    <t xml:space="preserve">Államháztartáson belüli megelőlegezések </t>
  </si>
  <si>
    <t>Bevételek összesen :</t>
  </si>
  <si>
    <t>Munkaadót terhelő járulékok</t>
  </si>
  <si>
    <t>Egyéb működési célú támogatások</t>
  </si>
  <si>
    <t>Tartalék</t>
  </si>
  <si>
    <t>Likviditási cléú hitelek, kölcsönök törlesztése pénzügyi vállalkozásnak</t>
  </si>
  <si>
    <t>Kiadások összesen:</t>
  </si>
  <si>
    <t>Záró pénzkészlet</t>
  </si>
  <si>
    <t>Kossuth út</t>
  </si>
  <si>
    <t>fecskeház 50%</t>
  </si>
  <si>
    <t>ady út</t>
  </si>
  <si>
    <t>beruh</t>
  </si>
  <si>
    <t>Műv. Ház</t>
  </si>
  <si>
    <t>vízmű</t>
  </si>
  <si>
    <t>Kerkai út</t>
  </si>
  <si>
    <t>Csesztreg Község Önkormányzata által adott közvetett támogatások 2019. évben
(kedvezmények)</t>
  </si>
  <si>
    <t xml:space="preserve"> Adatok Ft-ban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</si>
  <si>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</si>
  <si>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</si>
  <si>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</si>
  <si>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</si>
  <si>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</si>
  <si>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</si>
  <si>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</si>
  <si>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</si>
  <si>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</si>
  <si>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</si>
  <si>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</si>
  <si>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</si>
  <si>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</si>
  <si>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</si>
  <si>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</si>
  <si>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</si>
  <si>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</si>
  <si>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</si>
  <si>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</si>
  <si>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</si>
  <si>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</si>
  <si>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CSESZTREG KÖZSÉG ÖNKORMÁNYZATÁNAK ÁLLAMI HOZZÁJÁRULÁSA 2019. ÉVBEN</t>
  </si>
  <si>
    <t xml:space="preserve">    Adatok Ft-ban</t>
  </si>
  <si>
    <t>Hozzájárulás jogcíme</t>
  </si>
  <si>
    <t>2016. évi</t>
  </si>
  <si>
    <t>2017. évi igénylés</t>
  </si>
  <si>
    <t>2017. évi elszámolás</t>
  </si>
  <si>
    <t>2018. májusi módosítás</t>
  </si>
  <si>
    <t>Eltérés (május - igénylés)</t>
  </si>
  <si>
    <t>2018. októberi módosítás</t>
  </si>
  <si>
    <t>Eltérés (október- május)</t>
  </si>
  <si>
    <t>Eltérés (2018. évi elszámolás -2018. évi igénylés</t>
  </si>
  <si>
    <t>Eltérés (2019. évi igénylés - 2018. évi elszámolás)</t>
  </si>
  <si>
    <t>mutató/  létszám</t>
  </si>
  <si>
    <t>Támogatás</t>
  </si>
  <si>
    <t>Hozzájárulás</t>
  </si>
  <si>
    <t>Ft/fő</t>
  </si>
  <si>
    <t>eFt</t>
  </si>
  <si>
    <t>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</si>
  <si>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</si>
  <si>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</si>
  <si>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</si>
  <si>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</si>
  <si>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</si>
  <si>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</si>
  <si>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</si>
  <si>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</si>
  <si>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</si>
  <si>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</si>
  <si>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</si>
  <si>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</si>
  <si>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</si>
  <si>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</si>
  <si>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</si>
  <si>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</si>
  <si>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kapcsoltos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</si>
  <si>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</si>
  <si>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</si>
  <si>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</si>
  <si>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Előző évről áthúzódó bérkompenzáció támogatása:</t>
  </si>
  <si>
    <t>I. Helyi önkormányzatok működésének általános támogatása összesen:</t>
  </si>
  <si>
    <t>II. Települési önkormányzatok egyes köznevelési feladatainak támogatása</t>
  </si>
  <si>
    <t xml:space="preserve"> 8 hónap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</si>
  <si>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</si>
  <si>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</si>
  <si>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</si>
  <si>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</si>
  <si>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 xml:space="preserve"> 4. hónap</t>
  </si>
  <si>
    <t>4. a (1) Pedagógus II. kategóriába sorolt óvodapedagógusok kiegészítő támogatása, akik a minősítést 2016. december 31-éig szerezték meg</t>
  </si>
  <si>
    <t>4.b (1) Pedagógus II. kategóriába sorolt óvodapedagógusok kiegészítő támogatása, akik a minősítést 2018. január 01-jei átsorolással szerezték meg</t>
  </si>
  <si>
    <t>4.b (1) Mesterpedagógus kategóriába sorolt óvodapedagógusok kiegészítő támogatása, akik a minősítést 2018. január 01-jei átsorolással szerezték meg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</si>
  <si>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</si>
  <si>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</si>
  <si>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</si>
  <si>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a) Család- és gyermekjóléti szolgálat</t>
  </si>
  <si>
    <t>3. c (1) Szociális étkeztetés</t>
  </si>
  <si>
    <t xml:space="preserve">5. aa, Gyermekétkeztetés támogatása - finanszírozás szempontjából elismert dolgozói bértámogatás </t>
  </si>
  <si>
    <t xml:space="preserve">5. ab, Gyermekétkeztetés üzemeltetési támogatása </t>
  </si>
  <si>
    <t>5. b,. A rászoruló gyermekek szünidei étkeztetésének támogatása</t>
  </si>
  <si>
    <t>6. a, Bölcsőde, mini bölcsőde támogatása: Szakmai dolgozók bértámogatása</t>
  </si>
  <si>
    <t>6. b, Bölcsődei üzemeltetési támogatás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</si>
  <si>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</si>
  <si>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</si>
  <si>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</si>
  <si>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2020.</t>
  </si>
  <si>
    <t>2021.</t>
  </si>
  <si>
    <t>Csesztreg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</si>
  <si>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</si>
  <si>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</si>
  <si>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</si>
  <si>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</si>
  <si>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</si>
  <si>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</si>
  <si>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</si>
  <si>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</si>
  <si>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</si>
  <si>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2022.</t>
  </si>
  <si>
    <t>Hosszú lejáratú hitel törlesztése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</si>
  <si>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</si>
  <si>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</si>
  <si>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</si>
  <si>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2019. évi eredeti előirányzat</t>
  </si>
  <si>
    <t>01.</t>
  </si>
  <si>
    <t>Helyi adók (B34-ből)</t>
  </si>
  <si>
    <t>02.</t>
  </si>
  <si>
    <t>Tulajdonosi bevételek (B404)</t>
  </si>
  <si>
    <t>03.</t>
  </si>
  <si>
    <t>Díjak, pótlékok bírságok, települési adók (B355-ből, B36)</t>
  </si>
  <si>
    <t>04.</t>
  </si>
  <si>
    <t>Immateriális javak, ingatlanok és egyéb tárgyi eszközök értékesítése (B51, B52, B53)</t>
  </si>
  <si>
    <t>05.</t>
  </si>
  <si>
    <t>Részesedések értékesítése és részesedések megszűnéséhez kapcsolódó bevételek (B54-ből, B55)</t>
  </si>
  <si>
    <t>06.</t>
  </si>
  <si>
    <t>Privatizációból származó bevételek (B54-ből)</t>
  </si>
  <si>
    <t>07.</t>
  </si>
  <si>
    <t>Garancia- és kezességvállalásból származó megtérülések (B13, B22, B61, B71)</t>
  </si>
  <si>
    <t>Saját bevételek összesen* (01.+…+07.)</t>
  </si>
  <si>
    <t>Saját bevételek 50 %-a</t>
  </si>
  <si>
    <t>*Az adósságot keletkeztető ügyletekhez történő hozzájárulás részletes szabályairól szóló 353/2011. (XII.31.) Korm. Rendelet 2.§ (1) bekezdése alapján.</t>
  </si>
  <si>
    <t>2019. évi állami támogatás</t>
  </si>
  <si>
    <t>2019. évi módosítás</t>
  </si>
  <si>
    <t>2019. évi várható állami támogatás</t>
  </si>
  <si>
    <t>Minimálbér és garantált bérminimum emelés hatásának kompenzációja</t>
  </si>
  <si>
    <t>Szociális célú tűzelőanyag vásárláshoz kapcsolódó támogatás</t>
  </si>
  <si>
    <t>2019. évi előirányzat</t>
  </si>
  <si>
    <t>Egyéb belső finanszírozási bevételek</t>
  </si>
  <si>
    <t>Út felújítási, aszfaltozási munkák</t>
  </si>
  <si>
    <t>17/2019. (X. 1.) önkormányzati rendelet 1. melléklete</t>
  </si>
  <si>
    <t>17/2019. (X. 1.)  önkormányzati rendelet 2. melléklete</t>
  </si>
  <si>
    <t>17/2019. (X. 1.) önkormányzati rendelet 3. melléklete</t>
  </si>
  <si>
    <t>17/2019. (X. 1.) önkormányzati rendelet 4. melléklete</t>
  </si>
  <si>
    <t>17/2019. (X. 1.) önkormányzati rendelet 8. melléklete</t>
  </si>
  <si>
    <t>17/2019. (X. 1.) önkormányzati rendelet 6. melléklete</t>
  </si>
  <si>
    <t>3/2019. (II.25.) önkormányzati rendelet 5. melléklete</t>
  </si>
  <si>
    <t>17/2019. (X. 1.) önkormányzati rendelet 5. melléklete</t>
  </si>
  <si>
    <t>17/2019. (X. 1.) önkormányzati rendelet 7. melléklete</t>
  </si>
  <si>
    <t>3/2019. (II.25.) önkormányzati rendelet 7,a. melléklete</t>
  </si>
  <si>
    <t>17/2019. (X. 1.) önkormányzati rendelet 9. melléklete</t>
  </si>
  <si>
    <t>3/2019. (II.25.) önkormányzati rendelet 7,b. melléklete</t>
  </si>
  <si>
    <t>17/2019. (X. 1.) önkormányzati rendelet 10. melléklete</t>
  </si>
  <si>
    <t>17/2019. (X. 1.) önkormányzati rendelet 11. melléklete</t>
  </si>
  <si>
    <t>3/2019. (II.25.) önkormányzati rendelet 12. melléklete</t>
  </si>
  <si>
    <t>17/2019. (X. 1.) önkormányzati rendelet 12. melléklete</t>
  </si>
  <si>
    <t>3/2019. (II.25.) önkormányzati rendelet 14. melléklete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</si>
</sst>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  <numFmt numFmtId="166" formatCode="0&quot;.&quot;"/>
    <numFmt numFmtId="167" formatCode="#,##0.0"/>
    <numFmt numFmtId="168" formatCode="#,##0\ _F_t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0.0000"/>
    <numFmt numFmtId="173" formatCode="0.000"/>
    <numFmt numFmtId="174" formatCode="0.0"/>
    <numFmt numFmtId="175" formatCode="&quot;öS&quot;\ #,##0;\-&quot;öS&quot;\ #,##0"/>
    <numFmt numFmtId="176" formatCode="&quot;öS&quot;\ #,##0;[Red]\-&quot;öS&quot;\ #,##0"/>
    <numFmt numFmtId="177" formatCode="&quot;öS&quot;\ #,##0.00;\-&quot;öS&quot;\ #,##0.00"/>
    <numFmt numFmtId="178" formatCode="&quot;öS&quot;\ #,##0.00;[Red]\-&quot;öS&quot;\ #,##0.00"/>
    <numFmt numFmtId="179" formatCode="_-&quot;öS&quot;\ * #,##0_-;\-&quot;öS&quot;\ * #,##0_-;_-&quot;öS&quot;\ * &quot;-&quot;_-;_-@_-"/>
    <numFmt numFmtId="180" formatCode="_-* #,##0_-;\-* #,##0_-;_-* &quot;-&quot;_-;_-@_-"/>
    <numFmt numFmtId="181" formatCode="_-&quot;öS&quot;\ * #,##0.00_-;\-&quot;öS&quot;\ * #,##0.00_-;_-&quot;öS&quot;\ * &quot;-&quot;??_-;_-@_-"/>
    <numFmt numFmtId="182" formatCode="_-* #,##0.00_-;\-* #,##0.00_-;_-* &quot;-&quot;??_-;_-@_-"/>
    <numFmt numFmtId="183" formatCode="#,##0.00\ &quot;Ft&quot;"/>
    <numFmt numFmtId="184" formatCode="_-* #,##0.0\ _F_t_-;\-* #,##0.0\ _F_t_-;_-* &quot;-&quot;??\ _F_t_-;_-@_-"/>
    <numFmt numFmtId="185" formatCode="#"/>
    <numFmt numFmtId="186" formatCode="[$-40E]yyyy\.\ mmmm\ d\."/>
    <numFmt numFmtId="187" formatCode="[$€-2]\ #\ ##,000_);[Red]\([$€-2]\ #\ ##,000\)"/>
    <numFmt numFmtId="188" formatCode="0.0%"/>
    <numFmt numFmtId="189" formatCode="#,##0.000"/>
    <numFmt numFmtId="190" formatCode="0.0000000"/>
    <numFmt numFmtId="191" formatCode="0.000000"/>
    <numFmt numFmtId="192" formatCode="0.00000"/>
    <numFmt numFmtId="193" formatCode="_-* #,##0.000\ _F_t_-;\-* #,##0.000\ _F_t_-;_-* &quot;-&quot;??\ _F_t_-;_-@_-"/>
    <numFmt numFmtId="194" formatCode="_-* #,##0.0000\ _F_t_-;\-* #,##0.0000\ _F_t_-;_-* &quot;-&quot;??\ _F_t_-;_-@_-"/>
    <numFmt numFmtId="195" formatCode="_-* #,##0.00000\ _F_t_-;\-* #,##0.00000\ _F_t_-;_-* &quot;-&quot;??\ _F_t_-;_-@_-"/>
    <numFmt numFmtId="196" formatCode="_-* #,##0.000000\ _F_t_-;\-* #,##0.000000\ _F_t_-;_-* &quot;-&quot;??\ _F_t_-;_-@_-"/>
    <numFmt numFmtId="197" formatCode="&quot;H-&quot;0000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m&quot;. &quot;d\.;@"/>
    <numFmt numFmtId="201" formatCode="m\.\ d\.;@"/>
  </numFmts>
  <fonts count="9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sz val="11.5"/>
      <name val="Times New Roman"/>
      <family val="1"/>
    </font>
    <font>
      <sz val="10"/>
      <color indexed="8"/>
      <name val="Calibri"/>
      <family val="2"/>
    </font>
    <font>
      <b/>
      <i/>
      <sz val="16"/>
      <name val="Times New Roman"/>
      <family val="1"/>
    </font>
    <font>
      <b/>
      <i/>
      <sz val="16"/>
      <name val="Arial CE"/>
      <family val="0"/>
    </font>
    <font>
      <i/>
      <sz val="16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10"/>
      <color indexed="48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i/>
      <sz val="6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i/>
      <sz val="10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i/>
      <sz val="11"/>
      <name val="Times New Roman CE"/>
      <family val="1"/>
    </font>
    <font>
      <sz val="12"/>
      <name val="Garamond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0"/>
      <name val="Times New Roman CE"/>
      <family val="0"/>
    </font>
    <font>
      <sz val="12"/>
      <name val="Times New Roman CE"/>
      <family val="0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.5"/>
      <name val="Times New Roman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thick"/>
    </border>
    <border>
      <left/>
      <right style="thin"/>
      <top style="thick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2" fillId="5" borderId="0" applyNumberFormat="0" applyBorder="0" applyAlignment="0" applyProtection="0"/>
    <xf numFmtId="0" fontId="3" fillId="9" borderId="1" applyNumberFormat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27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3" fillId="9" borderId="1" applyNumberFormat="0" applyAlignment="0" applyProtection="0"/>
    <xf numFmtId="0" fontId="0" fillId="28" borderId="7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4" fillId="6" borderId="0" applyNumberFormat="0" applyBorder="0" applyAlignment="0" applyProtection="0"/>
    <xf numFmtId="0" fontId="16" fillId="26" borderId="8" applyNumberFormat="0" applyAlignment="0" applyProtection="0"/>
    <xf numFmtId="0" fontId="7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7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28" borderId="7" applyNumberFormat="0" applyFont="0" applyAlignment="0" applyProtection="0"/>
    <xf numFmtId="0" fontId="16" fillId="26" borderId="8" applyNumberFormat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7" fillId="29" borderId="0" applyNumberFormat="0" applyBorder="0" applyAlignment="0" applyProtection="0"/>
    <xf numFmtId="0" fontId="4" fillId="26" borderId="1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98">
    <xf numFmtId="0" fontId="0" fillId="0" borderId="0" xfId="0" applyAlignment="1">
      <alignment/>
    </xf>
    <xf numFmtId="0" fontId="21" fillId="0" borderId="0" xfId="124" applyFont="1" applyAlignment="1">
      <alignment horizontal="center"/>
      <protection/>
    </xf>
    <xf numFmtId="0" fontId="22" fillId="0" borderId="0" xfId="109" applyFont="1" applyAlignment="1">
      <alignment horizontal="left" wrapText="1"/>
      <protection/>
    </xf>
    <xf numFmtId="0" fontId="21" fillId="0" borderId="0" xfId="124" applyFont="1" applyAlignment="1">
      <alignment horizontal="right"/>
      <protection/>
    </xf>
    <xf numFmtId="0" fontId="23" fillId="0" borderId="0" xfId="124" applyFont="1" applyAlignment="1">
      <alignment horizontal="right"/>
      <protection/>
    </xf>
    <xf numFmtId="0" fontId="24" fillId="0" borderId="10" xfId="124" applyFont="1" applyBorder="1" applyAlignment="1">
      <alignment horizontal="right"/>
      <protection/>
    </xf>
    <xf numFmtId="0" fontId="24" fillId="0" borderId="0" xfId="124" applyFont="1" applyBorder="1" applyAlignment="1">
      <alignment/>
      <protection/>
    </xf>
    <xf numFmtId="0" fontId="25" fillId="26" borderId="11" xfId="124" applyFont="1" applyFill="1" applyBorder="1" applyAlignment="1">
      <alignment horizontal="center" vertical="center"/>
      <protection/>
    </xf>
    <xf numFmtId="0" fontId="25" fillId="26" borderId="12" xfId="124" applyFont="1" applyFill="1" applyBorder="1" applyAlignment="1">
      <alignment horizontal="center" vertical="center"/>
      <protection/>
    </xf>
    <xf numFmtId="0" fontId="25" fillId="26" borderId="12" xfId="124" applyFont="1" applyFill="1" applyBorder="1" applyAlignment="1">
      <alignment horizontal="center" vertical="center" wrapText="1"/>
      <protection/>
    </xf>
    <xf numFmtId="0" fontId="25" fillId="26" borderId="13" xfId="124" applyFont="1" applyFill="1" applyBorder="1" applyAlignment="1">
      <alignment horizontal="center" vertical="center" wrapText="1"/>
      <protection/>
    </xf>
    <xf numFmtId="0" fontId="25" fillId="26" borderId="14" xfId="124" applyFont="1" applyFill="1" applyBorder="1" applyAlignment="1">
      <alignment horizontal="center" vertical="center" wrapText="1"/>
      <protection/>
    </xf>
    <xf numFmtId="0" fontId="25" fillId="26" borderId="15" xfId="124" applyFont="1" applyFill="1" applyBorder="1" applyAlignment="1">
      <alignment horizontal="center" vertical="center"/>
      <protection/>
    </xf>
    <xf numFmtId="0" fontId="26" fillId="0" borderId="16" xfId="124" applyFont="1" applyBorder="1" applyAlignment="1">
      <alignment horizontal="left" vertical="center"/>
      <protection/>
    </xf>
    <xf numFmtId="0" fontId="26" fillId="0" borderId="17" xfId="124" applyFont="1" applyBorder="1" applyAlignment="1">
      <alignment horizontal="left" vertical="center"/>
      <protection/>
    </xf>
    <xf numFmtId="0" fontId="26" fillId="0" borderId="18" xfId="124" applyFont="1" applyBorder="1" applyAlignment="1">
      <alignment horizontal="left" vertical="center"/>
      <protection/>
    </xf>
    <xf numFmtId="0" fontId="26" fillId="0" borderId="0" xfId="124" applyFont="1" applyBorder="1" applyAlignment="1">
      <alignment horizontal="left" vertical="center"/>
      <protection/>
    </xf>
    <xf numFmtId="0" fontId="26" fillId="0" borderId="19" xfId="124" applyFont="1" applyBorder="1" applyAlignment="1">
      <alignment horizontal="left" vertical="center"/>
      <protection/>
    </xf>
    <xf numFmtId="0" fontId="25" fillId="0" borderId="20" xfId="124" applyFont="1" applyBorder="1" applyAlignment="1">
      <alignment horizontal="center" vertical="center"/>
      <protection/>
    </xf>
    <xf numFmtId="0" fontId="25" fillId="0" borderId="21" xfId="124" applyFont="1" applyBorder="1" applyAlignment="1">
      <alignment horizontal="left" vertical="center"/>
      <protection/>
    </xf>
    <xf numFmtId="3" fontId="27" fillId="0" borderId="21" xfId="124" applyNumberFormat="1" applyFont="1" applyBorder="1" applyAlignment="1">
      <alignment vertical="center"/>
      <protection/>
    </xf>
    <xf numFmtId="3" fontId="27" fillId="0" borderId="17" xfId="124" applyNumberFormat="1" applyFont="1" applyBorder="1" applyAlignment="1">
      <alignment vertical="center"/>
      <protection/>
    </xf>
    <xf numFmtId="3" fontId="27" fillId="0" borderId="22" xfId="124" applyNumberFormat="1" applyFont="1" applyBorder="1" applyAlignment="1">
      <alignment vertical="center"/>
      <protection/>
    </xf>
    <xf numFmtId="0" fontId="25" fillId="0" borderId="17" xfId="124" applyFont="1" applyBorder="1" applyAlignment="1">
      <alignment horizontal="center"/>
      <protection/>
    </xf>
    <xf numFmtId="0" fontId="25" fillId="0" borderId="21" xfId="124" applyFont="1" applyBorder="1">
      <alignment/>
      <protection/>
    </xf>
    <xf numFmtId="0" fontId="27" fillId="0" borderId="21" xfId="124" applyFont="1" applyBorder="1" applyAlignment="1">
      <alignment horizontal="left" vertical="center"/>
      <protection/>
    </xf>
    <xf numFmtId="3" fontId="27" fillId="0" borderId="21" xfId="118" applyNumberFormat="1" applyFont="1" applyBorder="1" applyAlignment="1">
      <alignment horizontal="right"/>
      <protection/>
    </xf>
    <xf numFmtId="3" fontId="27" fillId="0" borderId="21" xfId="124" applyNumberFormat="1" applyFont="1" applyBorder="1" applyAlignment="1">
      <alignment horizontal="right" vertical="center"/>
      <protection/>
    </xf>
    <xf numFmtId="3" fontId="27" fillId="0" borderId="22" xfId="124" applyNumberFormat="1" applyFont="1" applyBorder="1" applyAlignment="1">
      <alignment horizontal="right" vertical="center"/>
      <protection/>
    </xf>
    <xf numFmtId="0" fontId="27" fillId="0" borderId="21" xfId="118" applyFont="1" applyBorder="1" applyAlignment="1">
      <alignment horizontal="left"/>
      <protection/>
    </xf>
    <xf numFmtId="0" fontId="27" fillId="0" borderId="23" xfId="124" applyFont="1" applyBorder="1" applyAlignment="1">
      <alignment horizontal="left" vertical="center" wrapText="1"/>
      <protection/>
    </xf>
    <xf numFmtId="0" fontId="28" fillId="0" borderId="17" xfId="124" applyFont="1" applyBorder="1" applyAlignment="1">
      <alignment horizontal="left" vertical="center"/>
      <protection/>
    </xf>
    <xf numFmtId="3" fontId="28" fillId="0" borderId="21" xfId="124" applyNumberFormat="1" applyFont="1" applyBorder="1" applyAlignment="1">
      <alignment horizontal="right" vertical="center"/>
      <protection/>
    </xf>
    <xf numFmtId="3" fontId="28" fillId="0" borderId="22" xfId="124" applyNumberFormat="1" applyFont="1" applyBorder="1" applyAlignment="1">
      <alignment horizontal="right" vertical="center"/>
      <protection/>
    </xf>
    <xf numFmtId="0" fontId="28" fillId="0" borderId="21" xfId="124" applyFont="1" applyBorder="1" applyAlignment="1">
      <alignment horizontal="left" vertical="center"/>
      <protection/>
    </xf>
    <xf numFmtId="3" fontId="28" fillId="0" borderId="21" xfId="124" applyNumberFormat="1" applyFont="1" applyBorder="1" applyAlignment="1">
      <alignment vertical="center"/>
      <protection/>
    </xf>
    <xf numFmtId="3" fontId="28" fillId="0" borderId="17" xfId="124" applyNumberFormat="1" applyFont="1" applyBorder="1" applyAlignment="1">
      <alignment vertical="center"/>
      <protection/>
    </xf>
    <xf numFmtId="3" fontId="28" fillId="0" borderId="22" xfId="124" applyNumberFormat="1" applyFont="1" applyBorder="1" applyAlignment="1">
      <alignment vertical="center"/>
      <protection/>
    </xf>
    <xf numFmtId="0" fontId="25" fillId="0" borderId="17" xfId="124" applyFont="1" applyBorder="1" applyAlignment="1">
      <alignment horizontal="left" vertical="center"/>
      <protection/>
    </xf>
    <xf numFmtId="3" fontId="27" fillId="0" borderId="22" xfId="118" applyNumberFormat="1" applyFont="1" applyBorder="1" applyAlignment="1">
      <alignment horizontal="right"/>
      <protection/>
    </xf>
    <xf numFmtId="0" fontId="25" fillId="0" borderId="17" xfId="124" applyFont="1" applyBorder="1" applyAlignment="1">
      <alignment horizontal="center" vertical="center"/>
      <protection/>
    </xf>
    <xf numFmtId="0" fontId="27" fillId="0" borderId="17" xfId="124" applyFont="1" applyBorder="1" applyAlignment="1">
      <alignment horizontal="left" vertical="center"/>
      <protection/>
    </xf>
    <xf numFmtId="0" fontId="28" fillId="0" borderId="24" xfId="124" applyFont="1" applyBorder="1" applyAlignment="1">
      <alignment horizontal="center" vertical="center"/>
      <protection/>
    </xf>
    <xf numFmtId="0" fontId="28" fillId="0" borderId="17" xfId="124" applyFont="1" applyBorder="1" applyAlignment="1">
      <alignment horizontal="center" vertical="center"/>
      <protection/>
    </xf>
    <xf numFmtId="3" fontId="25" fillId="0" borderId="21" xfId="124" applyNumberFormat="1" applyFont="1" applyBorder="1" applyAlignment="1">
      <alignment horizontal="right" vertical="center"/>
      <protection/>
    </xf>
    <xf numFmtId="3" fontId="25" fillId="0" borderId="17" xfId="124" applyNumberFormat="1" applyFont="1" applyBorder="1" applyAlignment="1">
      <alignment horizontal="right" vertical="center"/>
      <protection/>
    </xf>
    <xf numFmtId="3" fontId="25" fillId="0" borderId="22" xfId="124" applyNumberFormat="1" applyFont="1" applyBorder="1" applyAlignment="1">
      <alignment horizontal="right" vertical="center"/>
      <protection/>
    </xf>
    <xf numFmtId="0" fontId="25" fillId="0" borderId="17" xfId="124" applyFont="1" applyBorder="1" applyAlignment="1">
      <alignment horizontal="left"/>
      <protection/>
    </xf>
    <xf numFmtId="3" fontId="25" fillId="0" borderId="21" xfId="124" applyNumberFormat="1" applyFont="1" applyBorder="1" applyAlignment="1">
      <alignment vertical="center"/>
      <protection/>
    </xf>
    <xf numFmtId="3" fontId="25" fillId="0" borderId="17" xfId="124" applyNumberFormat="1" applyFont="1" applyBorder="1" applyAlignment="1">
      <alignment vertical="center"/>
      <protection/>
    </xf>
    <xf numFmtId="3" fontId="25" fillId="0" borderId="22" xfId="124" applyNumberFormat="1" applyFont="1" applyBorder="1" applyAlignment="1">
      <alignment vertical="center"/>
      <protection/>
    </xf>
    <xf numFmtId="0" fontId="25" fillId="0" borderId="24" xfId="124" applyFont="1" applyBorder="1" applyAlignment="1">
      <alignment horizontal="left" vertical="center"/>
      <protection/>
    </xf>
    <xf numFmtId="0" fontId="29" fillId="30" borderId="20" xfId="124" applyFont="1" applyFill="1" applyBorder="1" applyAlignment="1">
      <alignment horizontal="left" vertical="center"/>
      <protection/>
    </xf>
    <xf numFmtId="0" fontId="29" fillId="30" borderId="21" xfId="124" applyFont="1" applyFill="1" applyBorder="1" applyAlignment="1">
      <alignment horizontal="left" vertical="center"/>
      <protection/>
    </xf>
    <xf numFmtId="3" fontId="29" fillId="30" borderId="21" xfId="124" applyNumberFormat="1" applyFont="1" applyFill="1" applyBorder="1">
      <alignment/>
      <protection/>
    </xf>
    <xf numFmtId="3" fontId="29" fillId="30" borderId="17" xfId="124" applyNumberFormat="1" applyFont="1" applyFill="1" applyBorder="1">
      <alignment/>
      <protection/>
    </xf>
    <xf numFmtId="3" fontId="29" fillId="30" borderId="22" xfId="124" applyNumberFormat="1" applyFont="1" applyFill="1" applyBorder="1">
      <alignment/>
      <protection/>
    </xf>
    <xf numFmtId="0" fontId="29" fillId="0" borderId="20" xfId="124" applyFont="1" applyBorder="1" applyAlignment="1">
      <alignment horizontal="left" vertical="center"/>
      <protection/>
    </xf>
    <xf numFmtId="0" fontId="29" fillId="0" borderId="21" xfId="124" applyFont="1" applyBorder="1" applyAlignment="1">
      <alignment horizontal="left" vertical="center"/>
      <protection/>
    </xf>
    <xf numFmtId="3" fontId="29" fillId="0" borderId="21" xfId="124" applyNumberFormat="1" applyFont="1" applyBorder="1" applyAlignment="1">
      <alignment horizontal="right" vertical="center"/>
      <protection/>
    </xf>
    <xf numFmtId="3" fontId="29" fillId="0" borderId="22" xfId="124" applyNumberFormat="1" applyFont="1" applyBorder="1" applyAlignment="1">
      <alignment horizontal="right" vertical="center"/>
      <protection/>
    </xf>
    <xf numFmtId="3" fontId="29" fillId="0" borderId="21" xfId="124" applyNumberFormat="1" applyFont="1" applyBorder="1">
      <alignment/>
      <protection/>
    </xf>
    <xf numFmtId="3" fontId="29" fillId="0" borderId="17" xfId="124" applyNumberFormat="1" applyFont="1" applyBorder="1">
      <alignment/>
      <protection/>
    </xf>
    <xf numFmtId="3" fontId="29" fillId="0" borderId="22" xfId="124" applyNumberFormat="1" applyFont="1" applyBorder="1">
      <alignment/>
      <protection/>
    </xf>
    <xf numFmtId="3" fontId="31" fillId="0" borderId="21" xfId="124" applyNumberFormat="1" applyFont="1" applyBorder="1" applyAlignment="1">
      <alignment vertical="center"/>
      <protection/>
    </xf>
    <xf numFmtId="3" fontId="31" fillId="0" borderId="22" xfId="124" applyNumberFormat="1" applyFont="1" applyBorder="1" applyAlignment="1">
      <alignment vertical="center"/>
      <protection/>
    </xf>
    <xf numFmtId="3" fontId="31" fillId="0" borderId="21" xfId="124" applyNumberFormat="1" applyFont="1" applyBorder="1">
      <alignment/>
      <protection/>
    </xf>
    <xf numFmtId="3" fontId="31" fillId="0" borderId="17" xfId="124" applyNumberFormat="1" applyFont="1" applyBorder="1">
      <alignment/>
      <protection/>
    </xf>
    <xf numFmtId="3" fontId="31" fillId="0" borderId="22" xfId="124" applyNumberFormat="1" applyFont="1" applyBorder="1">
      <alignment/>
      <protection/>
    </xf>
    <xf numFmtId="0" fontId="25" fillId="0" borderId="17" xfId="124" applyFont="1" applyBorder="1" applyAlignment="1">
      <alignment vertical="center"/>
      <protection/>
    </xf>
    <xf numFmtId="0" fontId="27" fillId="0" borderId="20" xfId="124" applyFont="1" applyBorder="1" applyAlignment="1">
      <alignment horizontal="center" vertical="center"/>
      <protection/>
    </xf>
    <xf numFmtId="3" fontId="28" fillId="0" borderId="21" xfId="124" applyNumberFormat="1" applyFont="1" applyBorder="1">
      <alignment/>
      <protection/>
    </xf>
    <xf numFmtId="3" fontId="28" fillId="0" borderId="22" xfId="124" applyNumberFormat="1" applyFont="1" applyBorder="1">
      <alignment/>
      <protection/>
    </xf>
    <xf numFmtId="3" fontId="32" fillId="0" borderId="21" xfId="124" applyNumberFormat="1" applyFont="1" applyBorder="1" applyAlignment="1">
      <alignment vertical="center"/>
      <protection/>
    </xf>
    <xf numFmtId="3" fontId="32" fillId="0" borderId="17" xfId="124" applyNumberFormat="1" applyFont="1" applyBorder="1" applyAlignment="1">
      <alignment vertical="center"/>
      <protection/>
    </xf>
    <xf numFmtId="3" fontId="32" fillId="0" borderId="22" xfId="124" applyNumberFormat="1" applyFont="1" applyBorder="1" applyAlignment="1">
      <alignment vertical="center"/>
      <protection/>
    </xf>
    <xf numFmtId="0" fontId="25" fillId="0" borderId="20" xfId="124" applyFont="1" applyBorder="1" applyAlignment="1">
      <alignment horizontal="center" vertical="center" wrapText="1"/>
      <protection/>
    </xf>
    <xf numFmtId="0" fontId="25" fillId="0" borderId="21" xfId="124" applyFont="1" applyBorder="1" applyAlignment="1">
      <alignment horizontal="left" vertical="center" wrapText="1"/>
      <protection/>
    </xf>
    <xf numFmtId="0" fontId="27" fillId="0" borderId="20" xfId="124" applyFont="1" applyBorder="1" applyAlignment="1">
      <alignment horizontal="center" vertical="center" wrapText="1"/>
      <protection/>
    </xf>
    <xf numFmtId="0" fontId="27" fillId="0" borderId="21" xfId="124" applyFont="1" applyBorder="1" applyAlignment="1">
      <alignment horizontal="left" vertical="center" wrapText="1"/>
      <protection/>
    </xf>
    <xf numFmtId="3" fontId="27" fillId="31" borderId="21" xfId="124" applyNumberFormat="1" applyFont="1" applyFill="1" applyBorder="1" applyAlignment="1">
      <alignment vertical="center"/>
      <protection/>
    </xf>
    <xf numFmtId="3" fontId="27" fillId="31" borderId="17" xfId="124" applyNumberFormat="1" applyFont="1" applyFill="1" applyBorder="1" applyAlignment="1">
      <alignment vertical="center"/>
      <protection/>
    </xf>
    <xf numFmtId="0" fontId="28" fillId="0" borderId="17" xfId="124" applyFont="1" applyBorder="1" applyAlignment="1">
      <alignment horizontal="left" vertical="center" wrapText="1"/>
      <protection/>
    </xf>
    <xf numFmtId="3" fontId="28" fillId="31" borderId="21" xfId="124" applyNumberFormat="1" applyFont="1" applyFill="1" applyBorder="1" applyAlignment="1">
      <alignment vertical="center"/>
      <protection/>
    </xf>
    <xf numFmtId="3" fontId="28" fillId="31" borderId="17" xfId="124" applyNumberFormat="1" applyFont="1" applyFill="1" applyBorder="1" applyAlignment="1">
      <alignment vertical="center"/>
      <protection/>
    </xf>
    <xf numFmtId="0" fontId="27" fillId="0" borderId="24" xfId="124" applyFont="1" applyBorder="1" applyAlignment="1">
      <alignment horizontal="center" vertical="center" wrapText="1"/>
      <protection/>
    </xf>
    <xf numFmtId="0" fontId="26" fillId="0" borderId="24" xfId="124" applyFont="1" applyBorder="1" applyAlignment="1">
      <alignment vertical="center" wrapText="1"/>
      <protection/>
    </xf>
    <xf numFmtId="0" fontId="26" fillId="0" borderId="17" xfId="124" applyFont="1" applyBorder="1" applyAlignment="1">
      <alignment vertical="center" wrapText="1"/>
      <protection/>
    </xf>
    <xf numFmtId="0" fontId="26" fillId="0" borderId="18" xfId="124" applyFont="1" applyBorder="1" applyAlignment="1">
      <alignment horizontal="left" vertical="center" wrapText="1"/>
      <protection/>
    </xf>
    <xf numFmtId="0" fontId="25" fillId="0" borderId="17" xfId="124" applyFont="1" applyBorder="1" applyAlignment="1">
      <alignment vertical="center" wrapText="1"/>
      <protection/>
    </xf>
    <xf numFmtId="0" fontId="33" fillId="0" borderId="21" xfId="124" applyFont="1" applyBorder="1" applyAlignment="1">
      <alignment vertical="center" wrapText="1"/>
      <protection/>
    </xf>
    <xf numFmtId="0" fontId="27" fillId="0" borderId="17" xfId="124" applyFont="1" applyBorder="1" applyAlignment="1">
      <alignment horizontal="left" vertical="center" wrapText="1"/>
      <protection/>
    </xf>
    <xf numFmtId="0" fontId="25" fillId="0" borderId="17" xfId="124" applyFont="1" applyBorder="1" applyAlignment="1">
      <alignment horizontal="left" vertical="center" wrapText="1"/>
      <protection/>
    </xf>
    <xf numFmtId="0" fontId="33" fillId="0" borderId="17" xfId="124" applyFont="1" applyBorder="1" applyAlignment="1">
      <alignment vertical="center" wrapText="1"/>
      <protection/>
    </xf>
    <xf numFmtId="0" fontId="25" fillId="0" borderId="16" xfId="124" applyFont="1" applyBorder="1" applyAlignment="1">
      <alignment horizontal="center" vertical="center"/>
      <protection/>
    </xf>
    <xf numFmtId="0" fontId="25" fillId="0" borderId="24" xfId="124" applyFont="1" applyBorder="1" applyAlignment="1">
      <alignment horizontal="center" vertical="center" wrapText="1"/>
      <protection/>
    </xf>
    <xf numFmtId="0" fontId="25" fillId="0" borderId="17" xfId="124" applyFont="1" applyBorder="1" applyAlignment="1">
      <alignment horizontal="center" vertical="center" wrapText="1"/>
      <protection/>
    </xf>
    <xf numFmtId="0" fontId="36" fillId="0" borderId="25" xfId="109" applyFont="1" applyBorder="1" applyAlignment="1">
      <alignment horizontal="center" wrapText="1"/>
      <protection/>
    </xf>
    <xf numFmtId="0" fontId="25" fillId="0" borderId="24" xfId="124" applyFont="1" applyBorder="1" applyAlignment="1">
      <alignment horizontal="center" vertical="center"/>
      <protection/>
    </xf>
    <xf numFmtId="0" fontId="21" fillId="26" borderId="26" xfId="124" applyFont="1" applyFill="1" applyBorder="1" applyAlignment="1">
      <alignment horizontal="left" vertical="center"/>
      <protection/>
    </xf>
    <xf numFmtId="3" fontId="21" fillId="26" borderId="26" xfId="124" applyNumberFormat="1" applyFont="1" applyFill="1" applyBorder="1" applyAlignment="1">
      <alignment vertical="center"/>
      <protection/>
    </xf>
    <xf numFmtId="0" fontId="21" fillId="26" borderId="27" xfId="124" applyFont="1" applyFill="1" applyBorder="1" applyAlignment="1">
      <alignment horizontal="left" vertical="center"/>
      <protection/>
    </xf>
    <xf numFmtId="0" fontId="12" fillId="0" borderId="0" xfId="113">
      <alignment/>
      <protection/>
    </xf>
    <xf numFmtId="0" fontId="24" fillId="0" borderId="0" xfId="113" applyFont="1">
      <alignment/>
      <protection/>
    </xf>
    <xf numFmtId="0" fontId="12" fillId="0" borderId="0" xfId="109">
      <alignment/>
      <protection/>
    </xf>
    <xf numFmtId="0" fontId="35" fillId="0" borderId="0" xfId="109" applyFont="1" applyAlignment="1">
      <alignment horizontal="center" wrapText="1"/>
      <protection/>
    </xf>
    <xf numFmtId="0" fontId="35" fillId="0" borderId="0" xfId="109" applyFont="1" applyAlignment="1">
      <alignment wrapText="1"/>
      <protection/>
    </xf>
    <xf numFmtId="0" fontId="22" fillId="0" borderId="0" xfId="109" applyFont="1" applyAlignment="1">
      <alignment wrapText="1"/>
      <protection/>
    </xf>
    <xf numFmtId="0" fontId="35" fillId="0" borderId="0" xfId="109" applyFont="1" applyAlignment="1">
      <alignment horizontal="right" wrapText="1"/>
      <protection/>
    </xf>
    <xf numFmtId="0" fontId="36" fillId="0" borderId="0" xfId="109" applyFont="1" applyAlignment="1">
      <alignment horizontal="center" wrapText="1"/>
      <protection/>
    </xf>
    <xf numFmtId="0" fontId="37" fillId="0" borderId="0" xfId="109" applyFont="1" applyAlignment="1">
      <alignment horizontal="right" wrapText="1"/>
      <protection/>
    </xf>
    <xf numFmtId="0" fontId="22" fillId="0" borderId="0" xfId="109" applyFont="1" applyAlignment="1">
      <alignment horizontal="right" wrapText="1"/>
      <protection/>
    </xf>
    <xf numFmtId="0" fontId="37" fillId="0" borderId="0" xfId="109" applyFont="1" applyAlignment="1">
      <alignment wrapText="1"/>
      <protection/>
    </xf>
    <xf numFmtId="0" fontId="39" fillId="0" borderId="28" xfId="109" applyFont="1" applyBorder="1" applyAlignment="1">
      <alignment horizontal="center" wrapText="1"/>
      <protection/>
    </xf>
    <xf numFmtId="0" fontId="39" fillId="0" borderId="29" xfId="109" applyFont="1" applyBorder="1" applyAlignment="1">
      <alignment horizontal="center" wrapText="1"/>
      <protection/>
    </xf>
    <xf numFmtId="0" fontId="40" fillId="0" borderId="30" xfId="109" applyFont="1" applyBorder="1" applyAlignment="1">
      <alignment horizontal="center" wrapText="1"/>
      <protection/>
    </xf>
    <xf numFmtId="0" fontId="40" fillId="0" borderId="31" xfId="109" applyFont="1" applyBorder="1" applyAlignment="1">
      <alignment horizontal="center" wrapText="1"/>
      <protection/>
    </xf>
    <xf numFmtId="0" fontId="39" fillId="0" borderId="31" xfId="109" applyFont="1" applyBorder="1" applyAlignment="1">
      <alignment horizontal="center" wrapText="1"/>
      <protection/>
    </xf>
    <xf numFmtId="0" fontId="39" fillId="0" borderId="32" xfId="109" applyFont="1" applyBorder="1" applyAlignment="1">
      <alignment horizontal="center" wrapText="1"/>
      <protection/>
    </xf>
    <xf numFmtId="0" fontId="35" fillId="0" borderId="33" xfId="109" applyFont="1" applyBorder="1" applyAlignment="1">
      <alignment wrapText="1"/>
      <protection/>
    </xf>
    <xf numFmtId="0" fontId="35" fillId="0" borderId="34" xfId="109" applyFont="1" applyBorder="1" applyAlignment="1">
      <alignment wrapText="1"/>
      <protection/>
    </xf>
    <xf numFmtId="3" fontId="35" fillId="0" borderId="34" xfId="0" applyNumberFormat="1" applyFont="1" applyBorder="1" applyAlignment="1">
      <alignment horizontal="right" wrapText="1"/>
    </xf>
    <xf numFmtId="3" fontId="40" fillId="0" borderId="34" xfId="0" applyNumberFormat="1" applyFont="1" applyBorder="1" applyAlignment="1">
      <alignment horizontal="right" wrapText="1"/>
    </xf>
    <xf numFmtId="3" fontId="40" fillId="0" borderId="34" xfId="109" applyNumberFormat="1" applyFont="1" applyBorder="1" applyAlignment="1">
      <alignment horizontal="right" wrapText="1"/>
      <protection/>
    </xf>
    <xf numFmtId="3" fontId="40" fillId="0" borderId="35" xfId="109" applyNumberFormat="1" applyFont="1" applyBorder="1" applyAlignment="1">
      <alignment horizontal="right" wrapText="1"/>
      <protection/>
    </xf>
    <xf numFmtId="0" fontId="37" fillId="0" borderId="36" xfId="109" applyFont="1" applyBorder="1" applyAlignment="1">
      <alignment wrapText="1"/>
      <protection/>
    </xf>
    <xf numFmtId="0" fontId="37" fillId="0" borderId="21" xfId="109" applyFont="1" applyBorder="1" applyAlignment="1">
      <alignment wrapText="1"/>
      <protection/>
    </xf>
    <xf numFmtId="3" fontId="37" fillId="0" borderId="21" xfId="0" applyNumberFormat="1" applyFont="1" applyBorder="1" applyAlignment="1">
      <alignment horizontal="right" wrapText="1"/>
    </xf>
    <xf numFmtId="3" fontId="41" fillId="0" borderId="21" xfId="0" applyNumberFormat="1" applyFont="1" applyBorder="1" applyAlignment="1">
      <alignment horizontal="right" wrapText="1"/>
    </xf>
    <xf numFmtId="3" fontId="41" fillId="0" borderId="21" xfId="109" applyNumberFormat="1" applyFont="1" applyBorder="1" applyAlignment="1">
      <alignment horizontal="right" wrapText="1"/>
      <protection/>
    </xf>
    <xf numFmtId="3" fontId="41" fillId="0" borderId="37" xfId="109" applyNumberFormat="1" applyFont="1" applyBorder="1" applyAlignment="1">
      <alignment horizontal="right" wrapText="1"/>
      <protection/>
    </xf>
    <xf numFmtId="0" fontId="12" fillId="0" borderId="0" xfId="109" applyFont="1">
      <alignment/>
      <protection/>
    </xf>
    <xf numFmtId="0" fontId="24" fillId="0" borderId="21" xfId="109" applyFont="1" applyBorder="1" applyAlignment="1">
      <alignment wrapText="1"/>
      <protection/>
    </xf>
    <xf numFmtId="3" fontId="24" fillId="0" borderId="21" xfId="0" applyNumberFormat="1" applyFont="1" applyBorder="1" applyAlignment="1">
      <alignment horizontal="right" wrapText="1"/>
    </xf>
    <xf numFmtId="3" fontId="42" fillId="0" borderId="21" xfId="109" applyNumberFormat="1" applyFont="1" applyBorder="1" applyAlignment="1">
      <alignment horizontal="right" wrapText="1"/>
      <protection/>
    </xf>
    <xf numFmtId="3" fontId="42" fillId="0" borderId="37" xfId="109" applyNumberFormat="1" applyFont="1" applyBorder="1" applyAlignment="1">
      <alignment horizontal="right" wrapText="1"/>
      <protection/>
    </xf>
    <xf numFmtId="0" fontId="35" fillId="0" borderId="36" xfId="109" applyFont="1" applyBorder="1" applyAlignment="1">
      <alignment wrapText="1"/>
      <protection/>
    </xf>
    <xf numFmtId="0" fontId="35" fillId="0" borderId="21" xfId="109" applyFont="1" applyBorder="1" applyAlignment="1">
      <alignment wrapText="1"/>
      <protection/>
    </xf>
    <xf numFmtId="3" fontId="35" fillId="0" borderId="21" xfId="0" applyNumberFormat="1" applyFont="1" applyBorder="1" applyAlignment="1">
      <alignment horizontal="right" wrapText="1"/>
    </xf>
    <xf numFmtId="3" fontId="40" fillId="0" borderId="21" xfId="0" applyNumberFormat="1" applyFont="1" applyBorder="1" applyAlignment="1">
      <alignment horizontal="right" wrapText="1"/>
    </xf>
    <xf numFmtId="3" fontId="40" fillId="0" borderId="37" xfId="0" applyNumberFormat="1" applyFont="1" applyBorder="1" applyAlignment="1">
      <alignment horizontal="right" wrapText="1"/>
    </xf>
    <xf numFmtId="3" fontId="40" fillId="0" borderId="21" xfId="109" applyNumberFormat="1" applyFont="1" applyBorder="1" applyAlignment="1">
      <alignment horizontal="right" wrapText="1"/>
      <protection/>
    </xf>
    <xf numFmtId="3" fontId="40" fillId="0" borderId="37" xfId="109" applyNumberFormat="1" applyFont="1" applyBorder="1" applyAlignment="1">
      <alignment horizontal="right" wrapText="1"/>
      <protection/>
    </xf>
    <xf numFmtId="0" fontId="41" fillId="0" borderId="36" xfId="109" applyFont="1" applyBorder="1" applyAlignment="1">
      <alignment wrapText="1"/>
      <protection/>
    </xf>
    <xf numFmtId="0" fontId="41" fillId="0" borderId="21" xfId="109" applyFont="1" applyBorder="1" applyAlignment="1">
      <alignment wrapText="1"/>
      <protection/>
    </xf>
    <xf numFmtId="0" fontId="43" fillId="0" borderId="0" xfId="109" applyFont="1">
      <alignment/>
      <protection/>
    </xf>
    <xf numFmtId="164" fontId="37" fillId="0" borderId="21" xfId="74" applyNumberFormat="1" applyFont="1" applyBorder="1" applyAlignment="1">
      <alignment horizontal="right" wrapText="1"/>
    </xf>
    <xf numFmtId="3" fontId="37" fillId="0" borderId="34" xfId="0" applyNumberFormat="1" applyFont="1" applyBorder="1" applyAlignment="1">
      <alignment horizontal="right" wrapText="1"/>
    </xf>
    <xf numFmtId="3" fontId="41" fillId="0" borderId="34" xfId="0" applyNumberFormat="1" applyFont="1" applyBorder="1" applyAlignment="1">
      <alignment horizontal="right" wrapText="1"/>
    </xf>
    <xf numFmtId="3" fontId="41" fillId="0" borderId="34" xfId="109" applyNumberFormat="1" applyFont="1" applyBorder="1" applyAlignment="1">
      <alignment horizontal="right" wrapText="1"/>
      <protection/>
    </xf>
    <xf numFmtId="3" fontId="41" fillId="0" borderId="35" xfId="109" applyNumberFormat="1" applyFont="1" applyBorder="1" applyAlignment="1">
      <alignment horizontal="right" wrapText="1"/>
      <protection/>
    </xf>
    <xf numFmtId="0" fontId="35" fillId="0" borderId="21" xfId="0" applyFont="1" applyBorder="1" applyAlignment="1">
      <alignment horizontal="right" wrapText="1"/>
    </xf>
    <xf numFmtId="0" fontId="37" fillId="0" borderId="21" xfId="0" applyFont="1" applyBorder="1" applyAlignment="1">
      <alignment wrapText="1"/>
    </xf>
    <xf numFmtId="3" fontId="35" fillId="0" borderId="21" xfId="0" applyNumberFormat="1" applyFont="1" applyBorder="1" applyAlignment="1">
      <alignment wrapText="1"/>
    </xf>
    <xf numFmtId="3" fontId="40" fillId="0" borderId="21" xfId="0" applyNumberFormat="1" applyFont="1" applyBorder="1" applyAlignment="1">
      <alignment wrapText="1"/>
    </xf>
    <xf numFmtId="3" fontId="40" fillId="0" borderId="21" xfId="109" applyNumberFormat="1" applyFont="1" applyBorder="1" applyAlignment="1">
      <alignment wrapText="1"/>
      <protection/>
    </xf>
    <xf numFmtId="3" fontId="40" fillId="0" borderId="37" xfId="109" applyNumberFormat="1" applyFont="1" applyBorder="1" applyAlignment="1">
      <alignment wrapText="1"/>
      <protection/>
    </xf>
    <xf numFmtId="0" fontId="44" fillId="0" borderId="36" xfId="109" applyFont="1" applyBorder="1" applyAlignment="1">
      <alignment wrapText="1"/>
      <protection/>
    </xf>
    <xf numFmtId="0" fontId="44" fillId="0" borderId="21" xfId="109" applyFont="1" applyBorder="1" applyAlignment="1">
      <alignment wrapText="1"/>
      <protection/>
    </xf>
    <xf numFmtId="3" fontId="44" fillId="0" borderId="21" xfId="0" applyNumberFormat="1" applyFont="1" applyBorder="1" applyAlignment="1">
      <alignment horizontal="right" wrapText="1"/>
    </xf>
    <xf numFmtId="3" fontId="22" fillId="0" borderId="21" xfId="0" applyNumberFormat="1" applyFont="1" applyBorder="1" applyAlignment="1">
      <alignment horizontal="right" wrapText="1"/>
    </xf>
    <xf numFmtId="0" fontId="44" fillId="0" borderId="38" xfId="109" applyFont="1" applyBorder="1" applyAlignment="1">
      <alignment wrapText="1"/>
      <protection/>
    </xf>
    <xf numFmtId="0" fontId="44" fillId="0" borderId="39" xfId="109" applyFont="1" applyBorder="1" applyAlignment="1">
      <alignment wrapText="1"/>
      <protection/>
    </xf>
    <xf numFmtId="3" fontId="44" fillId="0" borderId="39" xfId="0" applyNumberFormat="1" applyFont="1" applyBorder="1" applyAlignment="1">
      <alignment horizontal="right" wrapText="1"/>
    </xf>
    <xf numFmtId="3" fontId="40" fillId="0" borderId="39" xfId="0" applyNumberFormat="1" applyFont="1" applyBorder="1" applyAlignment="1">
      <alignment horizontal="right" wrapText="1"/>
    </xf>
    <xf numFmtId="3" fontId="40" fillId="0" borderId="39" xfId="109" applyNumberFormat="1" applyFont="1" applyBorder="1" applyAlignment="1">
      <alignment horizontal="right" wrapText="1"/>
      <protection/>
    </xf>
    <xf numFmtId="3" fontId="40" fillId="0" borderId="40" xfId="109" applyNumberFormat="1" applyFont="1" applyBorder="1" applyAlignment="1">
      <alignment horizontal="right" wrapText="1"/>
      <protection/>
    </xf>
    <xf numFmtId="0" fontId="45" fillId="0" borderId="0" xfId="109" applyFont="1">
      <alignment/>
      <protection/>
    </xf>
    <xf numFmtId="0" fontId="20" fillId="0" borderId="0" xfId="109" applyFont="1" applyAlignment="1">
      <alignment wrapText="1"/>
      <protection/>
    </xf>
    <xf numFmtId="0" fontId="46" fillId="0" borderId="0" xfId="109" applyFont="1">
      <alignment/>
      <protection/>
    </xf>
    <xf numFmtId="0" fontId="33" fillId="0" borderId="0" xfId="109" applyFont="1">
      <alignment/>
      <protection/>
    </xf>
    <xf numFmtId="0" fontId="24" fillId="0" borderId="0" xfId="109" applyFont="1">
      <alignment/>
      <protection/>
    </xf>
    <xf numFmtId="0" fontId="26" fillId="0" borderId="21" xfId="109" applyFont="1" applyBorder="1" applyAlignment="1">
      <alignment wrapText="1"/>
      <protection/>
    </xf>
    <xf numFmtId="0" fontId="37" fillId="0" borderId="33" xfId="109" applyFont="1" applyBorder="1" applyAlignment="1">
      <alignment wrapText="1"/>
      <protection/>
    </xf>
    <xf numFmtId="0" fontId="37" fillId="0" borderId="34" xfId="109" applyFont="1" applyBorder="1" applyAlignment="1">
      <alignment wrapText="1"/>
      <protection/>
    </xf>
    <xf numFmtId="3" fontId="41" fillId="0" borderId="37" xfId="0" applyNumberFormat="1" applyFont="1" applyBorder="1" applyAlignment="1">
      <alignment horizontal="right" wrapText="1"/>
    </xf>
    <xf numFmtId="164" fontId="37" fillId="0" borderId="21" xfId="78" applyNumberFormat="1" applyFont="1" applyBorder="1" applyAlignment="1">
      <alignment horizontal="right" wrapText="1"/>
    </xf>
    <xf numFmtId="3" fontId="37" fillId="0" borderId="37" xfId="0" applyNumberFormat="1" applyFont="1" applyBorder="1" applyAlignment="1">
      <alignment horizontal="right" wrapText="1"/>
    </xf>
    <xf numFmtId="164" fontId="41" fillId="0" borderId="21" xfId="78" applyNumberFormat="1" applyFont="1" applyBorder="1" applyAlignment="1">
      <alignment horizontal="right" wrapText="1"/>
    </xf>
    <xf numFmtId="164" fontId="41" fillId="0" borderId="21" xfId="78" applyNumberFormat="1" applyFont="1" applyFill="1" applyBorder="1" applyAlignment="1">
      <alignment horizontal="right" wrapText="1"/>
    </xf>
    <xf numFmtId="164" fontId="41" fillId="0" borderId="37" xfId="78" applyNumberFormat="1" applyFont="1" applyBorder="1" applyAlignment="1">
      <alignment horizontal="right" wrapText="1"/>
    </xf>
    <xf numFmtId="0" fontId="47" fillId="0" borderId="36" xfId="109" applyFont="1" applyBorder="1" applyAlignment="1">
      <alignment wrapText="1"/>
      <protection/>
    </xf>
    <xf numFmtId="0" fontId="47" fillId="0" borderId="21" xfId="109" applyFont="1" applyBorder="1" applyAlignment="1">
      <alignment wrapText="1"/>
      <protection/>
    </xf>
    <xf numFmtId="3" fontId="48" fillId="0" borderId="21" xfId="0" applyNumberFormat="1" applyFont="1" applyBorder="1" applyAlignment="1">
      <alignment horizontal="right" wrapText="1"/>
    </xf>
    <xf numFmtId="0" fontId="49" fillId="0" borderId="0" xfId="109" applyFont="1">
      <alignment/>
      <protection/>
    </xf>
    <xf numFmtId="0" fontId="47" fillId="0" borderId="38" xfId="109" applyFont="1" applyBorder="1" applyAlignment="1">
      <alignment wrapText="1"/>
      <protection/>
    </xf>
    <xf numFmtId="0" fontId="47" fillId="0" borderId="39" xfId="109" applyFont="1" applyBorder="1" applyAlignment="1">
      <alignment wrapText="1"/>
      <protection/>
    </xf>
    <xf numFmtId="3" fontId="48" fillId="0" borderId="39" xfId="0" applyNumberFormat="1" applyFont="1" applyBorder="1" applyAlignment="1">
      <alignment horizontal="right" wrapText="1"/>
    </xf>
    <xf numFmtId="3" fontId="12" fillId="0" borderId="0" xfId="109" applyNumberFormat="1">
      <alignment/>
      <protection/>
    </xf>
    <xf numFmtId="0" fontId="50" fillId="0" borderId="0" xfId="109" applyFont="1" applyAlignment="1">
      <alignment wrapText="1"/>
      <protection/>
    </xf>
    <xf numFmtId="0" fontId="18" fillId="0" borderId="0" xfId="122" applyAlignment="1" applyProtection="1">
      <alignment horizontal="right"/>
      <protection locked="0"/>
    </xf>
    <xf numFmtId="0" fontId="18" fillId="0" borderId="0" xfId="122">
      <alignment/>
      <protection/>
    </xf>
    <xf numFmtId="0" fontId="51" fillId="0" borderId="0" xfId="122" applyFont="1" applyAlignment="1" applyProtection="1">
      <alignment horizontal="center" vertical="center" wrapText="1"/>
      <protection locked="0"/>
    </xf>
    <xf numFmtId="0" fontId="52" fillId="0" borderId="0" xfId="122" applyFont="1" applyAlignment="1" applyProtection="1">
      <alignment horizontal="center" vertical="center" wrapText="1"/>
      <protection locked="0"/>
    </xf>
    <xf numFmtId="0" fontId="23" fillId="0" borderId="0" xfId="122" applyFont="1" applyAlignment="1">
      <alignment horizontal="center" wrapText="1"/>
      <protection/>
    </xf>
    <xf numFmtId="0" fontId="23" fillId="0" borderId="0" xfId="122" applyFont="1" applyAlignment="1">
      <alignment horizontal="right" wrapText="1"/>
      <protection/>
    </xf>
    <xf numFmtId="0" fontId="53" fillId="0" borderId="0" xfId="122" applyFont="1" applyAlignment="1" applyProtection="1">
      <alignment horizontal="center" vertical="center"/>
      <protection locked="0"/>
    </xf>
    <xf numFmtId="0" fontId="24" fillId="0" borderId="0" xfId="122" applyFont="1" applyAlignment="1">
      <alignment horizontal="right" wrapText="1"/>
      <protection/>
    </xf>
    <xf numFmtId="0" fontId="35" fillId="0" borderId="26" xfId="113" applyFont="1" applyBorder="1" applyAlignment="1">
      <alignment horizontal="center" wrapText="1"/>
      <protection/>
    </xf>
    <xf numFmtId="0" fontId="35" fillId="0" borderId="41" xfId="113" applyFont="1" applyBorder="1" applyAlignment="1">
      <alignment horizontal="center" wrapText="1"/>
      <protection/>
    </xf>
    <xf numFmtId="0" fontId="40" fillId="0" borderId="33" xfId="113" applyFont="1" applyBorder="1" applyAlignment="1">
      <alignment horizontal="center" wrapText="1"/>
      <protection/>
    </xf>
    <xf numFmtId="0" fontId="40" fillId="0" borderId="34" xfId="113" applyFont="1" applyBorder="1" applyAlignment="1">
      <alignment horizontal="center" wrapText="1"/>
      <protection/>
    </xf>
    <xf numFmtId="0" fontId="40" fillId="0" borderId="42" xfId="113" applyFont="1" applyBorder="1" applyAlignment="1">
      <alignment horizontal="center" wrapText="1"/>
      <protection/>
    </xf>
    <xf numFmtId="0" fontId="40" fillId="0" borderId="35" xfId="113" applyFont="1" applyBorder="1" applyAlignment="1">
      <alignment horizontal="center" wrapText="1"/>
      <protection/>
    </xf>
    <xf numFmtId="0" fontId="55" fillId="0" borderId="36" xfId="113" applyFont="1" applyBorder="1" applyAlignment="1">
      <alignment wrapText="1"/>
      <protection/>
    </xf>
    <xf numFmtId="0" fontId="55" fillId="0" borderId="21" xfId="113" applyFont="1" applyBorder="1" applyAlignment="1">
      <alignment wrapText="1"/>
      <protection/>
    </xf>
    <xf numFmtId="3" fontId="55" fillId="0" borderId="21" xfId="78" applyNumberFormat="1" applyFont="1" applyBorder="1" applyAlignment="1">
      <alignment horizontal="right" wrapText="1"/>
    </xf>
    <xf numFmtId="3" fontId="55" fillId="0" borderId="37" xfId="78" applyNumberFormat="1" applyFont="1" applyBorder="1" applyAlignment="1">
      <alignment horizontal="right" wrapText="1"/>
    </xf>
    <xf numFmtId="0" fontId="24" fillId="0" borderId="36" xfId="122" applyFont="1" applyBorder="1" applyProtection="1">
      <alignment/>
      <protection locked="0"/>
    </xf>
    <xf numFmtId="0" fontId="24" fillId="0" borderId="21" xfId="122" applyFont="1" applyBorder="1" applyProtection="1">
      <alignment/>
      <protection locked="0"/>
    </xf>
    <xf numFmtId="3" fontId="24" fillId="0" borderId="21" xfId="78" applyNumberFormat="1" applyFont="1" applyBorder="1" applyAlignment="1">
      <alignment/>
    </xf>
    <xf numFmtId="3" fontId="24" fillId="0" borderId="37" xfId="78" applyNumberFormat="1" applyFont="1" applyBorder="1" applyAlignment="1">
      <alignment/>
    </xf>
    <xf numFmtId="3" fontId="55" fillId="0" borderId="21" xfId="78" applyNumberFormat="1" applyFont="1" applyBorder="1" applyAlignment="1">
      <alignment wrapText="1"/>
    </xf>
    <xf numFmtId="0" fontId="37" fillId="0" borderId="36" xfId="113" applyFont="1" applyBorder="1" applyAlignment="1">
      <alignment wrapText="1"/>
      <protection/>
    </xf>
    <xf numFmtId="0" fontId="37" fillId="0" borderId="21" xfId="113" applyFont="1" applyBorder="1" applyAlignment="1">
      <alignment wrapText="1"/>
      <protection/>
    </xf>
    <xf numFmtId="3" fontId="37" fillId="0" borderId="21" xfId="78" applyNumberFormat="1" applyFont="1" applyBorder="1" applyAlignment="1">
      <alignment wrapText="1"/>
    </xf>
    <xf numFmtId="0" fontId="35" fillId="0" borderId="36" xfId="113" applyFont="1" applyBorder="1" applyAlignment="1">
      <alignment wrapText="1"/>
      <protection/>
    </xf>
    <xf numFmtId="0" fontId="35" fillId="0" borderId="21" xfId="113" applyFont="1" applyBorder="1" applyAlignment="1">
      <alignment wrapText="1"/>
      <protection/>
    </xf>
    <xf numFmtId="3" fontId="35" fillId="0" borderId="21" xfId="78" applyNumberFormat="1" applyFont="1" applyBorder="1" applyAlignment="1">
      <alignment wrapText="1"/>
    </xf>
    <xf numFmtId="3" fontId="35" fillId="0" borderId="37" xfId="78" applyNumberFormat="1" applyFont="1" applyBorder="1" applyAlignment="1">
      <alignment wrapText="1"/>
    </xf>
    <xf numFmtId="3" fontId="26" fillId="0" borderId="21" xfId="78" applyNumberFormat="1" applyFont="1" applyBorder="1" applyAlignment="1">
      <alignment/>
    </xf>
    <xf numFmtId="3" fontId="26" fillId="0" borderId="37" xfId="78" applyNumberFormat="1" applyFont="1" applyBorder="1" applyAlignment="1">
      <alignment/>
    </xf>
    <xf numFmtId="3" fontId="56" fillId="0" borderId="21" xfId="78" applyNumberFormat="1" applyFont="1" applyBorder="1" applyAlignment="1">
      <alignment/>
    </xf>
    <xf numFmtId="3" fontId="56" fillId="0" borderId="37" xfId="78" applyNumberFormat="1" applyFont="1" applyBorder="1" applyAlignment="1">
      <alignment/>
    </xf>
    <xf numFmtId="3" fontId="24" fillId="0" borderId="21" xfId="78" applyNumberFormat="1" applyFont="1" applyBorder="1" applyAlignment="1" applyProtection="1">
      <alignment/>
      <protection locked="0"/>
    </xf>
    <xf numFmtId="0" fontId="44" fillId="0" borderId="38" xfId="113" applyFont="1" applyBorder="1" applyAlignment="1">
      <alignment wrapText="1"/>
      <protection/>
    </xf>
    <xf numFmtId="0" fontId="44" fillId="0" borderId="39" xfId="113" applyFont="1" applyBorder="1" applyAlignment="1">
      <alignment wrapText="1"/>
      <protection/>
    </xf>
    <xf numFmtId="3" fontId="44" fillId="0" borderId="39" xfId="78" applyNumberFormat="1" applyFont="1" applyBorder="1" applyAlignment="1">
      <alignment wrapText="1"/>
    </xf>
    <xf numFmtId="3" fontId="25" fillId="0" borderId="39" xfId="78" applyNumberFormat="1" applyFont="1" applyBorder="1" applyAlignment="1">
      <alignment/>
    </xf>
    <xf numFmtId="3" fontId="25" fillId="0" borderId="40" xfId="78" applyNumberFormat="1" applyFont="1" applyBorder="1" applyAlignment="1">
      <alignment/>
    </xf>
    <xf numFmtId="0" fontId="44" fillId="0" borderId="0" xfId="113" applyFont="1" applyAlignment="1">
      <alignment wrapText="1"/>
      <protection/>
    </xf>
    <xf numFmtId="3" fontId="44" fillId="0" borderId="0" xfId="113" applyNumberFormat="1" applyFont="1" applyAlignment="1">
      <alignment wrapText="1"/>
      <protection/>
    </xf>
    <xf numFmtId="3" fontId="24" fillId="0" borderId="0" xfId="122" applyNumberFormat="1" applyFont="1">
      <alignment/>
      <protection/>
    </xf>
    <xf numFmtId="0" fontId="24" fillId="0" borderId="43" xfId="122" applyFont="1" applyBorder="1">
      <alignment/>
      <protection/>
    </xf>
    <xf numFmtId="0" fontId="25" fillId="0" borderId="43" xfId="122" applyFont="1" applyBorder="1">
      <alignment/>
      <protection/>
    </xf>
    <xf numFmtId="3" fontId="25" fillId="0" borderId="43" xfId="122" applyNumberFormat="1" applyFont="1" applyBorder="1">
      <alignment/>
      <protection/>
    </xf>
    <xf numFmtId="3" fontId="24" fillId="0" borderId="43" xfId="122" applyNumberFormat="1" applyFont="1" applyBorder="1">
      <alignment/>
      <protection/>
    </xf>
    <xf numFmtId="0" fontId="40" fillId="0" borderId="30" xfId="113" applyFont="1" applyBorder="1" applyAlignment="1">
      <alignment horizontal="center" wrapText="1"/>
      <protection/>
    </xf>
    <xf numFmtId="0" fontId="40" fillId="0" borderId="31" xfId="113" applyFont="1" applyBorder="1" applyAlignment="1">
      <alignment horizontal="center" wrapText="1"/>
      <protection/>
    </xf>
    <xf numFmtId="3" fontId="40" fillId="0" borderId="31" xfId="113" applyNumberFormat="1" applyFont="1" applyBorder="1" applyAlignment="1">
      <alignment horizontal="center" wrapText="1"/>
      <protection/>
    </xf>
    <xf numFmtId="3" fontId="40" fillId="0" borderId="44" xfId="113" applyNumberFormat="1" applyFont="1" applyBorder="1" applyAlignment="1">
      <alignment horizontal="center" wrapText="1"/>
      <protection/>
    </xf>
    <xf numFmtId="3" fontId="40" fillId="0" borderId="32" xfId="113" applyNumberFormat="1" applyFont="1" applyBorder="1" applyAlignment="1">
      <alignment horizontal="center" wrapText="1"/>
      <protection/>
    </xf>
    <xf numFmtId="3" fontId="55" fillId="0" borderId="21" xfId="113" applyNumberFormat="1" applyFont="1" applyBorder="1" applyAlignment="1">
      <alignment wrapText="1"/>
      <protection/>
    </xf>
    <xf numFmtId="3" fontId="55" fillId="0" borderId="21" xfId="113" applyNumberFormat="1" applyFont="1" applyBorder="1" applyAlignment="1">
      <alignment horizontal="right" wrapText="1"/>
      <protection/>
    </xf>
    <xf numFmtId="3" fontId="55" fillId="0" borderId="37" xfId="113" applyNumberFormat="1" applyFont="1" applyBorder="1" applyAlignment="1">
      <alignment horizontal="right" wrapText="1"/>
      <protection/>
    </xf>
    <xf numFmtId="3" fontId="37" fillId="0" borderId="21" xfId="113" applyNumberFormat="1" applyFont="1" applyBorder="1" applyAlignment="1">
      <alignment wrapText="1"/>
      <protection/>
    </xf>
    <xf numFmtId="3" fontId="24" fillId="0" borderId="21" xfId="122" applyNumberFormat="1" applyFont="1" applyBorder="1">
      <alignment/>
      <protection/>
    </xf>
    <xf numFmtId="3" fontId="24" fillId="0" borderId="37" xfId="122" applyNumberFormat="1" applyFont="1" applyBorder="1">
      <alignment/>
      <protection/>
    </xf>
    <xf numFmtId="0" fontId="56" fillId="0" borderId="21" xfId="113" applyFont="1" applyBorder="1" applyAlignment="1">
      <alignment wrapText="1"/>
      <protection/>
    </xf>
    <xf numFmtId="3" fontId="56" fillId="0" borderId="21" xfId="113" applyNumberFormat="1" applyFont="1" applyBorder="1" applyAlignment="1">
      <alignment wrapText="1"/>
      <protection/>
    </xf>
    <xf numFmtId="3" fontId="56" fillId="0" borderId="21" xfId="122" applyNumberFormat="1" applyFont="1" applyBorder="1">
      <alignment/>
      <protection/>
    </xf>
    <xf numFmtId="3" fontId="56" fillId="0" borderId="37" xfId="122" applyNumberFormat="1" applyFont="1" applyBorder="1">
      <alignment/>
      <protection/>
    </xf>
    <xf numFmtId="0" fontId="57" fillId="0" borderId="36" xfId="113" applyFont="1" applyBorder="1" applyAlignment="1">
      <alignment wrapText="1"/>
      <protection/>
    </xf>
    <xf numFmtId="0" fontId="57" fillId="0" borderId="21" xfId="113" applyFont="1" applyBorder="1" applyAlignment="1">
      <alignment wrapText="1"/>
      <protection/>
    </xf>
    <xf numFmtId="3" fontId="57" fillId="0" borderId="21" xfId="113" applyNumberFormat="1" applyFont="1" applyBorder="1" applyAlignment="1">
      <alignment wrapText="1"/>
      <protection/>
    </xf>
    <xf numFmtId="3" fontId="57" fillId="0" borderId="37" xfId="113" applyNumberFormat="1" applyFont="1" applyBorder="1" applyAlignment="1">
      <alignment wrapText="1"/>
      <protection/>
    </xf>
    <xf numFmtId="3" fontId="44" fillId="0" borderId="39" xfId="113" applyNumberFormat="1" applyFont="1" applyBorder="1" applyAlignment="1">
      <alignment wrapText="1"/>
      <protection/>
    </xf>
    <xf numFmtId="3" fontId="25" fillId="0" borderId="0" xfId="122" applyNumberFormat="1" applyFont="1">
      <alignment/>
      <protection/>
    </xf>
    <xf numFmtId="0" fontId="24" fillId="0" borderId="0" xfId="122" applyFont="1">
      <alignment/>
      <protection/>
    </xf>
    <xf numFmtId="0" fontId="25" fillId="0" borderId="0" xfId="122" applyFont="1">
      <alignment/>
      <protection/>
    </xf>
    <xf numFmtId="0" fontId="58" fillId="0" borderId="45" xfId="113" applyFont="1" applyBorder="1" applyAlignment="1">
      <alignment horizontal="left" vertical="center"/>
      <protection/>
    </xf>
    <xf numFmtId="0" fontId="59" fillId="0" borderId="46" xfId="113" applyFont="1" applyBorder="1" applyAlignment="1">
      <alignment vertical="center" wrapText="1"/>
      <protection/>
    </xf>
    <xf numFmtId="0" fontId="53" fillId="0" borderId="47" xfId="122" applyFont="1" applyBorder="1" applyAlignment="1" applyProtection="1">
      <alignment horizontal="center" vertical="center"/>
      <protection locked="0"/>
    </xf>
    <xf numFmtId="0" fontId="24" fillId="0" borderId="47" xfId="122" applyFont="1" applyBorder="1" applyAlignment="1">
      <alignment horizontal="right" wrapText="1"/>
      <protection/>
    </xf>
    <xf numFmtId="0" fontId="35" fillId="0" borderId="26" xfId="109" applyFont="1" applyBorder="1" applyAlignment="1">
      <alignment horizontal="center" wrapText="1"/>
      <protection/>
    </xf>
    <xf numFmtId="0" fontId="35" fillId="0" borderId="41" xfId="109" applyFont="1" applyBorder="1" applyAlignment="1">
      <alignment horizontal="center" wrapText="1"/>
      <protection/>
    </xf>
    <xf numFmtId="0" fontId="40" fillId="0" borderId="48" xfId="109" applyFont="1" applyBorder="1" applyAlignment="1">
      <alignment horizontal="center" wrapText="1"/>
      <protection/>
    </xf>
    <xf numFmtId="0" fontId="40" fillId="0" borderId="34" xfId="109" applyFont="1" applyBorder="1" applyAlignment="1">
      <alignment horizontal="center" wrapText="1"/>
      <protection/>
    </xf>
    <xf numFmtId="0" fontId="40" fillId="0" borderId="49" xfId="109" applyFont="1" applyBorder="1" applyAlignment="1">
      <alignment horizontal="center" wrapText="1"/>
      <protection/>
    </xf>
    <xf numFmtId="0" fontId="55" fillId="0" borderId="20" xfId="109" applyFont="1" applyBorder="1" applyAlignment="1">
      <alignment wrapText="1"/>
      <protection/>
    </xf>
    <xf numFmtId="0" fontId="55" fillId="0" borderId="21" xfId="109" applyFont="1" applyBorder="1" applyAlignment="1">
      <alignment wrapText="1"/>
      <protection/>
    </xf>
    <xf numFmtId="3" fontId="55" fillId="0" borderId="21" xfId="79" applyNumberFormat="1" applyFont="1" applyBorder="1" applyAlignment="1">
      <alignment wrapText="1"/>
    </xf>
    <xf numFmtId="3" fontId="55" fillId="0" borderId="21" xfId="79" applyNumberFormat="1" applyFont="1" applyBorder="1" applyAlignment="1">
      <alignment horizontal="right" wrapText="1"/>
    </xf>
    <xf numFmtId="3" fontId="55" fillId="0" borderId="22" xfId="79" applyNumberFormat="1" applyFont="1" applyBorder="1" applyAlignment="1">
      <alignment horizontal="right" wrapText="1"/>
    </xf>
    <xf numFmtId="0" fontId="37" fillId="0" borderId="20" xfId="109" applyFont="1" applyBorder="1" applyAlignment="1">
      <alignment wrapText="1"/>
      <protection/>
    </xf>
    <xf numFmtId="3" fontId="37" fillId="0" borderId="21" xfId="79" applyNumberFormat="1" applyFont="1" applyBorder="1" applyAlignment="1">
      <alignment wrapText="1"/>
    </xf>
    <xf numFmtId="3" fontId="24" fillId="0" borderId="21" xfId="79" applyNumberFormat="1" applyFont="1" applyBorder="1" applyAlignment="1">
      <alignment/>
    </xf>
    <xf numFmtId="3" fontId="24" fillId="0" borderId="22" xfId="79" applyNumberFormat="1" applyFont="1" applyBorder="1" applyAlignment="1">
      <alignment/>
    </xf>
    <xf numFmtId="0" fontId="35" fillId="0" borderId="20" xfId="109" applyFont="1" applyBorder="1" applyAlignment="1">
      <alignment wrapText="1"/>
      <protection/>
    </xf>
    <xf numFmtId="3" fontId="35" fillId="0" borderId="21" xfId="79" applyNumberFormat="1" applyFont="1" applyBorder="1" applyAlignment="1">
      <alignment wrapText="1"/>
    </xf>
    <xf numFmtId="3" fontId="35" fillId="0" borderId="22" xfId="79" applyNumberFormat="1" applyFont="1" applyBorder="1" applyAlignment="1">
      <alignment wrapText="1"/>
    </xf>
    <xf numFmtId="3" fontId="56" fillId="0" borderId="21" xfId="79" applyNumberFormat="1" applyFont="1" applyBorder="1" applyAlignment="1">
      <alignment/>
    </xf>
    <xf numFmtId="3" fontId="56" fillId="0" borderId="22" xfId="79" applyNumberFormat="1" applyFont="1" applyBorder="1" applyAlignment="1">
      <alignment/>
    </xf>
    <xf numFmtId="0" fontId="24" fillId="0" borderId="20" xfId="122" applyFont="1" applyBorder="1" applyProtection="1">
      <alignment/>
      <protection locked="0"/>
    </xf>
    <xf numFmtId="3" fontId="24" fillId="0" borderId="21" xfId="79" applyNumberFormat="1" applyFont="1" applyBorder="1" applyAlignment="1" applyProtection="1">
      <alignment/>
      <protection locked="0"/>
    </xf>
    <xf numFmtId="0" fontId="44" fillId="0" borderId="50" xfId="109" applyFont="1" applyBorder="1" applyAlignment="1">
      <alignment wrapText="1"/>
      <protection/>
    </xf>
    <xf numFmtId="0" fontId="44" fillId="0" borderId="26" xfId="109" applyFont="1" applyBorder="1" applyAlignment="1">
      <alignment wrapText="1"/>
      <protection/>
    </xf>
    <xf numFmtId="3" fontId="44" fillId="0" borderId="26" xfId="79" applyNumberFormat="1" applyFont="1" applyBorder="1" applyAlignment="1">
      <alignment wrapText="1"/>
    </xf>
    <xf numFmtId="3" fontId="25" fillId="0" borderId="26" xfId="79" applyNumberFormat="1" applyFont="1" applyBorder="1" applyAlignment="1">
      <alignment/>
    </xf>
    <xf numFmtId="3" fontId="25" fillId="0" borderId="41" xfId="79" applyNumberFormat="1" applyFont="1" applyBorder="1" applyAlignment="1">
      <alignment/>
    </xf>
    <xf numFmtId="0" fontId="44" fillId="0" borderId="0" xfId="109" applyFont="1" applyAlignment="1">
      <alignment wrapText="1"/>
      <protection/>
    </xf>
    <xf numFmtId="3" fontId="44" fillId="0" borderId="0" xfId="109" applyNumberFormat="1" applyFont="1" applyAlignment="1">
      <alignment wrapText="1"/>
      <protection/>
    </xf>
    <xf numFmtId="3" fontId="40" fillId="0" borderId="31" xfId="109" applyNumberFormat="1" applyFont="1" applyBorder="1" applyAlignment="1">
      <alignment horizontal="center" wrapText="1"/>
      <protection/>
    </xf>
    <xf numFmtId="0" fontId="55" fillId="0" borderId="36" xfId="109" applyFont="1" applyBorder="1" applyAlignment="1">
      <alignment wrapText="1"/>
      <protection/>
    </xf>
    <xf numFmtId="3" fontId="55" fillId="0" borderId="21" xfId="109" applyNumberFormat="1" applyFont="1" applyBorder="1" applyAlignment="1">
      <alignment wrapText="1"/>
      <protection/>
    </xf>
    <xf numFmtId="3" fontId="55" fillId="0" borderId="21" xfId="109" applyNumberFormat="1" applyFont="1" applyBorder="1" applyAlignment="1">
      <alignment horizontal="right" wrapText="1"/>
      <protection/>
    </xf>
    <xf numFmtId="3" fontId="37" fillId="0" borderId="21" xfId="109" applyNumberFormat="1" applyFont="1" applyBorder="1" applyAlignment="1">
      <alignment wrapText="1"/>
      <protection/>
    </xf>
    <xf numFmtId="0" fontId="56" fillId="0" borderId="21" xfId="109" applyFont="1" applyBorder="1" applyAlignment="1">
      <alignment wrapText="1"/>
      <protection/>
    </xf>
    <xf numFmtId="3" fontId="56" fillId="0" borderId="21" xfId="109" applyNumberFormat="1" applyFont="1" applyBorder="1" applyAlignment="1">
      <alignment wrapText="1"/>
      <protection/>
    </xf>
    <xf numFmtId="0" fontId="57" fillId="0" borderId="36" xfId="109" applyFont="1" applyBorder="1" applyAlignment="1">
      <alignment wrapText="1"/>
      <protection/>
    </xf>
    <xf numFmtId="0" fontId="57" fillId="0" borderId="21" xfId="109" applyFont="1" applyBorder="1" applyAlignment="1">
      <alignment wrapText="1"/>
      <protection/>
    </xf>
    <xf numFmtId="3" fontId="57" fillId="0" borderId="21" xfId="109" applyNumberFormat="1" applyFont="1" applyBorder="1" applyAlignment="1">
      <alignment wrapText="1"/>
      <protection/>
    </xf>
    <xf numFmtId="3" fontId="37" fillId="0" borderId="17" xfId="109" applyNumberFormat="1" applyFont="1" applyBorder="1" applyAlignment="1">
      <alignment wrapText="1"/>
      <protection/>
    </xf>
    <xf numFmtId="3" fontId="57" fillId="0" borderId="17" xfId="109" applyNumberFormat="1" applyFont="1" applyBorder="1" applyAlignment="1">
      <alignment wrapText="1"/>
      <protection/>
    </xf>
    <xf numFmtId="3" fontId="44" fillId="0" borderId="39" xfId="109" applyNumberFormat="1" applyFont="1" applyBorder="1" applyAlignment="1">
      <alignment wrapText="1"/>
      <protection/>
    </xf>
    <xf numFmtId="3" fontId="25" fillId="0" borderId="39" xfId="122" applyNumberFormat="1" applyFont="1" applyBorder="1">
      <alignment/>
      <protection/>
    </xf>
    <xf numFmtId="0" fontId="12" fillId="0" borderId="0" xfId="109" applyAlignment="1">
      <alignment vertical="center" wrapText="1"/>
      <protection/>
    </xf>
    <xf numFmtId="0" fontId="58" fillId="0" borderId="45" xfId="109" applyFont="1" applyBorder="1" applyAlignment="1">
      <alignment horizontal="left" vertical="center"/>
      <protection/>
    </xf>
    <xf numFmtId="0" fontId="59" fillId="0" borderId="46" xfId="109" applyFont="1" applyBorder="1" applyAlignment="1">
      <alignment vertical="center" wrapText="1"/>
      <protection/>
    </xf>
    <xf numFmtId="0" fontId="59" fillId="0" borderId="51" xfId="109" applyFont="1" applyBorder="1" applyAlignment="1">
      <alignment vertical="center" wrapText="1"/>
      <protection/>
    </xf>
    <xf numFmtId="167" fontId="59" fillId="0" borderId="52" xfId="109" applyNumberFormat="1" applyFont="1" applyBorder="1" applyAlignment="1" applyProtection="1">
      <alignment horizontal="right" vertical="center" wrapText="1" indent="1"/>
      <protection locked="0"/>
    </xf>
    <xf numFmtId="3" fontId="59" fillId="0" borderId="52" xfId="109" applyNumberFormat="1" applyFont="1" applyBorder="1" applyAlignment="1" applyProtection="1">
      <alignment horizontal="right" vertical="center" wrapText="1" indent="1"/>
      <protection locked="0"/>
    </xf>
    <xf numFmtId="0" fontId="36" fillId="0" borderId="53" xfId="109" applyFont="1" applyBorder="1" applyAlignment="1">
      <alignment horizontal="center" wrapText="1"/>
      <protection/>
    </xf>
    <xf numFmtId="0" fontId="37" fillId="0" borderId="0" xfId="109" applyFont="1" applyBorder="1" applyAlignment="1">
      <alignment horizontal="right" wrapText="1"/>
      <protection/>
    </xf>
    <xf numFmtId="3" fontId="55" fillId="0" borderId="0" xfId="79" applyNumberFormat="1" applyFont="1" applyBorder="1" applyAlignment="1">
      <alignment horizontal="right" wrapText="1"/>
    </xf>
    <xf numFmtId="3" fontId="24" fillId="0" borderId="0" xfId="79" applyNumberFormat="1" applyFont="1" applyBorder="1" applyAlignment="1">
      <alignment/>
    </xf>
    <xf numFmtId="3" fontId="35" fillId="0" borderId="0" xfId="79" applyNumberFormat="1" applyFont="1" applyBorder="1" applyAlignment="1">
      <alignment wrapText="1"/>
    </xf>
    <xf numFmtId="3" fontId="56" fillId="0" borderId="0" xfId="79" applyNumberFormat="1" applyFont="1" applyBorder="1" applyAlignment="1">
      <alignment/>
    </xf>
    <xf numFmtId="3" fontId="25" fillId="0" borderId="0" xfId="79" applyNumberFormat="1" applyFont="1" applyBorder="1" applyAlignment="1">
      <alignment/>
    </xf>
    <xf numFmtId="0" fontId="28" fillId="0" borderId="24" xfId="124" applyFont="1" applyBorder="1" applyAlignment="1">
      <alignment horizontal="left" vertical="center" wrapText="1"/>
      <protection/>
    </xf>
    <xf numFmtId="0" fontId="11" fillId="0" borderId="0" xfId="116">
      <alignment/>
      <protection/>
    </xf>
    <xf numFmtId="0" fontId="60" fillId="0" borderId="0" xfId="116" applyFont="1" applyAlignment="1">
      <alignment horizontal="center"/>
      <protection/>
    </xf>
    <xf numFmtId="0" fontId="59" fillId="0" borderId="0" xfId="116" applyFont="1" applyAlignment="1">
      <alignment horizontal="right"/>
      <protection/>
    </xf>
    <xf numFmtId="0" fontId="11" fillId="0" borderId="0" xfId="116" applyAlignment="1">
      <alignment horizontal="center"/>
      <protection/>
    </xf>
    <xf numFmtId="0" fontId="11" fillId="0" borderId="0" xfId="116" applyAlignment="1">
      <alignment horizontal="right"/>
      <protection/>
    </xf>
    <xf numFmtId="0" fontId="59" fillId="0" borderId="54" xfId="116" applyFont="1" applyBorder="1" applyAlignment="1">
      <alignment vertical="center" wrapText="1"/>
      <protection/>
    </xf>
    <xf numFmtId="0" fontId="59" fillId="0" borderId="47" xfId="116" applyFont="1" applyBorder="1" applyAlignment="1">
      <alignment horizontal="center" vertical="center" wrapText="1"/>
      <protection/>
    </xf>
    <xf numFmtId="0" fontId="59" fillId="0" borderId="55" xfId="116" applyFont="1" applyBorder="1" applyAlignment="1">
      <alignment horizontal="center" vertical="center" wrapText="1"/>
      <protection/>
    </xf>
    <xf numFmtId="0" fontId="61" fillId="0" borderId="20" xfId="116" applyFont="1" applyBorder="1" applyAlignment="1">
      <alignment horizontal="center"/>
      <protection/>
    </xf>
    <xf numFmtId="0" fontId="61" fillId="0" borderId="21" xfId="116" applyFont="1" applyBorder="1" applyAlignment="1">
      <alignment horizontal="center"/>
      <protection/>
    </xf>
    <xf numFmtId="0" fontId="61" fillId="0" borderId="17" xfId="116" applyFont="1" applyBorder="1" applyAlignment="1">
      <alignment horizontal="center"/>
      <protection/>
    </xf>
    <xf numFmtId="0" fontId="61" fillId="0" borderId="0" xfId="116" applyFont="1">
      <alignment/>
      <protection/>
    </xf>
    <xf numFmtId="49" fontId="11" fillId="0" borderId="20" xfId="116" applyNumberFormat="1" applyBorder="1" applyAlignment="1">
      <alignment horizontal="right"/>
      <protection/>
    </xf>
    <xf numFmtId="49" fontId="11" fillId="0" borderId="21" xfId="116" applyNumberFormat="1" applyBorder="1" applyAlignment="1">
      <alignment horizontal="right"/>
      <protection/>
    </xf>
    <xf numFmtId="165" fontId="11" fillId="0" borderId="21" xfId="116" applyNumberFormat="1" applyFont="1" applyBorder="1" applyAlignment="1" applyProtection="1">
      <alignment horizontal="left" vertical="center" wrapText="1" indent="1"/>
      <protection locked="0"/>
    </xf>
    <xf numFmtId="3" fontId="11" fillId="0" borderId="21" xfId="116" applyNumberFormat="1" applyBorder="1">
      <alignment/>
      <protection/>
    </xf>
    <xf numFmtId="3" fontId="11" fillId="0" borderId="56" xfId="116" applyNumberFormat="1" applyBorder="1">
      <alignment/>
      <protection/>
    </xf>
    <xf numFmtId="3" fontId="11" fillId="0" borderId="21" xfId="116" applyNumberFormat="1" applyBorder="1" applyAlignment="1" applyProtection="1">
      <alignment vertical="center" wrapText="1"/>
      <protection locked="0"/>
    </xf>
    <xf numFmtId="3" fontId="11" fillId="0" borderId="0" xfId="116" applyNumberFormat="1">
      <alignment/>
      <protection/>
    </xf>
    <xf numFmtId="0" fontId="11" fillId="0" borderId="57" xfId="116" applyBorder="1">
      <alignment/>
      <protection/>
    </xf>
    <xf numFmtId="49" fontId="11" fillId="0" borderId="58" xfId="116" applyNumberFormat="1" applyBorder="1" applyAlignment="1">
      <alignment horizontal="right"/>
      <protection/>
    </xf>
    <xf numFmtId="49" fontId="11" fillId="0" borderId="56" xfId="116" applyNumberFormat="1" applyBorder="1" applyAlignment="1">
      <alignment horizontal="right"/>
      <protection/>
    </xf>
    <xf numFmtId="3" fontId="11" fillId="0" borderId="56" xfId="116" applyNumberFormat="1" applyBorder="1" applyAlignment="1" applyProtection="1">
      <alignment vertical="center" wrapText="1"/>
      <protection locked="0"/>
    </xf>
    <xf numFmtId="49" fontId="11" fillId="0" borderId="58" xfId="116" applyNumberFormat="1" applyBorder="1">
      <alignment/>
      <protection/>
    </xf>
    <xf numFmtId="49" fontId="11" fillId="0" borderId="56" xfId="116" applyNumberFormat="1" applyBorder="1">
      <alignment/>
      <protection/>
    </xf>
    <xf numFmtId="0" fontId="59" fillId="0" borderId="26" xfId="116" applyFont="1" applyBorder="1" applyAlignment="1">
      <alignment horizontal="left"/>
      <protection/>
    </xf>
    <xf numFmtId="3" fontId="59" fillId="0" borderId="26" xfId="116" applyNumberFormat="1" applyFont="1" applyBorder="1">
      <alignment/>
      <protection/>
    </xf>
    <xf numFmtId="0" fontId="59" fillId="0" borderId="27" xfId="116" applyFont="1" applyBorder="1" applyAlignment="1">
      <alignment horizontal="left"/>
      <protection/>
    </xf>
    <xf numFmtId="0" fontId="59" fillId="0" borderId="50" xfId="116" applyFont="1" applyBorder="1" applyAlignment="1">
      <alignment horizontal="left"/>
      <protection/>
    </xf>
    <xf numFmtId="0" fontId="26" fillId="0" borderId="16" xfId="124" applyFont="1" applyBorder="1" applyAlignment="1">
      <alignment horizontal="left" vertical="center" wrapText="1"/>
      <protection/>
    </xf>
    <xf numFmtId="3" fontId="27" fillId="0" borderId="59" xfId="124" applyNumberFormat="1" applyFont="1" applyBorder="1" applyAlignment="1">
      <alignment horizontal="right" vertical="center"/>
      <protection/>
    </xf>
    <xf numFmtId="3" fontId="28" fillId="0" borderId="16" xfId="124" applyNumberFormat="1" applyFont="1" applyBorder="1" applyAlignment="1">
      <alignment horizontal="right" vertical="center"/>
      <protection/>
    </xf>
    <xf numFmtId="3" fontId="27" fillId="0" borderId="16" xfId="124" applyNumberFormat="1" applyFont="1" applyBorder="1" applyAlignment="1">
      <alignment horizontal="right" vertical="center"/>
      <protection/>
    </xf>
    <xf numFmtId="3" fontId="27" fillId="0" borderId="16" xfId="118" applyNumberFormat="1" applyFont="1" applyBorder="1" applyAlignment="1">
      <alignment horizontal="right"/>
      <protection/>
    </xf>
    <xf numFmtId="3" fontId="25" fillId="0" borderId="16" xfId="124" applyNumberFormat="1" applyFont="1" applyBorder="1" applyAlignment="1">
      <alignment horizontal="right" vertical="center"/>
      <protection/>
    </xf>
    <xf numFmtId="3" fontId="29" fillId="30" borderId="16" xfId="124" applyNumberFormat="1" applyFont="1" applyFill="1" applyBorder="1">
      <alignment/>
      <protection/>
    </xf>
    <xf numFmtId="0" fontId="28" fillId="0" borderId="16" xfId="124" applyFont="1" applyBorder="1" applyAlignment="1">
      <alignment horizontal="left" vertical="center" wrapText="1"/>
      <protection/>
    </xf>
    <xf numFmtId="3" fontId="29" fillId="0" borderId="16" xfId="124" applyNumberFormat="1" applyFont="1" applyBorder="1" applyAlignment="1">
      <alignment horizontal="right" vertical="center"/>
      <protection/>
    </xf>
    <xf numFmtId="3" fontId="31" fillId="0" borderId="16" xfId="124" applyNumberFormat="1" applyFont="1" applyBorder="1" applyAlignment="1">
      <alignment vertical="center"/>
      <protection/>
    </xf>
    <xf numFmtId="3" fontId="27" fillId="0" borderId="16" xfId="124" applyNumberFormat="1" applyFont="1" applyBorder="1" applyAlignment="1">
      <alignment vertical="center"/>
      <protection/>
    </xf>
    <xf numFmtId="3" fontId="28" fillId="0" borderId="16" xfId="124" applyNumberFormat="1" applyFont="1" applyBorder="1">
      <alignment/>
      <protection/>
    </xf>
    <xf numFmtId="3" fontId="25" fillId="0" borderId="16" xfId="124" applyNumberFormat="1" applyFont="1" applyBorder="1" applyAlignment="1">
      <alignment vertical="center"/>
      <protection/>
    </xf>
    <xf numFmtId="3" fontId="28" fillId="0" borderId="16" xfId="124" applyNumberFormat="1" applyFont="1" applyBorder="1" applyAlignment="1">
      <alignment vertical="center"/>
      <protection/>
    </xf>
    <xf numFmtId="0" fontId="28" fillId="0" borderId="17" xfId="118" applyFont="1" applyBorder="1" applyAlignment="1">
      <alignment horizontal="center"/>
      <protection/>
    </xf>
    <xf numFmtId="0" fontId="25" fillId="0" borderId="16" xfId="124" applyFont="1" applyBorder="1" applyAlignment="1">
      <alignment horizontal="center"/>
      <protection/>
    </xf>
    <xf numFmtId="0" fontId="25" fillId="0" borderId="16" xfId="124" applyFont="1" applyBorder="1" applyAlignment="1">
      <alignment horizontal="left"/>
      <protection/>
    </xf>
    <xf numFmtId="0" fontId="25" fillId="0" borderId="16" xfId="124" applyFont="1" applyBorder="1" applyAlignment="1">
      <alignment horizontal="left" vertical="center"/>
      <protection/>
    </xf>
    <xf numFmtId="0" fontId="29" fillId="30" borderId="17" xfId="124" applyFont="1" applyFill="1" applyBorder="1" applyAlignment="1">
      <alignment horizontal="left" vertical="center"/>
      <protection/>
    </xf>
    <xf numFmtId="0" fontId="29" fillId="0" borderId="17" xfId="124" applyFont="1" applyBorder="1" applyAlignment="1">
      <alignment horizontal="left" vertical="center"/>
      <protection/>
    </xf>
    <xf numFmtId="0" fontId="26" fillId="0" borderId="17" xfId="124" applyFont="1" applyBorder="1" applyAlignment="1">
      <alignment horizontal="center" vertical="center"/>
      <protection/>
    </xf>
    <xf numFmtId="0" fontId="24" fillId="0" borderId="0" xfId="124" applyFont="1" applyBorder="1" applyAlignment="1">
      <alignment horizontal="right"/>
      <protection/>
    </xf>
    <xf numFmtId="0" fontId="24" fillId="0" borderId="0" xfId="124" applyFont="1">
      <alignment/>
      <protection/>
    </xf>
    <xf numFmtId="0" fontId="33" fillId="0" borderId="0" xfId="124" applyFont="1">
      <alignment/>
      <protection/>
    </xf>
    <xf numFmtId="0" fontId="62" fillId="0" borderId="0" xfId="124" applyFont="1">
      <alignment/>
      <protection/>
    </xf>
    <xf numFmtId="3" fontId="27" fillId="0" borderId="21" xfId="124" applyNumberFormat="1" applyFont="1" applyBorder="1" applyAlignment="1">
      <alignment horizontal="right"/>
      <protection/>
    </xf>
    <xf numFmtId="3" fontId="27" fillId="0" borderId="21" xfId="124" applyNumberFormat="1" applyFont="1" applyBorder="1">
      <alignment/>
      <protection/>
    </xf>
    <xf numFmtId="3" fontId="28" fillId="0" borderId="21" xfId="124" applyNumberFormat="1" applyFont="1" applyBorder="1" applyAlignment="1">
      <alignment horizontal="right"/>
      <protection/>
    </xf>
    <xf numFmtId="3" fontId="28" fillId="0" borderId="59" xfId="124" applyNumberFormat="1" applyFont="1" applyBorder="1">
      <alignment/>
      <protection/>
    </xf>
    <xf numFmtId="3" fontId="28" fillId="30" borderId="21" xfId="124" applyNumberFormat="1" applyFont="1" applyFill="1" applyBorder="1" applyAlignment="1">
      <alignment horizontal="right" vertical="center"/>
      <protection/>
    </xf>
    <xf numFmtId="3" fontId="28" fillId="30" borderId="16" xfId="124" applyNumberFormat="1" applyFont="1" applyFill="1" applyBorder="1" applyAlignment="1">
      <alignment horizontal="right" vertical="center"/>
      <protection/>
    </xf>
    <xf numFmtId="3" fontId="28" fillId="30" borderId="21" xfId="124" applyNumberFormat="1" applyFont="1" applyFill="1" applyBorder="1" applyAlignment="1">
      <alignment vertical="center"/>
      <protection/>
    </xf>
    <xf numFmtId="3" fontId="12" fillId="0" borderId="21" xfId="109" applyNumberFormat="1" applyBorder="1">
      <alignment/>
      <protection/>
    </xf>
    <xf numFmtId="3" fontId="12" fillId="0" borderId="21" xfId="109" applyNumberFormat="1" applyFont="1" applyBorder="1">
      <alignment/>
      <protection/>
    </xf>
    <xf numFmtId="3" fontId="43" fillId="0" borderId="21" xfId="109" applyNumberFormat="1" applyFont="1" applyBorder="1">
      <alignment/>
      <protection/>
    </xf>
    <xf numFmtId="168" fontId="35" fillId="0" borderId="34" xfId="0" applyNumberFormat="1" applyFont="1" applyBorder="1" applyAlignment="1">
      <alignment horizontal="right" wrapText="1"/>
    </xf>
    <xf numFmtId="3" fontId="24" fillId="0" borderId="21" xfId="109" applyNumberFormat="1" applyFont="1" applyBorder="1">
      <alignment/>
      <protection/>
    </xf>
    <xf numFmtId="3" fontId="33" fillId="0" borderId="21" xfId="109" applyNumberFormat="1" applyFont="1" applyBorder="1">
      <alignment/>
      <protection/>
    </xf>
    <xf numFmtId="3" fontId="49" fillId="0" borderId="21" xfId="109" applyNumberFormat="1" applyFont="1" applyBorder="1">
      <alignment/>
      <protection/>
    </xf>
    <xf numFmtId="3" fontId="26" fillId="0" borderId="21" xfId="109" applyNumberFormat="1" applyFont="1" applyBorder="1">
      <alignment/>
      <protection/>
    </xf>
    <xf numFmtId="164" fontId="37" fillId="0" borderId="21" xfId="78" applyNumberFormat="1" applyFont="1" applyBorder="1" applyAlignment="1" quotePrefix="1">
      <alignment horizontal="right" wrapText="1"/>
    </xf>
    <xf numFmtId="3" fontId="63" fillId="0" borderId="21" xfId="109" applyNumberFormat="1" applyFont="1" applyBorder="1">
      <alignment/>
      <protection/>
    </xf>
    <xf numFmtId="0" fontId="59" fillId="0" borderId="60" xfId="113" applyFont="1" applyBorder="1" applyAlignment="1">
      <alignment vertical="center" wrapText="1"/>
      <protection/>
    </xf>
    <xf numFmtId="0" fontId="59" fillId="0" borderId="52" xfId="113" applyFont="1" applyBorder="1" applyAlignment="1">
      <alignment vertical="center" wrapText="1"/>
      <protection/>
    </xf>
    <xf numFmtId="3" fontId="25" fillId="0" borderId="26" xfId="122" applyNumberFormat="1" applyFont="1" applyBorder="1">
      <alignment/>
      <protection/>
    </xf>
    <xf numFmtId="3" fontId="32" fillId="0" borderId="21" xfId="122" applyNumberFormat="1" applyFont="1" applyBorder="1">
      <alignment/>
      <protection/>
    </xf>
    <xf numFmtId="0" fontId="12" fillId="0" borderId="61" xfId="109" applyBorder="1">
      <alignment/>
      <protection/>
    </xf>
    <xf numFmtId="0" fontId="18" fillId="0" borderId="61" xfId="122" applyBorder="1">
      <alignment/>
      <protection/>
    </xf>
    <xf numFmtId="0" fontId="63" fillId="0" borderId="61" xfId="109" applyFont="1" applyBorder="1">
      <alignment/>
      <protection/>
    </xf>
    <xf numFmtId="0" fontId="64" fillId="0" borderId="61" xfId="122" applyFont="1" applyBorder="1">
      <alignment/>
      <protection/>
    </xf>
    <xf numFmtId="0" fontId="11" fillId="0" borderId="17" xfId="116" applyFont="1" applyBorder="1">
      <alignment/>
      <protection/>
    </xf>
    <xf numFmtId="165" fontId="11" fillId="0" borderId="0" xfId="121" applyNumberFormat="1" applyAlignment="1">
      <alignment vertical="center" wrapText="1"/>
      <protection/>
    </xf>
    <xf numFmtId="165" fontId="65" fillId="0" borderId="0" xfId="121" applyNumberFormat="1" applyFont="1" applyAlignment="1">
      <alignment horizontal="centerContinuous" vertical="center" wrapText="1"/>
      <protection/>
    </xf>
    <xf numFmtId="165" fontId="11" fillId="0" borderId="0" xfId="121" applyNumberFormat="1" applyAlignment="1">
      <alignment horizontal="centerContinuous" vertical="center"/>
      <protection/>
    </xf>
    <xf numFmtId="165" fontId="59" fillId="0" borderId="0" xfId="121" applyNumberFormat="1" applyFont="1" applyAlignment="1">
      <alignment horizontal="centerContinuous" vertical="center"/>
      <protection/>
    </xf>
    <xf numFmtId="165" fontId="67" fillId="0" borderId="0" xfId="121" applyNumberFormat="1" applyFont="1" applyAlignment="1">
      <alignment horizontal="right" vertical="center"/>
      <protection/>
    </xf>
    <xf numFmtId="165" fontId="59" fillId="0" borderId="0" xfId="121" applyNumberFormat="1" applyFont="1" applyAlignment="1">
      <alignment horizontal="center" vertical="center" wrapText="1"/>
      <protection/>
    </xf>
    <xf numFmtId="165" fontId="11" fillId="0" borderId="0" xfId="121" applyNumberFormat="1" applyAlignment="1">
      <alignment horizontal="center" vertical="center" wrapText="1"/>
      <protection/>
    </xf>
    <xf numFmtId="165" fontId="61" fillId="0" borderId="0" xfId="121" applyNumberFormat="1" applyFont="1" applyAlignment="1">
      <alignment horizontal="center" vertical="center" wrapText="1"/>
      <protection/>
    </xf>
    <xf numFmtId="165" fontId="67" fillId="0" borderId="50" xfId="121" applyNumberFormat="1" applyFont="1" applyBorder="1" applyAlignment="1" applyProtection="1">
      <alignment horizontal="left" vertical="center" wrapText="1" indent="1"/>
      <protection locked="0"/>
    </xf>
    <xf numFmtId="0" fontId="25" fillId="0" borderId="0" xfId="124" applyFont="1">
      <alignment/>
      <protection/>
    </xf>
    <xf numFmtId="0" fontId="26" fillId="0" borderId="0" xfId="124" applyFont="1" applyAlignment="1">
      <alignment horizontal="right"/>
      <protection/>
    </xf>
    <xf numFmtId="0" fontId="22" fillId="0" borderId="0" xfId="109" applyFont="1" applyAlignment="1">
      <alignment/>
      <protection/>
    </xf>
    <xf numFmtId="0" fontId="22" fillId="0" borderId="62" xfId="109" applyFont="1" applyBorder="1" applyAlignment="1">
      <alignment/>
      <protection/>
    </xf>
    <xf numFmtId="0" fontId="22" fillId="0" borderId="62" xfId="109" applyFont="1" applyBorder="1" applyAlignment="1">
      <alignment wrapText="1"/>
      <protection/>
    </xf>
    <xf numFmtId="0" fontId="23" fillId="26" borderId="21" xfId="115" applyFont="1" applyFill="1" applyBorder="1" applyAlignment="1">
      <alignment horizontal="center" vertical="center" wrapText="1"/>
      <protection/>
    </xf>
    <xf numFmtId="0" fontId="25" fillId="26" borderId="21" xfId="115" applyFont="1" applyFill="1" applyBorder="1" applyAlignment="1">
      <alignment horizontal="center" vertical="center"/>
      <protection/>
    </xf>
    <xf numFmtId="0" fontId="12" fillId="0" borderId="0" xfId="115">
      <alignment/>
      <protection/>
    </xf>
    <xf numFmtId="0" fontId="24" fillId="0" borderId="21" xfId="115" applyFont="1" applyBorder="1">
      <alignment/>
      <protection/>
    </xf>
    <xf numFmtId="0" fontId="25" fillId="0" borderId="21" xfId="115" applyFont="1" applyBorder="1" applyAlignment="1">
      <alignment horizontal="left"/>
      <protection/>
    </xf>
    <xf numFmtId="164" fontId="33" fillId="0" borderId="21" xfId="80" applyNumberFormat="1" applyFont="1" applyBorder="1" applyAlignment="1">
      <alignment/>
    </xf>
    <xf numFmtId="0" fontId="27" fillId="0" borderId="21" xfId="115" applyFont="1" applyFill="1" applyBorder="1">
      <alignment/>
      <protection/>
    </xf>
    <xf numFmtId="0" fontId="24" fillId="0" borderId="21" xfId="115" applyFont="1" applyBorder="1" applyAlignment="1">
      <alignment horizontal="center"/>
      <protection/>
    </xf>
    <xf numFmtId="0" fontId="27" fillId="0" borderId="21" xfId="115" applyFont="1" applyBorder="1" applyAlignment="1">
      <alignment horizontal="left" vertical="distributed"/>
      <protection/>
    </xf>
    <xf numFmtId="3" fontId="25" fillId="0" borderId="21" xfId="115" applyNumberFormat="1" applyFont="1" applyFill="1" applyBorder="1">
      <alignment/>
      <protection/>
    </xf>
    <xf numFmtId="0" fontId="27" fillId="0" borderId="59" xfId="115" applyFont="1" applyBorder="1" applyAlignment="1">
      <alignment horizontal="left" wrapText="1"/>
      <protection/>
    </xf>
    <xf numFmtId="3" fontId="25" fillId="0" borderId="21" xfId="115" applyNumberFormat="1" applyFont="1" applyBorder="1">
      <alignment/>
      <protection/>
    </xf>
    <xf numFmtId="0" fontId="72" fillId="0" borderId="21" xfId="115" applyFont="1" applyBorder="1" applyAlignment="1">
      <alignment horizontal="center"/>
      <protection/>
    </xf>
    <xf numFmtId="0" fontId="28" fillId="0" borderId="21" xfId="115" applyFont="1" applyBorder="1" applyAlignment="1">
      <alignment horizontal="left"/>
      <protection/>
    </xf>
    <xf numFmtId="3" fontId="32" fillId="0" borderId="21" xfId="115" applyNumberFormat="1" applyFont="1" applyBorder="1">
      <alignment/>
      <protection/>
    </xf>
    <xf numFmtId="3" fontId="29" fillId="0" borderId="21" xfId="115" applyNumberFormat="1" applyFont="1" applyBorder="1">
      <alignment/>
      <protection/>
    </xf>
    <xf numFmtId="0" fontId="73" fillId="0" borderId="0" xfId="115" applyFont="1">
      <alignment/>
      <protection/>
    </xf>
    <xf numFmtId="164" fontId="74" fillId="0" borderId="21" xfId="80" applyNumberFormat="1" applyFont="1" applyBorder="1" applyAlignment="1">
      <alignment/>
    </xf>
    <xf numFmtId="0" fontId="27" fillId="0" borderId="21" xfId="115" applyFont="1" applyBorder="1">
      <alignment/>
      <protection/>
    </xf>
    <xf numFmtId="0" fontId="27" fillId="0" borderId="21" xfId="115" applyFont="1" applyBorder="1" applyAlignment="1">
      <alignment horizontal="left"/>
      <protection/>
    </xf>
    <xf numFmtId="164" fontId="33" fillId="0" borderId="21" xfId="80" applyNumberFormat="1" applyFont="1" applyBorder="1" applyAlignment="1">
      <alignment horizontal="center"/>
    </xf>
    <xf numFmtId="0" fontId="27" fillId="0" borderId="59" xfId="115" applyFont="1" applyBorder="1" applyAlignment="1">
      <alignment horizontal="left"/>
      <protection/>
    </xf>
    <xf numFmtId="0" fontId="27" fillId="0" borderId="59" xfId="115" applyFont="1" applyBorder="1" applyAlignment="1">
      <alignment horizontal="left" vertical="distributed"/>
      <protection/>
    </xf>
    <xf numFmtId="3" fontId="24" fillId="0" borderId="21" xfId="115" applyNumberFormat="1" applyFont="1" applyBorder="1">
      <alignment/>
      <protection/>
    </xf>
    <xf numFmtId="0" fontId="24" fillId="0" borderId="0" xfId="115" applyFont="1">
      <alignment/>
      <protection/>
    </xf>
    <xf numFmtId="0" fontId="25" fillId="0" borderId="0" xfId="115" applyFont="1" applyAlignment="1">
      <alignment horizontal="left"/>
      <protection/>
    </xf>
    <xf numFmtId="3" fontId="24" fillId="0" borderId="0" xfId="115" applyNumberFormat="1" applyFont="1">
      <alignment/>
      <protection/>
    </xf>
    <xf numFmtId="0" fontId="45" fillId="0" borderId="0" xfId="115" applyFont="1">
      <alignment/>
      <protection/>
    </xf>
    <xf numFmtId="0" fontId="11" fillId="0" borderId="0" xfId="121" applyAlignment="1">
      <alignment horizontal="center" vertical="center" wrapText="1"/>
      <protection/>
    </xf>
    <xf numFmtId="0" fontId="25" fillId="0" borderId="0" xfId="121" applyFont="1" applyAlignment="1">
      <alignment horizontal="center" wrapText="1"/>
      <protection/>
    </xf>
    <xf numFmtId="0" fontId="11" fillId="0" borderId="0" xfId="121" applyAlignment="1">
      <alignment vertical="center" wrapText="1"/>
      <protection/>
    </xf>
    <xf numFmtId="165" fontId="66" fillId="0" borderId="0" xfId="121" applyNumberFormat="1" applyFont="1" applyAlignment="1">
      <alignment vertical="center" wrapText="1"/>
      <protection/>
    </xf>
    <xf numFmtId="165" fontId="67" fillId="0" borderId="0" xfId="121" applyNumberFormat="1" applyFont="1" applyAlignment="1">
      <alignment horizontal="center" vertical="center"/>
      <protection/>
    </xf>
    <xf numFmtId="165" fontId="78" fillId="0" borderId="0" xfId="121" applyNumberFormat="1" applyFont="1" applyAlignment="1">
      <alignment vertical="center" wrapText="1"/>
      <protection/>
    </xf>
    <xf numFmtId="0" fontId="59" fillId="0" borderId="45" xfId="121" applyFont="1" applyBorder="1" applyAlignment="1">
      <alignment horizontal="center" vertical="center" wrapText="1"/>
      <protection/>
    </xf>
    <xf numFmtId="0" fontId="59" fillId="0" borderId="60" xfId="121" applyFont="1" applyBorder="1" applyAlignment="1">
      <alignment horizontal="center" vertical="center" wrapText="1"/>
      <protection/>
    </xf>
    <xf numFmtId="0" fontId="59" fillId="0" borderId="52" xfId="121" applyFont="1" applyBorder="1" applyAlignment="1">
      <alignment horizontal="center" vertical="center" wrapText="1"/>
      <protection/>
    </xf>
    <xf numFmtId="0" fontId="59" fillId="0" borderId="0" xfId="121" applyFont="1" applyAlignment="1">
      <alignment horizontal="center" vertical="center" wrapText="1"/>
      <protection/>
    </xf>
    <xf numFmtId="0" fontId="11" fillId="0" borderId="54" xfId="121" applyBorder="1" applyAlignment="1">
      <alignment horizontal="center" vertical="center" wrapText="1"/>
      <protection/>
    </xf>
    <xf numFmtId="0" fontId="24" fillId="0" borderId="42" xfId="121" applyFont="1" applyBorder="1" applyAlignment="1">
      <alignment horizontal="left" vertical="center" wrapText="1" indent="1"/>
      <protection/>
    </xf>
    <xf numFmtId="164" fontId="11" fillId="0" borderId="42" xfId="74" applyNumberFormat="1" applyFont="1" applyBorder="1" applyAlignment="1" applyProtection="1">
      <alignment horizontal="right" vertical="center" wrapText="1" indent="1"/>
      <protection locked="0"/>
    </xf>
    <xf numFmtId="164" fontId="11" fillId="0" borderId="49" xfId="74" applyNumberFormat="1" applyFont="1" applyBorder="1" applyAlignment="1" applyProtection="1">
      <alignment horizontal="right" vertical="center" wrapText="1" indent="1"/>
      <protection locked="0"/>
    </xf>
    <xf numFmtId="0" fontId="11" fillId="0" borderId="20" xfId="121" applyBorder="1" applyAlignment="1">
      <alignment horizontal="center" vertical="center" wrapText="1"/>
      <protection/>
    </xf>
    <xf numFmtId="0" fontId="24" fillId="0" borderId="17" xfId="121" applyFont="1" applyBorder="1" applyAlignment="1">
      <alignment horizontal="left" vertical="center" wrapText="1" indent="1"/>
      <protection/>
    </xf>
    <xf numFmtId="164" fontId="11" fillId="0" borderId="17" xfId="74" applyNumberFormat="1" applyFont="1" applyBorder="1" applyAlignment="1" applyProtection="1">
      <alignment horizontal="right" vertical="center" wrapText="1" indent="1"/>
      <protection locked="0"/>
    </xf>
    <xf numFmtId="164" fontId="11" fillId="0" borderId="22" xfId="74" applyNumberFormat="1" applyFont="1" applyBorder="1" applyAlignment="1" applyProtection="1">
      <alignment horizontal="right" vertical="center" wrapText="1" indent="1"/>
      <protection locked="0"/>
    </xf>
    <xf numFmtId="0" fontId="24" fillId="0" borderId="17" xfId="121" applyFont="1" applyBorder="1" applyAlignment="1">
      <alignment horizontal="left" vertical="center" wrapText="1" indent="8"/>
      <protection/>
    </xf>
    <xf numFmtId="0" fontId="11" fillId="0" borderId="34" xfId="121" applyBorder="1" applyAlignment="1" applyProtection="1">
      <alignment vertical="center" wrapText="1"/>
      <protection locked="0"/>
    </xf>
    <xf numFmtId="165" fontId="11" fillId="0" borderId="21" xfId="121" applyNumberFormat="1" applyBorder="1" applyAlignment="1" applyProtection="1">
      <alignment horizontal="right" vertical="center" wrapText="1" indent="1"/>
      <protection locked="0"/>
    </xf>
    <xf numFmtId="165" fontId="11" fillId="0" borderId="22" xfId="121" applyNumberFormat="1" applyBorder="1" applyAlignment="1" applyProtection="1">
      <alignment horizontal="right" vertical="center" wrapText="1" indent="1"/>
      <protection locked="0"/>
    </xf>
    <xf numFmtId="0" fontId="11" fillId="0" borderId="21" xfId="121" applyBorder="1" applyAlignment="1" applyProtection="1">
      <alignment vertical="center" wrapText="1"/>
      <protection locked="0"/>
    </xf>
    <xf numFmtId="0" fontId="59" fillId="0" borderId="45" xfId="121" applyFont="1" applyBorder="1" applyAlignment="1">
      <alignment horizontal="center" vertical="center" wrapText="1"/>
      <protection/>
    </xf>
    <xf numFmtId="0" fontId="59" fillId="0" borderId="63" xfId="121" applyFont="1" applyBorder="1" applyAlignment="1">
      <alignment vertical="center" wrapText="1"/>
      <protection/>
    </xf>
    <xf numFmtId="165" fontId="59" fillId="0" borderId="63" xfId="121" applyNumberFormat="1" applyFont="1" applyBorder="1" applyAlignment="1">
      <alignment vertical="center" wrapText="1"/>
      <protection/>
    </xf>
    <xf numFmtId="1" fontId="59" fillId="0" borderId="64" xfId="121" applyNumberFormat="1" applyFont="1" applyBorder="1" applyAlignment="1">
      <alignment vertical="center" wrapText="1"/>
      <protection/>
    </xf>
    <xf numFmtId="0" fontId="11" fillId="0" borderId="0" xfId="121" applyAlignment="1">
      <alignment horizontal="right" vertical="center" wrapText="1"/>
      <protection/>
    </xf>
    <xf numFmtId="0" fontId="25" fillId="0" borderId="0" xfId="124" applyFont="1" applyAlignment="1">
      <alignment horizontal="center"/>
      <protection/>
    </xf>
    <xf numFmtId="164" fontId="12" fillId="0" borderId="0" xfId="115" applyNumberFormat="1">
      <alignment/>
      <protection/>
    </xf>
    <xf numFmtId="0" fontId="46" fillId="0" borderId="0" xfId="124" applyFont="1">
      <alignment/>
      <protection/>
    </xf>
    <xf numFmtId="0" fontId="77" fillId="0" borderId="0" xfId="124" applyFont="1" applyAlignment="1">
      <alignment horizontal="right"/>
      <protection/>
    </xf>
    <xf numFmtId="0" fontId="80" fillId="0" borderId="0" xfId="124" applyFont="1" applyAlignment="1">
      <alignment horizontal="right"/>
      <protection/>
    </xf>
    <xf numFmtId="0" fontId="81" fillId="0" borderId="0" xfId="124" applyFont="1" applyAlignment="1">
      <alignment horizontal="right"/>
      <protection/>
    </xf>
    <xf numFmtId="0" fontId="26" fillId="26" borderId="34" xfId="117" applyFont="1" applyFill="1" applyBorder="1" applyAlignment="1">
      <alignment horizontal="center" vertical="center" wrapText="1"/>
      <protection/>
    </xf>
    <xf numFmtId="0" fontId="26" fillId="26" borderId="42" xfId="117" applyFont="1" applyFill="1" applyBorder="1" applyAlignment="1">
      <alignment horizontal="right" vertical="center" wrapText="1"/>
      <protection/>
    </xf>
    <xf numFmtId="0" fontId="26" fillId="26" borderId="65" xfId="117" applyFont="1" applyFill="1" applyBorder="1" applyAlignment="1">
      <alignment horizontal="right" vertical="center" wrapText="1"/>
      <protection/>
    </xf>
    <xf numFmtId="0" fontId="26" fillId="26" borderId="48" xfId="117" applyFont="1" applyFill="1" applyBorder="1" applyAlignment="1">
      <alignment horizontal="center" vertical="center" wrapText="1"/>
      <protection/>
    </xf>
    <xf numFmtId="0" fontId="26" fillId="26" borderId="65" xfId="117" applyFont="1" applyFill="1" applyBorder="1" applyAlignment="1">
      <alignment horizontal="center" vertical="center" wrapText="1"/>
      <protection/>
    </xf>
    <xf numFmtId="0" fontId="46" fillId="0" borderId="0" xfId="124" applyFont="1" applyAlignment="1">
      <alignment wrapText="1"/>
      <protection/>
    </xf>
    <xf numFmtId="0" fontId="26" fillId="26" borderId="66" xfId="117" applyFont="1" applyFill="1" applyBorder="1" applyAlignment="1">
      <alignment horizontal="center" vertical="center"/>
      <protection/>
    </xf>
    <xf numFmtId="0" fontId="26" fillId="26" borderId="62" xfId="117" applyFont="1" applyFill="1" applyBorder="1" applyAlignment="1">
      <alignment horizontal="right" vertical="center"/>
      <protection/>
    </xf>
    <xf numFmtId="0" fontId="26" fillId="26" borderId="67" xfId="117" applyFont="1" applyFill="1" applyBorder="1" applyAlignment="1">
      <alignment horizontal="center" vertical="center"/>
      <protection/>
    </xf>
    <xf numFmtId="0" fontId="26" fillId="26" borderId="57" xfId="117" applyFont="1" applyFill="1" applyBorder="1" applyAlignment="1">
      <alignment horizontal="center" vertical="center"/>
      <protection/>
    </xf>
    <xf numFmtId="0" fontId="26" fillId="26" borderId="68" xfId="117" applyFont="1" applyFill="1" applyBorder="1" applyAlignment="1">
      <alignment horizontal="center" vertical="center"/>
      <protection/>
    </xf>
    <xf numFmtId="0" fontId="26" fillId="26" borderId="66" xfId="117" applyFont="1" applyFill="1" applyBorder="1" applyAlignment="1">
      <alignment horizontal="right" vertical="center"/>
      <protection/>
    </xf>
    <xf numFmtId="0" fontId="23" fillId="0" borderId="69" xfId="114" applyFont="1" applyBorder="1" applyAlignment="1">
      <alignment vertical="center"/>
      <protection/>
    </xf>
    <xf numFmtId="3" fontId="26" fillId="0" borderId="70" xfId="117" applyNumberFormat="1" applyFont="1" applyBorder="1">
      <alignment/>
      <protection/>
    </xf>
    <xf numFmtId="3" fontId="26" fillId="0" borderId="71" xfId="117" applyNumberFormat="1" applyFont="1" applyBorder="1">
      <alignment/>
      <protection/>
    </xf>
    <xf numFmtId="3" fontId="26" fillId="0" borderId="72" xfId="117" applyNumberFormat="1" applyFont="1" applyBorder="1">
      <alignment/>
      <protection/>
    </xf>
    <xf numFmtId="3" fontId="26" fillId="0" borderId="69" xfId="117" applyNumberFormat="1" applyFont="1" applyBorder="1">
      <alignment/>
      <protection/>
    </xf>
    <xf numFmtId="3" fontId="32" fillId="0" borderId="73" xfId="117" applyNumberFormat="1" applyFont="1" applyBorder="1">
      <alignment/>
      <protection/>
    </xf>
    <xf numFmtId="3" fontId="30" fillId="0" borderId="74" xfId="117" applyNumberFormat="1" applyFont="1" applyBorder="1">
      <alignment/>
      <protection/>
    </xf>
    <xf numFmtId="0" fontId="23" fillId="0" borderId="75" xfId="114" applyFont="1" applyBorder="1" applyAlignment="1">
      <alignment vertical="center"/>
      <protection/>
    </xf>
    <xf numFmtId="4" fontId="26" fillId="0" borderId="76" xfId="117" applyNumberFormat="1" applyFont="1" applyBorder="1">
      <alignment/>
      <protection/>
    </xf>
    <xf numFmtId="3" fontId="26" fillId="0" borderId="76" xfId="117" applyNumberFormat="1" applyFont="1" applyBorder="1">
      <alignment/>
      <protection/>
    </xf>
    <xf numFmtId="3" fontId="26" fillId="0" borderId="77" xfId="117" applyNumberFormat="1" applyFont="1" applyBorder="1">
      <alignment/>
      <protection/>
    </xf>
    <xf numFmtId="3" fontId="26" fillId="0" borderId="78" xfId="117" applyNumberFormat="1" applyFont="1" applyBorder="1">
      <alignment/>
      <protection/>
    </xf>
    <xf numFmtId="4" fontId="26" fillId="0" borderId="75" xfId="117" applyNumberFormat="1" applyFont="1" applyBorder="1">
      <alignment/>
      <protection/>
    </xf>
    <xf numFmtId="3" fontId="32" fillId="0" borderId="79" xfId="117" applyNumberFormat="1" applyFont="1" applyBorder="1">
      <alignment/>
      <protection/>
    </xf>
    <xf numFmtId="3" fontId="30" fillId="0" borderId="80" xfId="117" applyNumberFormat="1" applyFont="1" applyBorder="1">
      <alignment/>
      <protection/>
    </xf>
    <xf numFmtId="3" fontId="28" fillId="0" borderId="77" xfId="117" applyNumberFormat="1" applyFont="1" applyBorder="1">
      <alignment/>
      <protection/>
    </xf>
    <xf numFmtId="3" fontId="28" fillId="0" borderId="78" xfId="117" applyNumberFormat="1" applyFont="1" applyBorder="1">
      <alignment/>
      <protection/>
    </xf>
    <xf numFmtId="3" fontId="28" fillId="0" borderId="79" xfId="117" applyNumberFormat="1" applyFont="1" applyBorder="1">
      <alignment/>
      <protection/>
    </xf>
    <xf numFmtId="3" fontId="26" fillId="0" borderId="75" xfId="117" applyNumberFormat="1" applyFont="1" applyBorder="1">
      <alignment/>
      <protection/>
    </xf>
    <xf numFmtId="0" fontId="24" fillId="0" borderId="75" xfId="114" applyFont="1" applyBorder="1" applyAlignment="1">
      <alignment vertical="center"/>
      <protection/>
    </xf>
    <xf numFmtId="3" fontId="33" fillId="0" borderId="76" xfId="114" applyNumberFormat="1" applyFont="1" applyBorder="1" applyAlignment="1">
      <alignment horizontal="center" vertical="center"/>
      <protection/>
    </xf>
    <xf numFmtId="4" fontId="33" fillId="0" borderId="76" xfId="114" applyNumberFormat="1" applyFont="1" applyBorder="1" applyAlignment="1">
      <alignment vertical="center"/>
      <protection/>
    </xf>
    <xf numFmtId="3" fontId="33" fillId="0" borderId="77" xfId="114" applyNumberFormat="1" applyFont="1" applyBorder="1" applyAlignment="1">
      <alignment vertical="center"/>
      <protection/>
    </xf>
    <xf numFmtId="3" fontId="33" fillId="0" borderId="78" xfId="114" applyNumberFormat="1" applyFont="1" applyBorder="1" applyAlignment="1">
      <alignment vertical="center"/>
      <protection/>
    </xf>
    <xf numFmtId="3" fontId="33" fillId="0" borderId="75" xfId="114" applyNumberFormat="1" applyFont="1" applyBorder="1" applyAlignment="1">
      <alignment horizontal="center" vertical="center"/>
      <protection/>
    </xf>
    <xf numFmtId="3" fontId="30" fillId="0" borderId="79" xfId="114" applyNumberFormat="1" applyFont="1" applyBorder="1" applyAlignment="1">
      <alignment vertical="center"/>
      <protection/>
    </xf>
    <xf numFmtId="3" fontId="33" fillId="0" borderId="76" xfId="114" applyNumberFormat="1" applyFont="1" applyBorder="1" applyAlignment="1">
      <alignment vertical="center"/>
      <protection/>
    </xf>
    <xf numFmtId="3" fontId="33" fillId="0" borderId="75" xfId="114" applyNumberFormat="1" applyFont="1" applyBorder="1" applyAlignment="1">
      <alignment vertical="center"/>
      <protection/>
    </xf>
    <xf numFmtId="3" fontId="26" fillId="0" borderId="76" xfId="114" applyNumberFormat="1" applyFont="1" applyBorder="1" applyAlignment="1">
      <alignment vertical="center"/>
      <protection/>
    </xf>
    <xf numFmtId="3" fontId="26" fillId="0" borderId="77" xfId="114" applyNumberFormat="1" applyFont="1" applyBorder="1" applyAlignment="1">
      <alignment vertical="center"/>
      <protection/>
    </xf>
    <xf numFmtId="3" fontId="26" fillId="0" borderId="78" xfId="114" applyNumberFormat="1" applyFont="1" applyBorder="1" applyAlignment="1">
      <alignment vertical="center"/>
      <protection/>
    </xf>
    <xf numFmtId="3" fontId="26" fillId="0" borderId="75" xfId="114" applyNumberFormat="1" applyFont="1" applyBorder="1" applyAlignment="1">
      <alignment vertical="center"/>
      <protection/>
    </xf>
    <xf numFmtId="3" fontId="32" fillId="0" borderId="79" xfId="114" applyNumberFormat="1" applyFont="1" applyBorder="1" applyAlignment="1">
      <alignment vertical="center"/>
      <protection/>
    </xf>
    <xf numFmtId="3" fontId="28" fillId="0" borderId="77" xfId="114" applyNumberFormat="1" applyFont="1" applyBorder="1" applyAlignment="1">
      <alignment vertical="center"/>
      <protection/>
    </xf>
    <xf numFmtId="3" fontId="28" fillId="0" borderId="78" xfId="114" applyNumberFormat="1" applyFont="1" applyBorder="1" applyAlignment="1">
      <alignment vertical="center"/>
      <protection/>
    </xf>
    <xf numFmtId="3" fontId="28" fillId="0" borderId="79" xfId="114" applyNumberFormat="1" applyFont="1" applyBorder="1" applyAlignment="1">
      <alignment vertical="center"/>
      <protection/>
    </xf>
    <xf numFmtId="3" fontId="32" fillId="0" borderId="80" xfId="117" applyNumberFormat="1" applyFont="1" applyBorder="1">
      <alignment/>
      <protection/>
    </xf>
    <xf numFmtId="0" fontId="26" fillId="27" borderId="75" xfId="114" applyFont="1" applyFill="1" applyBorder="1" applyAlignment="1">
      <alignment vertical="center"/>
      <protection/>
    </xf>
    <xf numFmtId="3" fontId="26" fillId="27" borderId="76" xfId="117" applyNumberFormat="1" applyFont="1" applyFill="1" applyBorder="1">
      <alignment/>
      <protection/>
    </xf>
    <xf numFmtId="3" fontId="26" fillId="27" borderId="77" xfId="117" applyNumberFormat="1" applyFont="1" applyFill="1" applyBorder="1">
      <alignment/>
      <protection/>
    </xf>
    <xf numFmtId="3" fontId="26" fillId="27" borderId="78" xfId="117" applyNumberFormat="1" applyFont="1" applyFill="1" applyBorder="1">
      <alignment/>
      <protection/>
    </xf>
    <xf numFmtId="3" fontId="26" fillId="27" borderId="75" xfId="117" applyNumberFormat="1" applyFont="1" applyFill="1" applyBorder="1">
      <alignment/>
      <protection/>
    </xf>
    <xf numFmtId="3" fontId="32" fillId="27" borderId="79" xfId="117" applyNumberFormat="1" applyFont="1" applyFill="1" applyBorder="1">
      <alignment/>
      <protection/>
    </xf>
    <xf numFmtId="3" fontId="32" fillId="27" borderId="80" xfId="117" applyNumberFormat="1" applyFont="1" applyFill="1" applyBorder="1">
      <alignment/>
      <protection/>
    </xf>
    <xf numFmtId="167" fontId="33" fillId="0" borderId="76" xfId="117" applyNumberFormat="1" applyFont="1" applyBorder="1">
      <alignment/>
      <protection/>
    </xf>
    <xf numFmtId="3" fontId="33" fillId="0" borderId="76" xfId="117" applyNumberFormat="1" applyFont="1" applyBorder="1">
      <alignment/>
      <protection/>
    </xf>
    <xf numFmtId="3" fontId="33" fillId="0" borderId="77" xfId="117" applyNumberFormat="1" applyFont="1" applyBorder="1">
      <alignment/>
      <protection/>
    </xf>
    <xf numFmtId="3" fontId="33" fillId="0" borderId="78" xfId="117" applyNumberFormat="1" applyFont="1" applyBorder="1">
      <alignment/>
      <protection/>
    </xf>
    <xf numFmtId="167" fontId="33" fillId="0" borderId="75" xfId="117" applyNumberFormat="1" applyFont="1" applyBorder="1">
      <alignment/>
      <protection/>
    </xf>
    <xf numFmtId="3" fontId="30" fillId="0" borderId="79" xfId="117" applyNumberFormat="1" applyFont="1" applyBorder="1">
      <alignment/>
      <protection/>
    </xf>
    <xf numFmtId="0" fontId="24" fillId="0" borderId="75" xfId="114" applyFont="1" applyBorder="1" applyAlignment="1">
      <alignment vertical="center" wrapText="1"/>
      <protection/>
    </xf>
    <xf numFmtId="167" fontId="33" fillId="0" borderId="75" xfId="114" applyNumberFormat="1" applyFont="1" applyBorder="1" applyAlignment="1">
      <alignment vertical="center"/>
      <protection/>
    </xf>
    <xf numFmtId="0" fontId="24" fillId="0" borderId="81" xfId="114" applyFont="1" applyBorder="1" applyAlignment="1">
      <alignment vertical="center"/>
      <protection/>
    </xf>
    <xf numFmtId="3" fontId="33" fillId="0" borderId="82" xfId="114" applyNumberFormat="1" applyFont="1" applyBorder="1" applyAlignment="1">
      <alignment vertical="center"/>
      <protection/>
    </xf>
    <xf numFmtId="3" fontId="33" fillId="0" borderId="83" xfId="117" applyNumberFormat="1" applyFont="1" applyBorder="1">
      <alignment/>
      <protection/>
    </xf>
    <xf numFmtId="3" fontId="33" fillId="0" borderId="84" xfId="117" applyNumberFormat="1" applyFont="1" applyBorder="1">
      <alignment/>
      <protection/>
    </xf>
    <xf numFmtId="3" fontId="33" fillId="0" borderId="81" xfId="114" applyNumberFormat="1" applyFont="1" applyBorder="1" applyAlignment="1">
      <alignment vertical="center"/>
      <protection/>
    </xf>
    <xf numFmtId="3" fontId="30" fillId="0" borderId="85" xfId="117" applyNumberFormat="1" applyFont="1" applyBorder="1">
      <alignment/>
      <protection/>
    </xf>
    <xf numFmtId="0" fontId="23" fillId="0" borderId="66" xfId="114" applyFont="1" applyBorder="1" applyAlignment="1">
      <alignment vertical="center"/>
      <protection/>
    </xf>
    <xf numFmtId="3" fontId="33" fillId="0" borderId="62" xfId="114" applyNumberFormat="1" applyFont="1" applyBorder="1" applyAlignment="1">
      <alignment vertical="center"/>
      <protection/>
    </xf>
    <xf numFmtId="3" fontId="33" fillId="0" borderId="42" xfId="117" applyNumberFormat="1" applyFont="1" applyBorder="1">
      <alignment/>
      <protection/>
    </xf>
    <xf numFmtId="3" fontId="33" fillId="0" borderId="65" xfId="117" applyNumberFormat="1" applyFont="1" applyBorder="1">
      <alignment/>
      <protection/>
    </xf>
    <xf numFmtId="3" fontId="33" fillId="0" borderId="66" xfId="114" applyNumberFormat="1" applyFont="1" applyBorder="1" applyAlignment="1">
      <alignment vertical="center"/>
      <protection/>
    </xf>
    <xf numFmtId="3" fontId="30" fillId="0" borderId="62" xfId="117" applyNumberFormat="1" applyFont="1" applyBorder="1">
      <alignment/>
      <protection/>
    </xf>
    <xf numFmtId="0" fontId="24" fillId="0" borderId="20" xfId="114" applyFont="1" applyBorder="1" applyAlignment="1">
      <alignment vertical="center" wrapText="1"/>
      <protection/>
    </xf>
    <xf numFmtId="3" fontId="33" fillId="0" borderId="21" xfId="114" applyNumberFormat="1" applyFont="1" applyBorder="1" applyAlignment="1">
      <alignment vertical="center"/>
      <protection/>
    </xf>
    <xf numFmtId="3" fontId="33" fillId="0" borderId="21" xfId="117" applyNumberFormat="1" applyFont="1" applyBorder="1">
      <alignment/>
      <protection/>
    </xf>
    <xf numFmtId="3" fontId="33" fillId="0" borderId="22" xfId="117" applyNumberFormat="1" applyFont="1" applyBorder="1">
      <alignment/>
      <protection/>
    </xf>
    <xf numFmtId="3" fontId="33" fillId="0" borderId="20" xfId="114" applyNumberFormat="1" applyFont="1" applyBorder="1" applyAlignment="1">
      <alignment vertical="center"/>
      <protection/>
    </xf>
    <xf numFmtId="3" fontId="30" fillId="0" borderId="16" xfId="117" applyNumberFormat="1" applyFont="1" applyBorder="1">
      <alignment/>
      <protection/>
    </xf>
    <xf numFmtId="0" fontId="26" fillId="27" borderId="20" xfId="114" applyFont="1" applyFill="1" applyBorder="1" applyAlignment="1">
      <alignment vertical="center"/>
      <protection/>
    </xf>
    <xf numFmtId="3" fontId="26" fillId="27" borderId="21" xfId="117" applyNumberFormat="1" applyFont="1" applyFill="1" applyBorder="1">
      <alignment/>
      <protection/>
    </xf>
    <xf numFmtId="3" fontId="26" fillId="27" borderId="22" xfId="117" applyNumberFormat="1" applyFont="1" applyFill="1" applyBorder="1">
      <alignment/>
      <protection/>
    </xf>
    <xf numFmtId="3" fontId="26" fillId="27" borderId="20" xfId="117" applyNumberFormat="1" applyFont="1" applyFill="1" applyBorder="1">
      <alignment/>
      <protection/>
    </xf>
    <xf numFmtId="3" fontId="32" fillId="27" borderId="16" xfId="117" applyNumberFormat="1" applyFont="1" applyFill="1" applyBorder="1">
      <alignment/>
      <protection/>
    </xf>
    <xf numFmtId="3" fontId="32" fillId="27" borderId="22" xfId="117" applyNumberFormat="1" applyFont="1" applyFill="1" applyBorder="1">
      <alignment/>
      <protection/>
    </xf>
    <xf numFmtId="3" fontId="32" fillId="27" borderId="86" xfId="117" applyNumberFormat="1" applyFont="1" applyFill="1" applyBorder="1">
      <alignment/>
      <protection/>
    </xf>
    <xf numFmtId="0" fontId="23" fillId="0" borderId="87" xfId="114" applyFont="1" applyBorder="1" applyAlignment="1">
      <alignment vertical="center"/>
      <protection/>
    </xf>
    <xf numFmtId="3" fontId="26" fillId="0" borderId="34" xfId="117" applyNumberFormat="1" applyFont="1" applyBorder="1">
      <alignment/>
      <protection/>
    </xf>
    <xf numFmtId="3" fontId="26" fillId="0" borderId="49" xfId="117" applyNumberFormat="1" applyFont="1" applyBorder="1">
      <alignment/>
      <protection/>
    </xf>
    <xf numFmtId="3" fontId="26" fillId="0" borderId="48" xfId="117" applyNumberFormat="1" applyFont="1" applyBorder="1">
      <alignment/>
      <protection/>
    </xf>
    <xf numFmtId="3" fontId="32" fillId="0" borderId="62" xfId="117" applyNumberFormat="1" applyFont="1" applyBorder="1">
      <alignment/>
      <protection/>
    </xf>
    <xf numFmtId="3" fontId="32" fillId="0" borderId="88" xfId="117" applyNumberFormat="1" applyFont="1" applyBorder="1">
      <alignment/>
      <protection/>
    </xf>
    <xf numFmtId="3" fontId="33" fillId="0" borderId="20" xfId="117" applyNumberFormat="1" applyFont="1" applyBorder="1">
      <alignment/>
      <protection/>
    </xf>
    <xf numFmtId="3" fontId="30" fillId="0" borderId="86" xfId="117" applyNumberFormat="1" applyFont="1" applyBorder="1">
      <alignment/>
      <protection/>
    </xf>
    <xf numFmtId="167" fontId="33" fillId="0" borderId="89" xfId="114" applyNumberFormat="1" applyFont="1" applyBorder="1" applyAlignment="1">
      <alignment vertical="center"/>
      <protection/>
    </xf>
    <xf numFmtId="3" fontId="33" fillId="0" borderId="89" xfId="114" applyNumberFormat="1" applyFont="1" applyBorder="1" applyAlignment="1">
      <alignment vertical="center"/>
      <protection/>
    </xf>
    <xf numFmtId="3" fontId="33" fillId="0" borderId="90" xfId="114" applyNumberFormat="1" applyFont="1" applyBorder="1" applyAlignment="1">
      <alignment vertical="center"/>
      <protection/>
    </xf>
    <xf numFmtId="3" fontId="33" fillId="0" borderId="91" xfId="114" applyNumberFormat="1" applyFont="1" applyBorder="1" applyAlignment="1">
      <alignment vertical="center"/>
      <protection/>
    </xf>
    <xf numFmtId="167" fontId="33" fillId="0" borderId="91" xfId="114" applyNumberFormat="1" applyFont="1" applyBorder="1" applyAlignment="1">
      <alignment vertical="center"/>
      <protection/>
    </xf>
    <xf numFmtId="3" fontId="30" fillId="0" borderId="92" xfId="114" applyNumberFormat="1" applyFont="1" applyBorder="1" applyAlignment="1">
      <alignment vertical="center"/>
      <protection/>
    </xf>
    <xf numFmtId="3" fontId="30" fillId="0" borderId="93" xfId="114" applyNumberFormat="1" applyFont="1" applyBorder="1" applyAlignment="1">
      <alignment vertical="center"/>
      <protection/>
    </xf>
    <xf numFmtId="3" fontId="30" fillId="0" borderId="94" xfId="114" applyNumberFormat="1" applyFont="1" applyBorder="1" applyAlignment="1">
      <alignment vertical="center"/>
      <protection/>
    </xf>
    <xf numFmtId="0" fontId="24" fillId="0" borderId="20" xfId="114" applyFont="1" applyBorder="1" applyAlignment="1">
      <alignment vertical="center"/>
      <protection/>
    </xf>
    <xf numFmtId="4" fontId="33" fillId="0" borderId="56" xfId="117" applyNumberFormat="1" applyFont="1" applyBorder="1">
      <alignment/>
      <protection/>
    </xf>
    <xf numFmtId="4" fontId="33" fillId="0" borderId="58" xfId="117" applyNumberFormat="1" applyFont="1" applyBorder="1">
      <alignment/>
      <protection/>
    </xf>
    <xf numFmtId="3" fontId="30" fillId="0" borderId="86" xfId="114" applyNumberFormat="1" applyFont="1" applyBorder="1" applyAlignment="1">
      <alignment vertical="center"/>
      <protection/>
    </xf>
    <xf numFmtId="0" fontId="33" fillId="0" borderId="56" xfId="119" applyFont="1" applyBorder="1">
      <alignment/>
      <protection/>
    </xf>
    <xf numFmtId="3" fontId="33" fillId="0" borderId="22" xfId="114" applyNumberFormat="1" applyFont="1" applyBorder="1" applyAlignment="1">
      <alignment vertical="center"/>
      <protection/>
    </xf>
    <xf numFmtId="3" fontId="30" fillId="0" borderId="67" xfId="114" applyNumberFormat="1" applyFont="1" applyBorder="1" applyAlignment="1">
      <alignment vertical="center"/>
      <protection/>
    </xf>
    <xf numFmtId="3" fontId="33" fillId="0" borderId="58" xfId="117" applyNumberFormat="1" applyFont="1" applyBorder="1">
      <alignment/>
      <protection/>
    </xf>
    <xf numFmtId="167" fontId="33" fillId="0" borderId="58" xfId="117" applyNumberFormat="1" applyFont="1" applyBorder="1">
      <alignment/>
      <protection/>
    </xf>
    <xf numFmtId="3" fontId="30" fillId="0" borderId="95" xfId="114" applyNumberFormat="1" applyFont="1" applyBorder="1" applyAlignment="1">
      <alignment vertical="center"/>
      <protection/>
    </xf>
    <xf numFmtId="167" fontId="26" fillId="27" borderId="21" xfId="117" applyNumberFormat="1" applyFont="1" applyFill="1" applyBorder="1">
      <alignment/>
      <protection/>
    </xf>
    <xf numFmtId="0" fontId="26" fillId="27" borderId="21" xfId="119" applyFont="1" applyFill="1" applyBorder="1">
      <alignment/>
      <protection/>
    </xf>
    <xf numFmtId="3" fontId="26" fillId="27" borderId="21" xfId="114" applyNumberFormat="1" applyFont="1" applyFill="1" applyBorder="1" applyAlignment="1">
      <alignment vertical="center"/>
      <protection/>
    </xf>
    <xf numFmtId="3" fontId="26" fillId="27" borderId="22" xfId="114" applyNumberFormat="1" applyFont="1" applyFill="1" applyBorder="1" applyAlignment="1">
      <alignment vertical="center"/>
      <protection/>
    </xf>
    <xf numFmtId="167" fontId="26" fillId="27" borderId="20" xfId="117" applyNumberFormat="1" applyFont="1" applyFill="1" applyBorder="1">
      <alignment/>
      <protection/>
    </xf>
    <xf numFmtId="3" fontId="32" fillId="27" borderId="22" xfId="114" applyNumberFormat="1" applyFont="1" applyFill="1" applyBorder="1" applyAlignment="1">
      <alignment vertical="center"/>
      <protection/>
    </xf>
    <xf numFmtId="3" fontId="26" fillId="27" borderId="86" xfId="114" applyNumberFormat="1" applyFont="1" applyFill="1" applyBorder="1" applyAlignment="1">
      <alignment vertical="center"/>
      <protection/>
    </xf>
    <xf numFmtId="3" fontId="32" fillId="27" borderId="16" xfId="114" applyNumberFormat="1" applyFont="1" applyFill="1" applyBorder="1" applyAlignment="1">
      <alignment vertical="center"/>
      <protection/>
    </xf>
    <xf numFmtId="3" fontId="32" fillId="27" borderId="86" xfId="114" applyNumberFormat="1" applyFont="1" applyFill="1" applyBorder="1" applyAlignment="1">
      <alignment vertical="center"/>
      <protection/>
    </xf>
    <xf numFmtId="0" fontId="46" fillId="31" borderId="0" xfId="124" applyFont="1" applyFill="1">
      <alignment/>
      <protection/>
    </xf>
    <xf numFmtId="0" fontId="82" fillId="26" borderId="50" xfId="117" applyFont="1" applyFill="1" applyBorder="1">
      <alignment/>
      <protection/>
    </xf>
    <xf numFmtId="3" fontId="82" fillId="26" borderId="26" xfId="117" applyNumberFormat="1" applyFont="1" applyFill="1" applyBorder="1">
      <alignment/>
      <protection/>
    </xf>
    <xf numFmtId="0" fontId="82" fillId="26" borderId="26" xfId="119" applyFont="1" applyFill="1" applyBorder="1">
      <alignment/>
      <protection/>
    </xf>
    <xf numFmtId="3" fontId="82" fillId="26" borderId="26" xfId="114" applyNumberFormat="1" applyFont="1" applyFill="1" applyBorder="1" applyAlignment="1">
      <alignment vertical="center"/>
      <protection/>
    </xf>
    <xf numFmtId="3" fontId="82" fillId="26" borderId="41" xfId="114" applyNumberFormat="1" applyFont="1" applyFill="1" applyBorder="1" applyAlignment="1">
      <alignment vertical="center"/>
      <protection/>
    </xf>
    <xf numFmtId="3" fontId="82" fillId="26" borderId="50" xfId="117" applyNumberFormat="1" applyFont="1" applyFill="1" applyBorder="1">
      <alignment/>
      <protection/>
    </xf>
    <xf numFmtId="3" fontId="29" fillId="26" borderId="96" xfId="114" applyNumberFormat="1" applyFont="1" applyFill="1" applyBorder="1" applyAlignment="1">
      <alignment vertical="center"/>
      <protection/>
    </xf>
    <xf numFmtId="3" fontId="29" fillId="26" borderId="41" xfId="114" applyNumberFormat="1" applyFont="1" applyFill="1" applyBorder="1" applyAlignment="1">
      <alignment vertical="center"/>
      <protection/>
    </xf>
    <xf numFmtId="3" fontId="29" fillId="26" borderId="97" xfId="114" applyNumberFormat="1" applyFont="1" applyFill="1" applyBorder="1" applyAlignment="1">
      <alignment vertical="center"/>
      <protection/>
    </xf>
    <xf numFmtId="0" fontId="23" fillId="0" borderId="0" xfId="117" applyFont="1">
      <alignment/>
      <protection/>
    </xf>
    <xf numFmtId="0" fontId="30" fillId="0" borderId="0" xfId="124" applyFont="1">
      <alignment/>
      <protection/>
    </xf>
    <xf numFmtId="0" fontId="83" fillId="0" borderId="0" xfId="121" applyFont="1" applyAlignment="1">
      <alignment horizontal="right" wrapText="1"/>
      <protection/>
    </xf>
    <xf numFmtId="0" fontId="77" fillId="0" borderId="0" xfId="121" applyFont="1" applyAlignment="1">
      <alignment wrapText="1"/>
      <protection/>
    </xf>
    <xf numFmtId="165" fontId="65" fillId="0" borderId="0" xfId="120" applyNumberFormat="1" applyFont="1" applyAlignment="1">
      <alignment horizontal="center" vertical="center" wrapText="1"/>
      <protection/>
    </xf>
    <xf numFmtId="0" fontId="85" fillId="0" borderId="0" xfId="120" applyFont="1">
      <alignment/>
      <protection/>
    </xf>
    <xf numFmtId="0" fontId="22" fillId="0" borderId="0" xfId="109" applyFont="1" applyAlignment="1">
      <alignment horizontal="left"/>
      <protection/>
    </xf>
    <xf numFmtId="0" fontId="23" fillId="0" borderId="0" xfId="121" applyFont="1" applyAlignment="1">
      <alignment horizontal="center" wrapText="1"/>
      <protection/>
    </xf>
    <xf numFmtId="165" fontId="67" fillId="0" borderId="0" xfId="121" applyNumberFormat="1" applyFont="1" applyAlignment="1">
      <alignment horizontal="right" vertical="center" wrapText="1"/>
      <protection/>
    </xf>
    <xf numFmtId="165" fontId="67" fillId="0" borderId="0" xfId="121" applyNumberFormat="1" applyFont="1" applyAlignment="1">
      <alignment horizontal="center" vertical="center" wrapText="1"/>
      <protection/>
    </xf>
    <xf numFmtId="165" fontId="84" fillId="0" borderId="0" xfId="120" applyNumberFormat="1" applyFont="1" applyAlignment="1">
      <alignment horizontal="left" vertical="center"/>
      <protection/>
    </xf>
    <xf numFmtId="0" fontId="86" fillId="0" borderId="0" xfId="121" applyFont="1" applyAlignment="1">
      <alignment horizontal="right"/>
      <protection/>
    </xf>
    <xf numFmtId="0" fontId="87" fillId="0" borderId="0" xfId="121" applyFont="1">
      <alignment/>
      <protection/>
    </xf>
    <xf numFmtId="0" fontId="88" fillId="0" borderId="0" xfId="120" applyFont="1">
      <alignment/>
      <protection/>
    </xf>
    <xf numFmtId="165" fontId="58" fillId="0" borderId="0" xfId="120" applyNumberFormat="1" applyFont="1" applyAlignment="1">
      <alignment horizontal="centerContinuous" vertical="center"/>
      <protection/>
    </xf>
    <xf numFmtId="0" fontId="87" fillId="0" borderId="0" xfId="121" applyFont="1" applyAlignment="1">
      <alignment horizontal="right"/>
      <protection/>
    </xf>
    <xf numFmtId="0" fontId="59" fillId="0" borderId="54" xfId="120" applyFont="1" applyBorder="1" applyAlignment="1">
      <alignment horizontal="center" vertical="center" wrapText="1"/>
      <protection/>
    </xf>
    <xf numFmtId="0" fontId="84" fillId="0" borderId="0" xfId="121" applyFont="1">
      <alignment/>
      <protection/>
    </xf>
    <xf numFmtId="0" fontId="11" fillId="0" borderId="0" xfId="120" applyFont="1">
      <alignment/>
      <protection/>
    </xf>
    <xf numFmtId="0" fontId="11" fillId="0" borderId="20" xfId="120" applyFont="1" applyBorder="1" applyAlignment="1">
      <alignment horizontal="center" vertical="center"/>
      <protection/>
    </xf>
    <xf numFmtId="0" fontId="59" fillId="0" borderId="50" xfId="120" applyFont="1" applyBorder="1" applyAlignment="1">
      <alignment horizontal="center" vertical="center"/>
      <protection/>
    </xf>
    <xf numFmtId="0" fontId="61" fillId="0" borderId="0" xfId="120" applyFont="1" applyAlignment="1">
      <alignment horizontal="center" vertical="center"/>
      <protection/>
    </xf>
    <xf numFmtId="0" fontId="61" fillId="0" borderId="0" xfId="120" applyFont="1" applyAlignment="1">
      <alignment horizontal="center" vertical="center" wrapText="1"/>
      <protection/>
    </xf>
    <xf numFmtId="164" fontId="61" fillId="0" borderId="0" xfId="80" applyNumberFormat="1" applyFont="1" applyAlignment="1">
      <alignment horizontal="center"/>
    </xf>
    <xf numFmtId="0" fontId="59" fillId="0" borderId="56" xfId="120" applyFont="1" applyBorder="1" applyAlignment="1">
      <alignment horizontal="center" vertical="center" wrapText="1"/>
      <protection/>
    </xf>
    <xf numFmtId="166" fontId="59" fillId="0" borderId="56" xfId="120" applyNumberFormat="1" applyFont="1" applyBorder="1" applyAlignment="1">
      <alignment horizontal="center" vertical="center" wrapText="1"/>
      <protection/>
    </xf>
    <xf numFmtId="0" fontId="11" fillId="0" borderId="45" xfId="120" applyFont="1" applyBorder="1" applyAlignment="1">
      <alignment horizontal="center" vertical="center"/>
      <protection/>
    </xf>
    <xf numFmtId="0" fontId="11" fillId="0" borderId="60" xfId="120" applyFont="1" applyBorder="1" applyAlignment="1">
      <alignment horizontal="center" vertical="center"/>
      <protection/>
    </xf>
    <xf numFmtId="0" fontId="11" fillId="0" borderId="52" xfId="120" applyFont="1" applyBorder="1" applyAlignment="1">
      <alignment horizontal="center" vertical="center"/>
      <protection/>
    </xf>
    <xf numFmtId="0" fontId="11" fillId="0" borderId="48" xfId="120" applyFont="1" applyBorder="1" applyAlignment="1">
      <alignment horizontal="center" vertical="center"/>
      <protection/>
    </xf>
    <xf numFmtId="0" fontId="11" fillId="0" borderId="34" xfId="120" applyFont="1" applyBorder="1" applyProtection="1">
      <alignment/>
      <protection locked="0"/>
    </xf>
    <xf numFmtId="164" fontId="11" fillId="0" borderId="34" xfId="80" applyNumberFormat="1" applyFont="1" applyBorder="1" applyAlignment="1" applyProtection="1">
      <alignment/>
      <protection locked="0"/>
    </xf>
    <xf numFmtId="164" fontId="11" fillId="0" borderId="49" xfId="80" applyNumberFormat="1" applyFont="1" applyBorder="1" applyAlignment="1">
      <alignment/>
    </xf>
    <xf numFmtId="0" fontId="11" fillId="0" borderId="20" xfId="120" applyFont="1" applyBorder="1" applyAlignment="1">
      <alignment horizontal="center" vertical="center"/>
      <protection/>
    </xf>
    <xf numFmtId="0" fontId="11" fillId="0" borderId="21" xfId="120" applyFont="1" applyBorder="1" applyProtection="1">
      <alignment/>
      <protection locked="0"/>
    </xf>
    <xf numFmtId="164" fontId="11" fillId="0" borderId="21" xfId="80" applyNumberFormat="1" applyFont="1" applyBorder="1" applyAlignment="1" applyProtection="1">
      <alignment/>
      <protection locked="0"/>
    </xf>
    <xf numFmtId="164" fontId="11" fillId="0" borderId="22" xfId="80" applyNumberFormat="1" applyFont="1" applyBorder="1" applyAlignment="1">
      <alignment/>
    </xf>
    <xf numFmtId="0" fontId="59" fillId="0" borderId="45" xfId="120" applyFont="1" applyBorder="1" applyAlignment="1">
      <alignment horizontal="center" vertical="center"/>
      <protection/>
    </xf>
    <xf numFmtId="0" fontId="59" fillId="0" borderId="60" xfId="120" applyFont="1" applyBorder="1">
      <alignment/>
      <protection/>
    </xf>
    <xf numFmtId="164" fontId="59" fillId="0" borderId="60" xfId="120" applyNumberFormat="1" applyFont="1" applyBorder="1">
      <alignment/>
      <protection/>
    </xf>
    <xf numFmtId="164" fontId="59" fillId="0" borderId="52" xfId="120" applyNumberFormat="1" applyFont="1" applyBorder="1">
      <alignment/>
      <protection/>
    </xf>
    <xf numFmtId="0" fontId="58" fillId="0" borderId="0" xfId="120" applyFont="1">
      <alignment/>
      <protection/>
    </xf>
    <xf numFmtId="0" fontId="59" fillId="0" borderId="0" xfId="120" applyFont="1" applyAlignment="1">
      <alignment horizontal="center" vertical="center"/>
      <protection/>
    </xf>
    <xf numFmtId="0" fontId="59" fillId="0" borderId="0" xfId="120" applyFont="1">
      <alignment/>
      <protection/>
    </xf>
    <xf numFmtId="164" fontId="59" fillId="0" borderId="0" xfId="120" applyNumberFormat="1" applyFont="1">
      <alignment/>
      <protection/>
    </xf>
    <xf numFmtId="0" fontId="84" fillId="0" borderId="0" xfId="120" applyFont="1" applyAlignment="1">
      <alignment horizontal="left" wrapText="1"/>
      <protection/>
    </xf>
    <xf numFmtId="0" fontId="88" fillId="0" borderId="0" xfId="120" applyFont="1" applyAlignment="1">
      <alignment wrapText="1"/>
      <protection/>
    </xf>
    <xf numFmtId="0" fontId="61" fillId="0" borderId="61" xfId="120" applyFont="1" applyBorder="1" applyAlignment="1">
      <alignment horizontal="center" vertical="center" wrapText="1"/>
      <protection/>
    </xf>
    <xf numFmtId="0" fontId="61" fillId="0" borderId="98" xfId="120" applyFont="1" applyBorder="1" applyAlignment="1">
      <alignment horizontal="center" vertical="center"/>
      <protection/>
    </xf>
    <xf numFmtId="0" fontId="67" fillId="0" borderId="86" xfId="120" applyFont="1" applyBorder="1" applyAlignment="1">
      <alignment horizontal="center" vertical="center"/>
      <protection/>
    </xf>
    <xf numFmtId="0" fontId="67" fillId="0" borderId="16" xfId="120" applyFont="1" applyBorder="1" applyAlignment="1">
      <alignment horizontal="left"/>
      <protection/>
    </xf>
    <xf numFmtId="164" fontId="67" fillId="0" borderId="86" xfId="80" applyNumberFormat="1" applyFont="1" applyBorder="1" applyAlignment="1" applyProtection="1">
      <alignment/>
      <protection locked="0"/>
    </xf>
    <xf numFmtId="0" fontId="68" fillId="0" borderId="99" xfId="120" applyFont="1" applyBorder="1">
      <alignment/>
      <protection/>
    </xf>
    <xf numFmtId="0" fontId="68" fillId="0" borderId="100" xfId="120" applyFont="1" applyBorder="1">
      <alignment/>
      <protection/>
    </xf>
    <xf numFmtId="0" fontId="68" fillId="0" borderId="96" xfId="120" applyFont="1" applyBorder="1">
      <alignment/>
      <protection/>
    </xf>
    <xf numFmtId="164" fontId="61" fillId="0" borderId="97" xfId="80" applyNumberFormat="1" applyFont="1" applyBorder="1" applyAlignment="1">
      <alignment/>
    </xf>
    <xf numFmtId="0" fontId="82" fillId="26" borderId="0" xfId="117" applyFont="1" applyFill="1" applyBorder="1">
      <alignment/>
      <protection/>
    </xf>
    <xf numFmtId="3" fontId="82" fillId="26" borderId="0" xfId="117" applyNumberFormat="1" applyFont="1" applyFill="1" applyBorder="1">
      <alignment/>
      <protection/>
    </xf>
    <xf numFmtId="0" fontId="82" fillId="26" borderId="0" xfId="119" applyFont="1" applyFill="1" applyBorder="1">
      <alignment/>
      <protection/>
    </xf>
    <xf numFmtId="3" fontId="82" fillId="26" borderId="0" xfId="114" applyNumberFormat="1" applyFont="1" applyFill="1" applyBorder="1" applyAlignment="1">
      <alignment vertical="center"/>
      <protection/>
    </xf>
    <xf numFmtId="3" fontId="29" fillId="26" borderId="0" xfId="114" applyNumberFormat="1" applyFont="1" applyFill="1" applyBorder="1" applyAlignment="1">
      <alignment vertical="center"/>
      <protection/>
    </xf>
    <xf numFmtId="165" fontId="68" fillId="0" borderId="45" xfId="121" applyNumberFormat="1" applyFont="1" applyBorder="1" applyAlignment="1">
      <alignment horizontal="centerContinuous" vertical="center" wrapText="1"/>
      <protection/>
    </xf>
    <xf numFmtId="165" fontId="68" fillId="0" borderId="60" xfId="121" applyNumberFormat="1" applyFont="1" applyBorder="1" applyAlignment="1">
      <alignment horizontal="centerContinuous" vertical="center" wrapText="1"/>
      <protection/>
    </xf>
    <xf numFmtId="165" fontId="68" fillId="0" borderId="52" xfId="121" applyNumberFormat="1" applyFont="1" applyBorder="1" applyAlignment="1">
      <alignment horizontal="centerContinuous" vertical="center" wrapText="1"/>
      <protection/>
    </xf>
    <xf numFmtId="165" fontId="68" fillId="0" borderId="45" xfId="121" applyNumberFormat="1" applyFont="1" applyBorder="1" applyAlignment="1">
      <alignment horizontal="center" vertical="center" wrapText="1"/>
      <protection/>
    </xf>
    <xf numFmtId="165" fontId="68" fillId="0" borderId="60" xfId="121" applyNumberFormat="1" applyFont="1" applyBorder="1" applyAlignment="1">
      <alignment horizontal="center" vertical="center" wrapText="1"/>
      <protection/>
    </xf>
    <xf numFmtId="165" fontId="61" fillId="0" borderId="61" xfId="121" applyNumberFormat="1" applyFont="1" applyBorder="1" applyAlignment="1">
      <alignment horizontal="center" vertical="center" wrapText="1"/>
      <protection/>
    </xf>
    <xf numFmtId="165" fontId="61" fillId="0" borderId="45" xfId="121" applyNumberFormat="1" applyFont="1" applyBorder="1" applyAlignment="1">
      <alignment horizontal="center" vertical="center" wrapText="1"/>
      <protection/>
    </xf>
    <xf numFmtId="165" fontId="61" fillId="0" borderId="60" xfId="121" applyNumberFormat="1" applyFont="1" applyBorder="1" applyAlignment="1">
      <alignment horizontal="center" vertical="center" wrapText="1"/>
      <protection/>
    </xf>
    <xf numFmtId="165" fontId="61" fillId="0" borderId="52" xfId="121" applyNumberFormat="1" applyFont="1" applyBorder="1" applyAlignment="1">
      <alignment horizontal="center" vertical="center" wrapText="1"/>
      <protection/>
    </xf>
    <xf numFmtId="165" fontId="11" fillId="0" borderId="88" xfId="121" applyNumberFormat="1" applyBorder="1" applyAlignment="1">
      <alignment horizontal="left" vertical="center" wrapText="1" indent="1"/>
      <protection/>
    </xf>
    <xf numFmtId="165" fontId="67" fillId="0" borderId="48" xfId="121" applyNumberFormat="1" applyFont="1" applyBorder="1" applyAlignment="1">
      <alignment horizontal="left" vertical="center" wrapText="1" indent="1"/>
      <protection/>
    </xf>
    <xf numFmtId="165" fontId="67" fillId="0" borderId="34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49" xfId="121" applyNumberFormat="1" applyFont="1" applyBorder="1" applyAlignment="1" applyProtection="1">
      <alignment horizontal="right" vertical="center" wrapText="1" indent="1"/>
      <protection locked="0"/>
    </xf>
    <xf numFmtId="165" fontId="11" fillId="0" borderId="86" xfId="121" applyNumberFormat="1" applyBorder="1" applyAlignment="1">
      <alignment horizontal="left" vertical="center" wrapText="1" indent="1"/>
      <protection/>
    </xf>
    <xf numFmtId="165" fontId="67" fillId="0" borderId="20" xfId="121" applyNumberFormat="1" applyFont="1" applyBorder="1" applyAlignment="1">
      <alignment horizontal="left" vertical="center" wrapText="1" indent="1"/>
      <protection/>
    </xf>
    <xf numFmtId="165" fontId="67" fillId="0" borderId="21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22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01" xfId="121" applyNumberFormat="1" applyFont="1" applyBorder="1" applyAlignment="1">
      <alignment horizontal="left" vertical="center" wrapText="1" indent="1"/>
      <protection/>
    </xf>
    <xf numFmtId="165" fontId="67" fillId="0" borderId="59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20" xfId="121" applyNumberFormat="1" applyFont="1" applyBorder="1" applyAlignment="1" applyProtection="1">
      <alignment horizontal="left" vertical="center" wrapText="1" indent="1"/>
      <protection locked="0"/>
    </xf>
    <xf numFmtId="165" fontId="59" fillId="0" borderId="86" xfId="121" applyNumberFormat="1" applyFont="1" applyBorder="1" applyAlignment="1">
      <alignment horizontal="left" vertical="center" wrapText="1" indent="1"/>
      <protection/>
    </xf>
    <xf numFmtId="165" fontId="61" fillId="0" borderId="45" xfId="121" applyNumberFormat="1" applyFont="1" applyBorder="1" applyAlignment="1">
      <alignment horizontal="left" vertical="center" wrapText="1" indent="1"/>
      <protection/>
    </xf>
    <xf numFmtId="165" fontId="61" fillId="0" borderId="60" xfId="121" applyNumberFormat="1" applyFont="1" applyBorder="1" applyAlignment="1">
      <alignment horizontal="right" vertical="center" wrapText="1" indent="1"/>
      <protection/>
    </xf>
    <xf numFmtId="165" fontId="61" fillId="0" borderId="52" xfId="121" applyNumberFormat="1" applyFont="1" applyBorder="1" applyAlignment="1">
      <alignment horizontal="right" vertical="center" wrapText="1" indent="1"/>
      <protection/>
    </xf>
    <xf numFmtId="165" fontId="67" fillId="0" borderId="102" xfId="121" applyNumberFormat="1" applyFont="1" applyBorder="1" applyAlignment="1">
      <alignment horizontal="left" vertical="center" wrapText="1" indent="1"/>
      <protection/>
    </xf>
    <xf numFmtId="165" fontId="70" fillId="0" borderId="23" xfId="121" applyNumberFormat="1" applyFont="1" applyBorder="1" applyAlignment="1">
      <alignment horizontal="right" vertical="center" wrapText="1" indent="1"/>
      <protection/>
    </xf>
    <xf numFmtId="165" fontId="67" fillId="0" borderId="20" xfId="121" applyNumberFormat="1" applyFont="1" applyBorder="1" applyAlignment="1">
      <alignment horizontal="left" vertical="center" wrapText="1" indent="1"/>
      <protection/>
    </xf>
    <xf numFmtId="165" fontId="67" fillId="0" borderId="21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22" xfId="121" applyNumberFormat="1" applyFont="1" applyBorder="1" applyAlignment="1" applyProtection="1">
      <alignment horizontal="right" vertical="center" wrapText="1" indent="1"/>
      <protection locked="0"/>
    </xf>
    <xf numFmtId="165" fontId="70" fillId="0" borderId="21" xfId="121" applyNumberFormat="1" applyFont="1" applyBorder="1" applyAlignment="1">
      <alignment horizontal="right" vertical="center" wrapText="1" indent="1"/>
      <protection/>
    </xf>
    <xf numFmtId="165" fontId="67" fillId="0" borderId="103" xfId="121" applyNumberFormat="1" applyFont="1" applyBorder="1" applyAlignment="1">
      <alignment horizontal="left" vertical="center" wrapText="1" indent="1"/>
      <protection/>
    </xf>
    <xf numFmtId="165" fontId="67" fillId="0" borderId="23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7" xfId="121" applyNumberFormat="1" applyFont="1" applyBorder="1" applyAlignment="1">
      <alignment horizontal="left" vertical="center" wrapText="1" indent="1"/>
      <protection/>
    </xf>
    <xf numFmtId="165" fontId="61" fillId="0" borderId="27" xfId="121" applyNumberFormat="1" applyFont="1" applyBorder="1" applyAlignment="1">
      <alignment horizontal="left" vertical="center" wrapText="1" indent="1"/>
      <protection/>
    </xf>
    <xf numFmtId="165" fontId="61" fillId="0" borderId="41" xfId="121" applyNumberFormat="1" applyFont="1" applyBorder="1" applyAlignment="1">
      <alignment horizontal="right" vertical="center" wrapText="1" indent="1"/>
      <protection/>
    </xf>
    <xf numFmtId="165" fontId="59" fillId="0" borderId="45" xfId="121" applyNumberFormat="1" applyFont="1" applyBorder="1" applyAlignment="1">
      <alignment horizontal="left" vertical="center" wrapText="1" indent="1"/>
      <protection/>
    </xf>
    <xf numFmtId="165" fontId="59" fillId="0" borderId="104" xfId="121" applyNumberFormat="1" applyFont="1" applyBorder="1" applyAlignment="1">
      <alignment horizontal="right" vertical="center" wrapText="1" indent="1"/>
      <protection/>
    </xf>
    <xf numFmtId="165" fontId="69" fillId="0" borderId="20" xfId="121" applyNumberFormat="1" applyFont="1" applyBorder="1" applyAlignment="1">
      <alignment horizontal="left" vertical="center" wrapText="1" indent="1"/>
      <protection/>
    </xf>
    <xf numFmtId="165" fontId="69" fillId="0" borderId="22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02" xfId="121" applyNumberFormat="1" applyFont="1" applyBorder="1" applyAlignment="1">
      <alignment horizontal="left" vertical="center" wrapText="1" indent="1"/>
      <protection/>
    </xf>
    <xf numFmtId="165" fontId="67" fillId="0" borderId="105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20" xfId="121" applyNumberFormat="1" applyFont="1" applyBorder="1" applyAlignment="1" applyProtection="1" quotePrefix="1">
      <alignment horizontal="left" vertical="center" wrapText="1" indent="6"/>
      <protection locked="0"/>
    </xf>
    <xf numFmtId="165" fontId="59" fillId="0" borderId="61" xfId="121" applyNumberFormat="1" applyFont="1" applyBorder="1" applyAlignment="1">
      <alignment horizontal="left" vertical="center" wrapText="1" indent="1"/>
      <protection/>
    </xf>
    <xf numFmtId="165" fontId="70" fillId="0" borderId="102" xfId="121" applyNumberFormat="1" applyFont="1" applyBorder="1" applyAlignment="1">
      <alignment horizontal="left" vertical="center" wrapText="1" indent="1"/>
      <protection/>
    </xf>
    <xf numFmtId="165" fontId="70" fillId="0" borderId="34" xfId="121" applyNumberFormat="1" applyFont="1" applyBorder="1" applyAlignment="1">
      <alignment horizontal="right" vertical="center" wrapText="1" indent="1"/>
      <protection/>
    </xf>
    <xf numFmtId="165" fontId="67" fillId="0" borderId="20" xfId="121" applyNumberFormat="1" applyFont="1" applyBorder="1" applyAlignment="1">
      <alignment horizontal="left" vertical="center" wrapText="1" indent="2"/>
      <protection/>
    </xf>
    <xf numFmtId="165" fontId="67" fillId="0" borderId="21" xfId="121" applyNumberFormat="1" applyFont="1" applyBorder="1" applyAlignment="1">
      <alignment horizontal="left" vertical="center" wrapText="1" indent="2"/>
      <protection/>
    </xf>
    <xf numFmtId="165" fontId="70" fillId="0" borderId="21" xfId="121" applyNumberFormat="1" applyFont="1" applyBorder="1" applyAlignment="1">
      <alignment horizontal="left" vertical="center" wrapText="1" indent="1"/>
      <protection/>
    </xf>
    <xf numFmtId="165" fontId="67" fillId="0" borderId="48" xfId="121" applyNumberFormat="1" applyFont="1" applyBorder="1" applyAlignment="1">
      <alignment horizontal="left" vertical="center" wrapText="1" indent="1"/>
      <protection/>
    </xf>
    <xf numFmtId="165" fontId="67" fillId="0" borderId="48" xfId="121" applyNumberFormat="1" applyFont="1" applyBorder="1" applyAlignment="1" applyProtection="1">
      <alignment horizontal="left" vertical="center" wrapText="1" indent="1"/>
      <protection locked="0"/>
    </xf>
    <xf numFmtId="165" fontId="67" fillId="0" borderId="48" xfId="121" applyNumberFormat="1" applyFont="1" applyBorder="1" applyAlignment="1" applyProtection="1">
      <alignment horizontal="left" vertical="center" wrapText="1" indent="1"/>
      <protection locked="0"/>
    </xf>
    <xf numFmtId="165" fontId="67" fillId="0" borderId="48" xfId="121" applyNumberFormat="1" applyFont="1" applyBorder="1" applyAlignment="1">
      <alignment horizontal="left" vertical="center" wrapText="1" indent="2"/>
      <protection/>
    </xf>
    <xf numFmtId="165" fontId="67" fillId="0" borderId="58" xfId="121" applyNumberFormat="1" applyFont="1" applyBorder="1" applyAlignment="1">
      <alignment horizontal="left" vertical="center" wrapText="1" indent="2"/>
      <protection/>
    </xf>
    <xf numFmtId="165" fontId="68" fillId="0" borderId="46" xfId="121" applyNumberFormat="1" applyFont="1" applyBorder="1" applyAlignment="1">
      <alignment horizontal="centerContinuous" vertical="center" wrapText="1"/>
      <protection/>
    </xf>
    <xf numFmtId="165" fontId="68" fillId="0" borderId="46" xfId="121" applyNumberFormat="1" applyFont="1" applyBorder="1" applyAlignment="1">
      <alignment horizontal="center" vertical="center" wrapText="1"/>
      <protection/>
    </xf>
    <xf numFmtId="165" fontId="61" fillId="0" borderId="46" xfId="121" applyNumberFormat="1" applyFont="1" applyBorder="1" applyAlignment="1">
      <alignment horizontal="center" vertical="center" wrapText="1"/>
      <protection/>
    </xf>
    <xf numFmtId="165" fontId="67" fillId="0" borderId="42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7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6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7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03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6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67" xfId="121" applyNumberFormat="1" applyFont="1" applyBorder="1" applyAlignment="1" applyProtection="1">
      <alignment horizontal="right" vertical="center" wrapText="1" indent="1"/>
      <protection locked="0"/>
    </xf>
    <xf numFmtId="165" fontId="59" fillId="0" borderId="51" xfId="121" applyNumberFormat="1" applyFont="1" applyBorder="1" applyAlignment="1">
      <alignment horizontal="right" vertical="center" wrapText="1" indent="1"/>
      <protection/>
    </xf>
    <xf numFmtId="165" fontId="68" fillId="0" borderId="0" xfId="121" applyNumberFormat="1" applyFont="1" applyBorder="1" applyAlignment="1">
      <alignment horizontal="centerContinuous" vertical="center" wrapText="1"/>
      <protection/>
    </xf>
    <xf numFmtId="165" fontId="67" fillId="0" borderId="0" xfId="121" applyNumberFormat="1" applyFont="1" applyBorder="1" applyAlignment="1" applyProtection="1">
      <alignment horizontal="right" vertical="center" wrapText="1" indent="1"/>
      <protection locked="0"/>
    </xf>
    <xf numFmtId="165" fontId="68" fillId="0" borderId="106" xfId="121" applyNumberFormat="1" applyFont="1" applyBorder="1" applyAlignment="1">
      <alignment horizontal="centerContinuous" vertical="center" wrapText="1"/>
      <protection/>
    </xf>
    <xf numFmtId="165" fontId="68" fillId="0" borderId="106" xfId="121" applyNumberFormat="1" applyFont="1" applyBorder="1" applyAlignment="1">
      <alignment horizontal="center" vertical="center" wrapText="1"/>
      <protection/>
    </xf>
    <xf numFmtId="165" fontId="61" fillId="0" borderId="106" xfId="121" applyNumberFormat="1" applyFont="1" applyBorder="1" applyAlignment="1">
      <alignment horizontal="center" vertical="center" wrapText="1"/>
      <protection/>
    </xf>
    <xf numFmtId="165" fontId="68" fillId="0" borderId="107" xfId="121" applyNumberFormat="1" applyFont="1" applyBorder="1" applyAlignment="1">
      <alignment horizontal="centerContinuous" vertical="center" wrapText="1"/>
      <protection/>
    </xf>
    <xf numFmtId="165" fontId="61" fillId="0" borderId="108" xfId="121" applyNumberFormat="1" applyFont="1" applyBorder="1" applyAlignment="1">
      <alignment horizontal="center" vertical="center" wrapText="1"/>
      <protection/>
    </xf>
    <xf numFmtId="165" fontId="68" fillId="0" borderId="52" xfId="121" applyNumberFormat="1" applyFont="1" applyBorder="1" applyAlignment="1">
      <alignment horizontal="center" vertical="center" wrapText="1"/>
      <protection/>
    </xf>
    <xf numFmtId="165" fontId="67" fillId="0" borderId="109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47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26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10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41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11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59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00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47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56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12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42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20" xfId="121" applyNumberFormat="1" applyFont="1" applyBorder="1" applyAlignment="1" applyProtection="1">
      <alignment horizontal="right" vertical="center" wrapText="1" indent="1"/>
      <protection locked="0"/>
    </xf>
    <xf numFmtId="165" fontId="69" fillId="0" borderId="20" xfId="121" applyNumberFormat="1" applyFont="1" applyBorder="1" applyAlignment="1" applyProtection="1">
      <alignment horizontal="right" vertical="center" wrapText="1" indent="1"/>
      <protection locked="0"/>
    </xf>
    <xf numFmtId="165" fontId="69" fillId="0" borderId="21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50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48" xfId="121" applyNumberFormat="1" applyFont="1" applyBorder="1" applyAlignment="1" applyProtection="1">
      <alignment horizontal="right" vertical="center" wrapText="1" indent="1"/>
      <protection locked="0"/>
    </xf>
    <xf numFmtId="165" fontId="61" fillId="0" borderId="14" xfId="121" applyNumberFormat="1" applyFont="1" applyBorder="1" applyAlignment="1">
      <alignment horizontal="right" vertical="center" wrapText="1" indent="1"/>
      <protection/>
    </xf>
    <xf numFmtId="165" fontId="61" fillId="0" borderId="64" xfId="121" applyNumberFormat="1" applyFont="1" applyBorder="1" applyAlignment="1">
      <alignment horizontal="right" vertical="center" wrapText="1" indent="1"/>
      <protection/>
    </xf>
    <xf numFmtId="165" fontId="67" fillId="0" borderId="26" xfId="121" applyNumberFormat="1" applyFont="1" applyBorder="1" applyAlignment="1" applyProtection="1">
      <alignment horizontal="right" vertical="center" wrapText="1" indent="1"/>
      <protection locked="0"/>
    </xf>
    <xf numFmtId="165" fontId="67" fillId="0" borderId="109" xfId="121" applyNumberFormat="1" applyFont="1" applyBorder="1" applyAlignment="1" applyProtection="1">
      <alignment horizontal="right" vertical="center" wrapText="1" indent="1"/>
      <protection locked="0"/>
    </xf>
    <xf numFmtId="0" fontId="59" fillId="0" borderId="0" xfId="120" applyFont="1" applyBorder="1" applyAlignment="1">
      <alignment horizontal="center" vertical="center" wrapText="1"/>
      <protection/>
    </xf>
    <xf numFmtId="0" fontId="11" fillId="0" borderId="0" xfId="120" applyFont="1" applyBorder="1" applyAlignment="1">
      <alignment horizontal="center" vertical="center"/>
      <protection/>
    </xf>
    <xf numFmtId="164" fontId="11" fillId="0" borderId="0" xfId="80" applyNumberFormat="1" applyFont="1" applyBorder="1" applyAlignment="1" applyProtection="1">
      <alignment horizontal="center"/>
      <protection locked="0"/>
    </xf>
    <xf numFmtId="164" fontId="59" fillId="0" borderId="0" xfId="80" applyNumberFormat="1" applyFont="1" applyBorder="1" applyAlignment="1">
      <alignment horizontal="center"/>
    </xf>
    <xf numFmtId="0" fontId="11" fillId="0" borderId="0" xfId="120" applyFont="1" applyBorder="1" applyAlignment="1">
      <alignment horizontal="center" vertical="center"/>
      <protection/>
    </xf>
    <xf numFmtId="164" fontId="11" fillId="0" borderId="0" xfId="80" applyNumberFormat="1" applyFont="1" applyBorder="1" applyAlignment="1">
      <alignment/>
    </xf>
    <xf numFmtId="164" fontId="59" fillId="0" borderId="0" xfId="120" applyNumberFormat="1" applyFont="1" applyBorder="1">
      <alignment/>
      <protection/>
    </xf>
    <xf numFmtId="0" fontId="67" fillId="0" borderId="0" xfId="120" applyFont="1" applyBorder="1" applyAlignment="1">
      <alignment horizontal="left" vertical="center" wrapText="1"/>
      <protection/>
    </xf>
    <xf numFmtId="3" fontId="89" fillId="0" borderId="21" xfId="122" applyNumberFormat="1" applyFont="1" applyBorder="1">
      <alignment/>
      <protection/>
    </xf>
    <xf numFmtId="3" fontId="90" fillId="0" borderId="21" xfId="122" applyNumberFormat="1" applyFont="1" applyBorder="1">
      <alignment/>
      <protection/>
    </xf>
    <xf numFmtId="0" fontId="77" fillId="0" borderId="0" xfId="121" applyFont="1" applyAlignment="1">
      <alignment horizontal="right" wrapText="1"/>
      <protection/>
    </xf>
    <xf numFmtId="0" fontId="21" fillId="26" borderId="50" xfId="124" applyFont="1" applyFill="1" applyBorder="1" applyAlignment="1">
      <alignment horizontal="left" vertical="center"/>
      <protection/>
    </xf>
    <xf numFmtId="0" fontId="21" fillId="26" borderId="26" xfId="124" applyFont="1" applyFill="1" applyBorder="1" applyAlignment="1">
      <alignment horizontal="left" vertical="center"/>
      <protection/>
    </xf>
    <xf numFmtId="0" fontId="26" fillId="0" borderId="20" xfId="124" applyFont="1" applyBorder="1" applyAlignment="1">
      <alignment horizontal="left" vertical="center"/>
      <protection/>
    </xf>
    <xf numFmtId="0" fontId="26" fillId="0" borderId="21" xfId="124" applyFont="1" applyBorder="1" applyAlignment="1">
      <alignment horizontal="left" vertical="center"/>
      <protection/>
    </xf>
    <xf numFmtId="0" fontId="26" fillId="0" borderId="17" xfId="124" applyFont="1" applyBorder="1" applyAlignment="1">
      <alignment horizontal="left" vertical="center"/>
      <protection/>
    </xf>
    <xf numFmtId="0" fontId="32" fillId="0" borderId="24" xfId="124" applyFont="1" applyBorder="1" applyAlignment="1">
      <alignment horizontal="left" vertical="center" wrapText="1"/>
      <protection/>
    </xf>
    <xf numFmtId="0" fontId="32" fillId="0" borderId="17" xfId="124" applyFont="1" applyBorder="1" applyAlignment="1">
      <alignment horizontal="left" vertical="center" wrapText="1"/>
      <protection/>
    </xf>
    <xf numFmtId="0" fontId="32" fillId="0" borderId="17" xfId="124" applyFont="1" applyBorder="1" applyAlignment="1">
      <alignment horizontal="left" vertical="center"/>
      <protection/>
    </xf>
    <xf numFmtId="0" fontId="32" fillId="0" borderId="21" xfId="124" applyFont="1" applyBorder="1" applyAlignment="1">
      <alignment horizontal="left" vertical="center"/>
      <protection/>
    </xf>
    <xf numFmtId="0" fontId="26" fillId="0" borderId="24" xfId="124" applyFont="1" applyBorder="1" applyAlignment="1">
      <alignment horizontal="left" vertical="center" wrapText="1"/>
      <protection/>
    </xf>
    <xf numFmtId="0" fontId="26" fillId="0" borderId="16" xfId="124" applyFont="1" applyBorder="1" applyAlignment="1">
      <alignment horizontal="left" vertical="center" wrapText="1"/>
      <protection/>
    </xf>
    <xf numFmtId="0" fontId="26" fillId="0" borderId="17" xfId="124" applyFont="1" applyBorder="1" applyAlignment="1">
      <alignment horizontal="left" vertical="center" wrapText="1"/>
      <protection/>
    </xf>
    <xf numFmtId="0" fontId="26" fillId="0" borderId="16" xfId="124" applyFont="1" applyBorder="1" applyAlignment="1">
      <alignment horizontal="left" vertical="center"/>
      <protection/>
    </xf>
    <xf numFmtId="0" fontId="28" fillId="0" borderId="24" xfId="124" applyFont="1" applyBorder="1" applyAlignment="1">
      <alignment horizontal="left" vertical="center" wrapText="1"/>
      <protection/>
    </xf>
    <xf numFmtId="0" fontId="28" fillId="0" borderId="17" xfId="124" applyFont="1" applyBorder="1" applyAlignment="1">
      <alignment horizontal="left" vertical="center" wrapText="1"/>
      <protection/>
    </xf>
    <xf numFmtId="0" fontId="28" fillId="0" borderId="16" xfId="124" applyFont="1" applyBorder="1" applyAlignment="1">
      <alignment horizontal="left" vertical="center" wrapText="1"/>
      <protection/>
    </xf>
    <xf numFmtId="0" fontId="28" fillId="30" borderId="24" xfId="124" applyFont="1" applyFill="1" applyBorder="1" applyAlignment="1">
      <alignment horizontal="left" vertical="center" wrapText="1"/>
      <protection/>
    </xf>
    <xf numFmtId="0" fontId="0" fillId="30" borderId="17" xfId="0" applyFill="1" applyBorder="1" applyAlignment="1">
      <alignment horizontal="left" vertical="center" wrapText="1"/>
    </xf>
    <xf numFmtId="0" fontId="30" fillId="0" borderId="21" xfId="124" applyFont="1" applyBorder="1" applyAlignment="1">
      <alignment horizontal="left" vertical="center"/>
      <protection/>
    </xf>
    <xf numFmtId="0" fontId="28" fillId="0" borderId="24" xfId="124" applyFont="1" applyBorder="1" applyAlignment="1">
      <alignment horizontal="left" vertical="center"/>
      <protection/>
    </xf>
    <xf numFmtId="0" fontId="28" fillId="0" borderId="17" xfId="124" applyFont="1" applyBorder="1" applyAlignment="1">
      <alignment horizontal="left" vertical="center"/>
      <protection/>
    </xf>
    <xf numFmtId="0" fontId="28" fillId="0" borderId="16" xfId="124" applyFont="1" applyBorder="1" applyAlignment="1">
      <alignment horizontal="left"/>
      <protection/>
    </xf>
    <xf numFmtId="0" fontId="28" fillId="0" borderId="17" xfId="124" applyFont="1" applyBorder="1" applyAlignment="1">
      <alignment horizontal="left"/>
      <protection/>
    </xf>
    <xf numFmtId="0" fontId="28" fillId="30" borderId="16" xfId="124" applyFont="1" applyFill="1" applyBorder="1" applyAlignment="1">
      <alignment horizontal="left" vertical="center" wrapText="1"/>
      <protection/>
    </xf>
    <xf numFmtId="0" fontId="28" fillId="0" borderId="16" xfId="124" applyFont="1" applyBorder="1" applyAlignment="1">
      <alignment horizontal="left" vertical="center"/>
      <protection/>
    </xf>
    <xf numFmtId="0" fontId="21" fillId="0" borderId="0" xfId="124" applyFont="1" applyAlignment="1">
      <alignment horizontal="center"/>
      <protection/>
    </xf>
    <xf numFmtId="0" fontId="22" fillId="0" borderId="0" xfId="109" applyFont="1" applyAlignment="1">
      <alignment horizontal="left" wrapText="1"/>
      <protection/>
    </xf>
    <xf numFmtId="0" fontId="24" fillId="0" borderId="10" xfId="124" applyFont="1" applyBorder="1" applyAlignment="1">
      <alignment horizontal="right"/>
      <protection/>
    </xf>
    <xf numFmtId="0" fontId="26" fillId="0" borderId="24" xfId="124" applyFont="1" applyBorder="1" applyAlignment="1">
      <alignment horizontal="left" vertical="center"/>
      <protection/>
    </xf>
    <xf numFmtId="0" fontId="36" fillId="0" borderId="25" xfId="109" applyFont="1" applyBorder="1" applyAlignment="1">
      <alignment horizontal="center" wrapText="1"/>
      <protection/>
    </xf>
    <xf numFmtId="0" fontId="0" fillId="0" borderId="53" xfId="0" applyBorder="1" applyAlignment="1">
      <alignment horizontal="center" wrapText="1"/>
    </xf>
    <xf numFmtId="0" fontId="22" fillId="0" borderId="43" xfId="109" applyFont="1" applyBorder="1" applyAlignment="1">
      <alignment horizontal="right" wrapText="1"/>
      <protection/>
    </xf>
    <xf numFmtId="0" fontId="36" fillId="0" borderId="53" xfId="109" applyFont="1" applyBorder="1" applyAlignment="1">
      <alignment horizontal="center" wrapText="1"/>
      <protection/>
    </xf>
    <xf numFmtId="0" fontId="39" fillId="0" borderId="113" xfId="109" applyFont="1" applyBorder="1" applyAlignment="1">
      <alignment horizontal="center" wrapText="1"/>
      <protection/>
    </xf>
    <xf numFmtId="0" fontId="39" fillId="0" borderId="114" xfId="109" applyFont="1" applyBorder="1" applyAlignment="1">
      <alignment horizontal="center" wrapText="1"/>
      <protection/>
    </xf>
    <xf numFmtId="0" fontId="39" fillId="0" borderId="115" xfId="109" applyFont="1" applyBorder="1" applyAlignment="1">
      <alignment horizontal="center" wrapText="1"/>
      <protection/>
    </xf>
    <xf numFmtId="0" fontId="34" fillId="0" borderId="0" xfId="109" applyFont="1" applyAlignment="1">
      <alignment horizontal="center" wrapText="1"/>
      <protection/>
    </xf>
    <xf numFmtId="0" fontId="35" fillId="0" borderId="0" xfId="109" applyFont="1" applyAlignment="1">
      <alignment horizontal="center" wrapText="1"/>
      <protection/>
    </xf>
    <xf numFmtId="0" fontId="22" fillId="0" borderId="0" xfId="109" applyFont="1" applyAlignment="1">
      <alignment horizontal="right" wrapText="1"/>
      <protection/>
    </xf>
    <xf numFmtId="0" fontId="35" fillId="0" borderId="0" xfId="109" applyFont="1" applyAlignment="1">
      <alignment horizontal="right" wrapText="1"/>
      <protection/>
    </xf>
    <xf numFmtId="0" fontId="37" fillId="0" borderId="0" xfId="109" applyFont="1" applyAlignment="1">
      <alignment horizontal="right" wrapText="1"/>
      <protection/>
    </xf>
    <xf numFmtId="0" fontId="35" fillId="0" borderId="25" xfId="109" applyFont="1" applyBorder="1" applyAlignment="1">
      <alignment horizontal="center" wrapText="1"/>
      <protection/>
    </xf>
    <xf numFmtId="0" fontId="35" fillId="0" borderId="53" xfId="109" applyFont="1" applyBorder="1" applyAlignment="1">
      <alignment horizontal="center" wrapText="1"/>
      <protection/>
    </xf>
    <xf numFmtId="0" fontId="38" fillId="0" borderId="116" xfId="109" applyFont="1" applyBorder="1" applyAlignment="1">
      <alignment horizontal="center" wrapText="1"/>
      <protection/>
    </xf>
    <xf numFmtId="0" fontId="38" fillId="0" borderId="117" xfId="109" applyFont="1" applyBorder="1" applyAlignment="1">
      <alignment horizontal="center" wrapText="1"/>
      <protection/>
    </xf>
    <xf numFmtId="0" fontId="22" fillId="0" borderId="43" xfId="109" applyFont="1" applyBorder="1" applyAlignment="1">
      <alignment horizontal="left" wrapText="1"/>
      <protection/>
    </xf>
    <xf numFmtId="0" fontId="37" fillId="0" borderId="43" xfId="109" applyFont="1" applyBorder="1" applyAlignment="1">
      <alignment horizontal="right" wrapText="1"/>
      <protection/>
    </xf>
    <xf numFmtId="0" fontId="51" fillId="0" borderId="0" xfId="122" applyFont="1" applyAlignment="1" applyProtection="1">
      <alignment horizontal="center" vertical="center" wrapText="1"/>
      <protection locked="0"/>
    </xf>
    <xf numFmtId="0" fontId="35" fillId="0" borderId="47" xfId="113" applyFont="1" applyBorder="1" applyAlignment="1">
      <alignment horizontal="center" wrapText="1"/>
      <protection/>
    </xf>
    <xf numFmtId="0" fontId="35" fillId="0" borderId="110" xfId="113" applyFont="1" applyBorder="1" applyAlignment="1">
      <alignment horizontal="center" wrapText="1"/>
      <protection/>
    </xf>
    <xf numFmtId="0" fontId="54" fillId="0" borderId="54" xfId="113" applyFont="1" applyBorder="1" applyAlignment="1">
      <alignment horizontal="center" wrapText="1"/>
      <protection/>
    </xf>
    <xf numFmtId="0" fontId="54" fillId="0" borderId="50" xfId="113" applyFont="1" applyBorder="1" applyAlignment="1">
      <alignment horizontal="center" wrapText="1"/>
      <protection/>
    </xf>
    <xf numFmtId="0" fontId="35" fillId="0" borderId="12" xfId="113" applyFont="1" applyBorder="1" applyAlignment="1">
      <alignment horizontal="center" wrapText="1"/>
      <protection/>
    </xf>
    <xf numFmtId="0" fontId="0" fillId="0" borderId="63" xfId="0" applyBorder="1" applyAlignment="1">
      <alignment horizontal="center" wrapText="1"/>
    </xf>
    <xf numFmtId="0" fontId="35" fillId="0" borderId="26" xfId="113" applyFont="1" applyBorder="1" applyAlignment="1">
      <alignment horizontal="center" wrapText="1"/>
      <protection/>
    </xf>
    <xf numFmtId="0" fontId="24" fillId="0" borderId="0" xfId="122" applyFont="1" applyAlignment="1">
      <alignment horizontal="right" wrapText="1"/>
      <protection/>
    </xf>
    <xf numFmtId="0" fontId="35" fillId="0" borderId="47" xfId="109" applyFont="1" applyBorder="1" applyAlignment="1">
      <alignment horizontal="center" wrapText="1"/>
      <protection/>
    </xf>
    <xf numFmtId="0" fontId="35" fillId="0" borderId="26" xfId="109" applyFont="1" applyBorder="1" applyAlignment="1">
      <alignment horizontal="center" wrapText="1"/>
      <protection/>
    </xf>
    <xf numFmtId="0" fontId="35" fillId="0" borderId="118" xfId="109" applyFont="1" applyBorder="1" applyAlignment="1">
      <alignment horizontal="center" wrapText="1"/>
      <protection/>
    </xf>
    <xf numFmtId="0" fontId="35" fillId="0" borderId="119" xfId="109" applyFont="1" applyBorder="1" applyAlignment="1">
      <alignment horizontal="center" wrapText="1"/>
      <protection/>
    </xf>
    <xf numFmtId="0" fontId="35" fillId="0" borderId="55" xfId="109" applyFont="1" applyBorder="1" applyAlignment="1">
      <alignment horizontal="center" wrapText="1"/>
      <protection/>
    </xf>
    <xf numFmtId="0" fontId="54" fillId="0" borderId="54" xfId="109" applyFont="1" applyBorder="1" applyAlignment="1">
      <alignment horizontal="center" wrapText="1"/>
      <protection/>
    </xf>
    <xf numFmtId="0" fontId="54" fillId="0" borderId="50" xfId="109" applyFont="1" applyBorder="1" applyAlignment="1">
      <alignment horizontal="center" wrapText="1"/>
      <protection/>
    </xf>
    <xf numFmtId="0" fontId="32" fillId="26" borderId="107" xfId="117" applyFont="1" applyFill="1" applyBorder="1" applyAlignment="1">
      <alignment horizontal="center" vertical="center" wrapText="1"/>
      <protection/>
    </xf>
    <xf numFmtId="0" fontId="32" fillId="26" borderId="120" xfId="117" applyFont="1" applyFill="1" applyBorder="1" applyAlignment="1">
      <alignment horizontal="center" vertical="center" wrapText="1"/>
      <protection/>
    </xf>
    <xf numFmtId="0" fontId="32" fillId="26" borderId="88" xfId="117" applyFont="1" applyFill="1" applyBorder="1" applyAlignment="1">
      <alignment horizontal="center" vertical="center" wrapText="1"/>
      <protection/>
    </xf>
    <xf numFmtId="0" fontId="25" fillId="0" borderId="0" xfId="124" applyFont="1" applyAlignment="1">
      <alignment horizontal="center"/>
      <protection/>
    </xf>
    <xf numFmtId="0" fontId="26" fillId="26" borderId="121" xfId="117" applyFont="1" applyFill="1" applyBorder="1" applyAlignment="1">
      <alignment horizontal="center" vertical="center"/>
      <protection/>
    </xf>
    <xf numFmtId="0" fontId="26" fillId="26" borderId="119" xfId="117" applyFont="1" applyFill="1" applyBorder="1" applyAlignment="1">
      <alignment horizontal="center" vertical="center"/>
      <protection/>
    </xf>
    <xf numFmtId="0" fontId="26" fillId="26" borderId="122" xfId="117" applyFont="1" applyFill="1" applyBorder="1" applyAlignment="1">
      <alignment horizontal="center" vertical="center"/>
      <protection/>
    </xf>
    <xf numFmtId="0" fontId="74" fillId="0" borderId="0" xfId="124" applyFont="1" applyAlignment="1">
      <alignment horizontal="right"/>
      <protection/>
    </xf>
    <xf numFmtId="0" fontId="26" fillId="26" borderId="123" xfId="117" applyFont="1" applyFill="1" applyBorder="1" applyAlignment="1">
      <alignment horizontal="center" vertical="center"/>
      <protection/>
    </xf>
    <xf numFmtId="0" fontId="26" fillId="26" borderId="48" xfId="117" applyFont="1" applyFill="1" applyBorder="1" applyAlignment="1">
      <alignment horizontal="center" vertical="center"/>
      <protection/>
    </xf>
    <xf numFmtId="0" fontId="26" fillId="26" borderId="118" xfId="117" applyFont="1" applyFill="1" applyBorder="1" applyAlignment="1">
      <alignment horizontal="center" vertical="center"/>
      <protection/>
    </xf>
    <xf numFmtId="0" fontId="26" fillId="26" borderId="55" xfId="117" applyFont="1" applyFill="1" applyBorder="1" applyAlignment="1">
      <alignment horizontal="center" vertical="center"/>
      <protection/>
    </xf>
    <xf numFmtId="0" fontId="74" fillId="0" borderId="0" xfId="124" applyFont="1" applyAlignment="1">
      <alignment horizontal="center"/>
      <protection/>
    </xf>
    <xf numFmtId="0" fontId="60" fillId="0" borderId="0" xfId="116" applyFont="1" applyAlignment="1">
      <alignment horizontal="center"/>
      <protection/>
    </xf>
    <xf numFmtId="165" fontId="68" fillId="0" borderId="107" xfId="121" applyNumberFormat="1" applyFont="1" applyBorder="1" applyAlignment="1">
      <alignment horizontal="center" vertical="center" wrapText="1"/>
      <protection/>
    </xf>
    <xf numFmtId="165" fontId="68" fillId="0" borderId="108" xfId="121" applyNumberFormat="1" applyFont="1" applyBorder="1" applyAlignment="1">
      <alignment horizontal="center" vertical="center" wrapText="1"/>
      <protection/>
    </xf>
    <xf numFmtId="165" fontId="66" fillId="0" borderId="0" xfId="121" applyNumberFormat="1" applyFont="1" applyAlignment="1">
      <alignment horizontal="center" textRotation="180" wrapText="1"/>
      <protection/>
    </xf>
    <xf numFmtId="165" fontId="71" fillId="0" borderId="15" xfId="121" applyNumberFormat="1" applyFont="1" applyBorder="1" applyAlignment="1">
      <alignment horizontal="center" vertical="center" wrapText="1"/>
      <protection/>
    </xf>
    <xf numFmtId="165" fontId="68" fillId="0" borderId="98" xfId="121" applyNumberFormat="1" applyFont="1" applyBorder="1" applyAlignment="1">
      <alignment horizontal="center" vertical="center" wrapText="1"/>
      <protection/>
    </xf>
    <xf numFmtId="165" fontId="68" fillId="0" borderId="97" xfId="121" applyNumberFormat="1" applyFont="1" applyBorder="1" applyAlignment="1">
      <alignment horizontal="center" vertical="center" wrapText="1"/>
      <protection/>
    </xf>
    <xf numFmtId="0" fontId="24" fillId="0" borderId="62" xfId="124" applyFont="1" applyBorder="1" applyAlignment="1">
      <alignment horizontal="right"/>
      <protection/>
    </xf>
    <xf numFmtId="0" fontId="11" fillId="0" borderId="15" xfId="121" applyBorder="1" applyAlignment="1">
      <alignment horizontal="justify" vertical="center" wrapText="1"/>
      <protection/>
    </xf>
    <xf numFmtId="0" fontId="25" fillId="0" borderId="0" xfId="121" applyFont="1" applyAlignment="1">
      <alignment horizontal="center" wrapText="1"/>
      <protection/>
    </xf>
    <xf numFmtId="0" fontId="77" fillId="0" borderId="0" xfId="121" applyFont="1" applyAlignment="1">
      <alignment horizontal="right" wrapText="1"/>
      <protection/>
    </xf>
    <xf numFmtId="165" fontId="84" fillId="0" borderId="0" xfId="120" applyNumberFormat="1" applyFont="1" applyAlignment="1">
      <alignment horizontal="left" vertical="center"/>
      <protection/>
    </xf>
    <xf numFmtId="0" fontId="59" fillId="0" borderId="47" xfId="120" applyFont="1" applyBorder="1" applyAlignment="1">
      <alignment horizontal="center" vertical="center" wrapText="1"/>
      <protection/>
    </xf>
    <xf numFmtId="0" fontId="59" fillId="0" borderId="110" xfId="120" applyFont="1" applyBorder="1" applyAlignment="1">
      <alignment horizontal="center" vertical="center" wrapText="1"/>
      <protection/>
    </xf>
    <xf numFmtId="0" fontId="11" fillId="0" borderId="21" xfId="120" applyFont="1" applyBorder="1" applyAlignment="1">
      <alignment horizontal="center" vertical="center"/>
      <protection/>
    </xf>
    <xf numFmtId="0" fontId="11" fillId="0" borderId="22" xfId="120" applyFont="1" applyBorder="1" applyAlignment="1">
      <alignment horizontal="center" vertical="center"/>
      <protection/>
    </xf>
    <xf numFmtId="165" fontId="65" fillId="0" borderId="0" xfId="120" applyNumberFormat="1" applyFont="1" applyAlignment="1">
      <alignment horizontal="center" vertical="center" wrapText="1"/>
      <protection/>
    </xf>
    <xf numFmtId="0" fontId="83" fillId="0" borderId="0" xfId="121" applyFont="1" applyAlignment="1">
      <alignment horizontal="right" wrapText="1"/>
      <protection/>
    </xf>
    <xf numFmtId="165" fontId="67" fillId="0" borderId="0" xfId="121" applyNumberFormat="1" applyFont="1" applyAlignment="1">
      <alignment horizontal="right" vertical="center" wrapText="1"/>
      <protection/>
    </xf>
    <xf numFmtId="0" fontId="67" fillId="0" borderId="15" xfId="120" applyFont="1" applyBorder="1" applyAlignment="1">
      <alignment horizontal="left" vertical="center" wrapText="1"/>
      <protection/>
    </xf>
    <xf numFmtId="0" fontId="11" fillId="0" borderId="21" xfId="120" applyFont="1" applyBorder="1" applyAlignment="1" applyProtection="1">
      <alignment horizontal="center"/>
      <protection locked="0"/>
    </xf>
    <xf numFmtId="164" fontId="11" fillId="0" borderId="21" xfId="80" applyNumberFormat="1" applyFont="1" applyBorder="1" applyAlignment="1" applyProtection="1">
      <alignment horizontal="center"/>
      <protection locked="0"/>
    </xf>
    <xf numFmtId="164" fontId="11" fillId="0" borderId="22" xfId="80" applyNumberFormat="1" applyFont="1" applyBorder="1" applyAlignment="1" applyProtection="1">
      <alignment horizontal="center"/>
      <protection locked="0"/>
    </xf>
    <xf numFmtId="0" fontId="59" fillId="0" borderId="100" xfId="120" applyFont="1" applyBorder="1" applyAlignment="1">
      <alignment horizontal="left" vertical="center" wrapText="1"/>
      <protection/>
    </xf>
    <xf numFmtId="0" fontId="59" fillId="0" borderId="96" xfId="120" applyFont="1" applyBorder="1" applyAlignment="1">
      <alignment horizontal="left" vertical="center" wrapText="1"/>
      <protection/>
    </xf>
    <xf numFmtId="0" fontId="59" fillId="0" borderId="27" xfId="120" applyFont="1" applyBorder="1" applyAlignment="1">
      <alignment horizontal="left" vertical="center" wrapText="1"/>
      <protection/>
    </xf>
    <xf numFmtId="164" fontId="59" fillId="0" borderId="26" xfId="80" applyNumberFormat="1" applyFont="1" applyBorder="1" applyAlignment="1">
      <alignment horizontal="center"/>
    </xf>
    <xf numFmtId="164" fontId="59" fillId="0" borderId="41" xfId="80" applyNumberFormat="1" applyFont="1" applyBorder="1" applyAlignment="1">
      <alignment horizontal="center"/>
    </xf>
    <xf numFmtId="0" fontId="59" fillId="0" borderId="54" xfId="120" applyFont="1" applyBorder="1" applyAlignment="1">
      <alignment horizontal="center" vertical="center" wrapText="1"/>
      <protection/>
    </xf>
    <xf numFmtId="0" fontId="59" fillId="0" borderId="58" xfId="120" applyFont="1" applyBorder="1" applyAlignment="1">
      <alignment horizontal="center" vertical="center" wrapText="1"/>
      <protection/>
    </xf>
    <xf numFmtId="0" fontId="59" fillId="0" borderId="112" xfId="120" applyFont="1" applyBorder="1" applyAlignment="1">
      <alignment horizontal="center" vertical="center" wrapText="1"/>
      <protection/>
    </xf>
    <xf numFmtId="0" fontId="84" fillId="0" borderId="0" xfId="120" applyFont="1" applyAlignment="1">
      <alignment horizontal="left" wrapText="1"/>
      <protection/>
    </xf>
    <xf numFmtId="0" fontId="61" fillId="0" borderId="104" xfId="120" applyFont="1" applyBorder="1" applyAlignment="1">
      <alignment horizontal="center" vertical="center" wrapText="1"/>
      <protection/>
    </xf>
    <xf numFmtId="0" fontId="61" fillId="0" borderId="61" xfId="120" applyFont="1" applyBorder="1" applyAlignment="1">
      <alignment horizontal="center" vertical="center" wrapText="1"/>
      <protection/>
    </xf>
    <xf numFmtId="0" fontId="11" fillId="0" borderId="59" xfId="120" applyFont="1" applyBorder="1" applyAlignment="1" applyProtection="1">
      <alignment horizontal="left"/>
      <protection locked="0"/>
    </xf>
    <xf numFmtId="0" fontId="11" fillId="0" borderId="16" xfId="120" applyFont="1" applyBorder="1" applyAlignment="1" applyProtection="1">
      <alignment horizontal="left"/>
      <protection locked="0"/>
    </xf>
    <xf numFmtId="0" fontId="11" fillId="0" borderId="17" xfId="120" applyFont="1" applyBorder="1" applyAlignment="1" applyProtection="1">
      <alignment horizontal="left"/>
      <protection locked="0"/>
    </xf>
    <xf numFmtId="0" fontId="61" fillId="0" borderId="122" xfId="120" applyFont="1" applyBorder="1" applyAlignment="1">
      <alignment horizontal="center" vertical="center"/>
      <protection/>
    </xf>
    <xf numFmtId="0" fontId="61" fillId="0" borderId="98" xfId="120" applyFont="1" applyBorder="1" applyAlignment="1">
      <alignment horizontal="center" vertical="center"/>
      <protection/>
    </xf>
    <xf numFmtId="0" fontId="61" fillId="0" borderId="121" xfId="120" applyFont="1" applyBorder="1" applyAlignment="1">
      <alignment horizontal="center" vertical="center"/>
      <protection/>
    </xf>
    <xf numFmtId="0" fontId="67" fillId="0" borderId="24" xfId="120" applyFont="1" applyBorder="1" applyAlignment="1">
      <alignment horizontal="left"/>
      <protection/>
    </xf>
    <xf numFmtId="0" fontId="67" fillId="0" borderId="16" xfId="120" applyFont="1" applyBorder="1" applyAlignment="1">
      <alignment horizontal="left"/>
      <protection/>
    </xf>
    <xf numFmtId="0" fontId="67" fillId="0" borderId="18" xfId="120" applyFont="1" applyBorder="1" applyAlignment="1">
      <alignment horizontal="left"/>
      <protection/>
    </xf>
    <xf numFmtId="0" fontId="59" fillId="0" borderId="56" xfId="120" applyFont="1" applyBorder="1" applyAlignment="1">
      <alignment horizontal="center" vertical="center" wrapText="1"/>
      <protection/>
    </xf>
    <xf numFmtId="0" fontId="59" fillId="0" borderId="118" xfId="120" applyFont="1" applyBorder="1" applyAlignment="1">
      <alignment horizontal="center" vertical="center" wrapText="1"/>
      <protection/>
    </xf>
    <xf numFmtId="0" fontId="59" fillId="0" borderId="119" xfId="120" applyFont="1" applyBorder="1" applyAlignment="1">
      <alignment horizontal="center" vertical="center" wrapText="1"/>
      <protection/>
    </xf>
    <xf numFmtId="0" fontId="59" fillId="0" borderId="55" xfId="120" applyFont="1" applyBorder="1" applyAlignment="1">
      <alignment horizontal="center" vertical="center" wrapText="1"/>
      <protection/>
    </xf>
  </cellXfs>
  <cellStyles count="12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Ezres 4 2" xfId="79"/>
    <cellStyle name="Ezres 5" xfId="80"/>
    <cellStyle name="Figyelmeztetés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Hivatkozott cella" xfId="88"/>
    <cellStyle name="Input" xfId="89"/>
    <cellStyle name="Jegyzet" xfId="90"/>
    <cellStyle name="Jelölőszín (1)" xfId="91"/>
    <cellStyle name="Jelölőszín (2)" xfId="92"/>
    <cellStyle name="Jelölőszín (3)" xfId="93"/>
    <cellStyle name="Jelölőszín (4)" xfId="94"/>
    <cellStyle name="Jelölőszín (5)" xfId="95"/>
    <cellStyle name="Jelölőszín (6)" xfId="96"/>
    <cellStyle name="Jelölőszín 1" xfId="97"/>
    <cellStyle name="Jelölőszín 2" xfId="98"/>
    <cellStyle name="Jelölőszín 3" xfId="99"/>
    <cellStyle name="Jelölőszín 4" xfId="100"/>
    <cellStyle name="Jelölőszín 5" xfId="101"/>
    <cellStyle name="Jelölőszín 6" xfId="102"/>
    <cellStyle name="Jó" xfId="103"/>
    <cellStyle name="Kimenet" xfId="104"/>
    <cellStyle name="Followed Hyperlink" xfId="105"/>
    <cellStyle name="Linked Cell" xfId="106"/>
    <cellStyle name="Magyarázó szöveg" xfId="107"/>
    <cellStyle name="Neutral" xfId="108"/>
    <cellStyle name="Normál 2" xfId="109"/>
    <cellStyle name="Normál 3" xfId="110"/>
    <cellStyle name="Normál 4" xfId="111"/>
    <cellStyle name="Normál 5" xfId="112"/>
    <cellStyle name="Normál 6" xfId="113"/>
    <cellStyle name="Normál_  3   _2010.évi állami" xfId="114"/>
    <cellStyle name="Normál_11szm" xfId="115"/>
    <cellStyle name="Normál_12.sz.mell.2013.évi fejlesztés" xfId="116"/>
    <cellStyle name="Normál_2004.évi normatívák" xfId="117"/>
    <cellStyle name="Normál_3aszm" xfId="118"/>
    <cellStyle name="Normál_költségvetés módosítás I." xfId="119"/>
    <cellStyle name="Normál_KVRENMUNKA" xfId="120"/>
    <cellStyle name="Normál_Másolat eredetijeKVIREND" xfId="121"/>
    <cellStyle name="Normál_Táblák 01-08 08.31." xfId="122"/>
    <cellStyle name="Normal_tanusitv" xfId="123"/>
    <cellStyle name="Normál_Zalakaros" xfId="124"/>
    <cellStyle name="Note" xfId="125"/>
    <cellStyle name="Output" xfId="126"/>
    <cellStyle name="Összesen" xfId="127"/>
    <cellStyle name="Currency" xfId="128"/>
    <cellStyle name="Currency [0]" xfId="129"/>
    <cellStyle name="Rossz" xfId="130"/>
    <cellStyle name="Semleges" xfId="131"/>
    <cellStyle name="Számítás" xfId="132"/>
    <cellStyle name="Percent" xfId="133"/>
    <cellStyle name="Százalék 2" xfId="134"/>
    <cellStyle name="Title" xfId="135"/>
    <cellStyle name="Total" xfId="136"/>
    <cellStyle name="Warning Text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5.%20T&#243;th%20N&#243;ra\CSESZTREG%20&#201;S%20INT&#201;ZM&#201;NYEI\2019\Csesztreg\Eredeti%20k&#246;lts&#233;gvet&#233;s\T&#225;bl&#225;k%20(test&#252;let%20el&#233;)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érlegszerű"/>
      <sheetName val="2,a Elemi bevételek"/>
      <sheetName val="2,b Elemi kiadások"/>
      <sheetName val="3. Hivatal"/>
      <sheetName val="4. Bölcsőde"/>
      <sheetName val="5. Állami tám."/>
      <sheetName val="6. Felhalmozás"/>
      <sheetName val="7,a Műk. mérleg"/>
      <sheetName val="7,b Beruh. mérleg"/>
      <sheetName val="8. Tartalékok"/>
      <sheetName val="9. Létszám"/>
      <sheetName val="10. Projekt"/>
      <sheetName val="11. Likviditási terv"/>
      <sheetName val="12. Közvetett támogatás"/>
      <sheetName val="13. Többéves döntések"/>
      <sheetName val="14. Adósságot kel. ügyletek"/>
    </sheetNames>
    <sheetDataSet>
      <sheetData sheetId="7">
        <row r="5">
          <cell r="C5" t="str">
            <v>2019.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tabSelected="1" zoomScale="90" zoomScaleNormal="90" zoomScaleSheetLayoutView="100" zoomScalePageLayoutView="0" workbookViewId="0" topLeftCell="A1">
      <selection activeCell="A4" sqref="A4:B5"/>
    </sheetView>
  </sheetViews>
  <sheetFormatPr defaultColWidth="9.140625" defaultRowHeight="15"/>
  <cols>
    <col min="1" max="1" width="4.57421875" style="371" customWidth="1"/>
    <col min="2" max="2" width="43.8515625" style="371" customWidth="1"/>
    <col min="3" max="3" width="16.00390625" style="371" hidden="1" customWidth="1"/>
    <col min="4" max="4" width="15.421875" style="371" hidden="1" customWidth="1"/>
    <col min="5" max="6" width="15.57421875" style="371" customWidth="1"/>
    <col min="7" max="7" width="16.00390625" style="371" customWidth="1"/>
    <col min="8" max="8" width="17.140625" style="371" customWidth="1"/>
    <col min="9" max="9" width="5.7109375" style="371" customWidth="1"/>
    <col min="10" max="10" width="47.7109375" style="371" customWidth="1"/>
    <col min="11" max="11" width="15.421875" style="371" hidden="1" customWidth="1"/>
    <col min="12" max="12" width="15.8515625" style="371" hidden="1" customWidth="1"/>
    <col min="13" max="14" width="15.57421875" style="371" customWidth="1"/>
    <col min="15" max="15" width="15.421875" style="371" customWidth="1"/>
    <col min="16" max="16" width="15.8515625" style="371" customWidth="1"/>
    <col min="17" max="16384" width="9.140625" style="371" customWidth="1"/>
  </cols>
  <sheetData>
    <row r="1" spans="1:16" ht="18.75">
      <c r="A1" s="800" t="s">
        <v>0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</row>
    <row r="2" spans="1:16" ht="18.75">
      <c r="A2" s="800" t="s">
        <v>1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</row>
    <row r="3" spans="1:16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801" t="s">
        <v>619</v>
      </c>
      <c r="B4" s="801"/>
      <c r="C4" s="1"/>
      <c r="D4" s="1"/>
      <c r="E4" s="1"/>
      <c r="F4" s="1"/>
      <c r="G4" s="1"/>
      <c r="H4" s="1"/>
      <c r="I4" s="1"/>
      <c r="J4" s="1"/>
      <c r="K4" s="1"/>
      <c r="L4" s="3"/>
      <c r="M4" s="4"/>
      <c r="N4" s="4"/>
      <c r="O4" s="1"/>
      <c r="P4" s="3"/>
    </row>
    <row r="5" spans="1:17" ht="15.75" customHeight="1" thickBot="1">
      <c r="A5" s="801" t="s">
        <v>2</v>
      </c>
      <c r="B5" s="801"/>
      <c r="L5" s="802"/>
      <c r="M5" s="802"/>
      <c r="N5" s="370"/>
      <c r="P5" s="5" t="s">
        <v>3</v>
      </c>
      <c r="Q5" s="6"/>
    </row>
    <row r="6" spans="1:16" ht="47.25" customHeight="1">
      <c r="A6" s="7"/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0" t="s">
        <v>273</v>
      </c>
      <c r="H6" s="11" t="s">
        <v>274</v>
      </c>
      <c r="I6" s="12"/>
      <c r="J6" s="8" t="s">
        <v>4</v>
      </c>
      <c r="K6" s="9" t="s">
        <v>5</v>
      </c>
      <c r="L6" s="9" t="s">
        <v>6</v>
      </c>
      <c r="M6" s="9" t="s">
        <v>7</v>
      </c>
      <c r="N6" s="10" t="s">
        <v>8</v>
      </c>
      <c r="O6" s="10" t="s">
        <v>273</v>
      </c>
      <c r="P6" s="11" t="s">
        <v>274</v>
      </c>
    </row>
    <row r="7" spans="1:16" ht="15" customHeight="1">
      <c r="A7" s="803" t="s">
        <v>9</v>
      </c>
      <c r="B7" s="787"/>
      <c r="C7" s="787"/>
      <c r="D7" s="787"/>
      <c r="E7" s="779"/>
      <c r="F7" s="13"/>
      <c r="G7" s="13"/>
      <c r="H7" s="15"/>
      <c r="I7" s="787" t="s">
        <v>10</v>
      </c>
      <c r="J7" s="787"/>
      <c r="K7" s="787"/>
      <c r="L7" s="787"/>
      <c r="M7" s="779"/>
      <c r="N7" s="16"/>
      <c r="O7" s="16"/>
      <c r="P7" s="17"/>
    </row>
    <row r="8" spans="1:16" ht="15" customHeight="1">
      <c r="A8" s="18" t="s">
        <v>11</v>
      </c>
      <c r="B8" s="19" t="s">
        <v>12</v>
      </c>
      <c r="C8" s="20"/>
      <c r="D8" s="20"/>
      <c r="E8" s="20"/>
      <c r="F8" s="21"/>
      <c r="G8" s="21"/>
      <c r="H8" s="22"/>
      <c r="I8" s="23" t="s">
        <v>11</v>
      </c>
      <c r="J8" s="24" t="s">
        <v>12</v>
      </c>
      <c r="K8" s="20"/>
      <c r="L8" s="20"/>
      <c r="M8" s="20"/>
      <c r="N8" s="21"/>
      <c r="O8" s="21"/>
      <c r="P8" s="22"/>
    </row>
    <row r="9" spans="1:16" ht="15" customHeight="1">
      <c r="A9" s="18"/>
      <c r="B9" s="25" t="s">
        <v>13</v>
      </c>
      <c r="C9" s="26">
        <v>160974547</v>
      </c>
      <c r="D9" s="26">
        <v>186972372</v>
      </c>
      <c r="E9" s="26">
        <v>181466721</v>
      </c>
      <c r="F9" s="28">
        <v>181466721</v>
      </c>
      <c r="G9" s="350">
        <f>H9-F9</f>
        <v>5560630</v>
      </c>
      <c r="H9" s="374">
        <v>187027351</v>
      </c>
      <c r="I9" s="363"/>
      <c r="J9" s="25" t="s">
        <v>14</v>
      </c>
      <c r="K9" s="20">
        <v>47206036</v>
      </c>
      <c r="L9" s="20">
        <v>52933858</v>
      </c>
      <c r="M9" s="20">
        <v>56870226</v>
      </c>
      <c r="N9" s="22">
        <v>56870226</v>
      </c>
      <c r="O9" s="21">
        <f>P9-N9</f>
        <v>3069049</v>
      </c>
      <c r="P9" s="375">
        <v>59939275</v>
      </c>
    </row>
    <row r="10" spans="1:16" ht="27" customHeight="1">
      <c r="A10" s="18"/>
      <c r="B10" s="29" t="s">
        <v>15</v>
      </c>
      <c r="C10" s="27">
        <v>82450000</v>
      </c>
      <c r="D10" s="27">
        <v>104823985</v>
      </c>
      <c r="E10" s="27">
        <v>86934266</v>
      </c>
      <c r="F10" s="28">
        <v>86984266</v>
      </c>
      <c r="G10" s="350">
        <f>H10-F10</f>
        <v>-19967819</v>
      </c>
      <c r="H10" s="375">
        <v>67016447</v>
      </c>
      <c r="I10" s="23"/>
      <c r="J10" s="30" t="s">
        <v>16</v>
      </c>
      <c r="K10" s="20">
        <v>11598180</v>
      </c>
      <c r="L10" s="20">
        <v>10533024</v>
      </c>
      <c r="M10" s="20">
        <v>10675480</v>
      </c>
      <c r="N10" s="22">
        <v>10675480</v>
      </c>
      <c r="O10" s="21">
        <f>P10-N10</f>
        <v>700000</v>
      </c>
      <c r="P10" s="375">
        <v>11375480</v>
      </c>
    </row>
    <row r="11" spans="1:16" ht="15" customHeight="1">
      <c r="A11" s="18"/>
      <c r="B11" s="25" t="s">
        <v>17</v>
      </c>
      <c r="C11" s="27">
        <v>11883000</v>
      </c>
      <c r="D11" s="27">
        <v>14150614</v>
      </c>
      <c r="E11" s="27">
        <v>15747000</v>
      </c>
      <c r="F11" s="28">
        <v>15747000</v>
      </c>
      <c r="G11" s="350">
        <f>H11-F11</f>
        <v>450419</v>
      </c>
      <c r="H11" s="375">
        <v>16197419</v>
      </c>
      <c r="I11" s="23"/>
      <c r="J11" s="25" t="s">
        <v>18</v>
      </c>
      <c r="K11" s="20">
        <v>42555558</v>
      </c>
      <c r="L11" s="20">
        <v>56666006</v>
      </c>
      <c r="M11" s="20">
        <v>66524323</v>
      </c>
      <c r="N11" s="22">
        <v>67397106</v>
      </c>
      <c r="O11" s="21">
        <f>P11-N11</f>
        <v>-80242</v>
      </c>
      <c r="P11" s="375">
        <v>67316864</v>
      </c>
    </row>
    <row r="12" spans="1:16" ht="15" customHeight="1">
      <c r="A12" s="18"/>
      <c r="B12" s="25" t="s">
        <v>19</v>
      </c>
      <c r="C12" s="27">
        <v>50000</v>
      </c>
      <c r="D12" s="27">
        <v>10000</v>
      </c>
      <c r="E12" s="27">
        <v>50000</v>
      </c>
      <c r="F12" s="28">
        <v>200000</v>
      </c>
      <c r="G12" s="350">
        <f>H12-F12</f>
        <v>0</v>
      </c>
      <c r="H12" s="375">
        <v>200000</v>
      </c>
      <c r="I12" s="23"/>
      <c r="J12" s="25" t="s">
        <v>20</v>
      </c>
      <c r="K12" s="20">
        <v>6315000</v>
      </c>
      <c r="L12" s="20">
        <v>4217690</v>
      </c>
      <c r="M12" s="20">
        <v>5275000</v>
      </c>
      <c r="N12" s="22">
        <v>5275000</v>
      </c>
      <c r="O12" s="21">
        <f>P12-N12</f>
        <v>0</v>
      </c>
      <c r="P12" s="375">
        <v>5275000</v>
      </c>
    </row>
    <row r="13" spans="1:16" ht="15" customHeight="1">
      <c r="A13" s="18"/>
      <c r="B13" s="31"/>
      <c r="C13" s="32"/>
      <c r="D13" s="32"/>
      <c r="E13" s="32"/>
      <c r="F13" s="33"/>
      <c r="G13" s="351"/>
      <c r="H13" s="375"/>
      <c r="I13" s="23"/>
      <c r="J13" s="25" t="s">
        <v>21</v>
      </c>
      <c r="K13" s="20">
        <v>52680225</v>
      </c>
      <c r="L13" s="20">
        <v>59553893</v>
      </c>
      <c r="M13" s="20">
        <v>52695271</v>
      </c>
      <c r="N13" s="22">
        <v>52920038</v>
      </c>
      <c r="O13" s="21">
        <v>870242</v>
      </c>
      <c r="P13" s="375">
        <v>53790280</v>
      </c>
    </row>
    <row r="14" spans="1:16" ht="15" customHeight="1">
      <c r="A14" s="18"/>
      <c r="B14" s="31"/>
      <c r="C14" s="32"/>
      <c r="D14" s="32"/>
      <c r="E14" s="32"/>
      <c r="F14" s="33"/>
      <c r="G14" s="351"/>
      <c r="H14" s="375"/>
      <c r="I14" s="23"/>
      <c r="J14" s="25" t="s">
        <v>22</v>
      </c>
      <c r="K14" s="20">
        <v>57879594</v>
      </c>
      <c r="L14" s="20">
        <v>0</v>
      </c>
      <c r="M14" s="20">
        <v>9575983</v>
      </c>
      <c r="N14" s="22">
        <v>8440933</v>
      </c>
      <c r="O14" s="21">
        <f>P14-N14</f>
        <v>0</v>
      </c>
      <c r="P14" s="375">
        <v>8440933</v>
      </c>
    </row>
    <row r="15" spans="1:16" ht="15" customHeight="1">
      <c r="A15" s="18"/>
      <c r="B15" s="31" t="s">
        <v>23</v>
      </c>
      <c r="C15" s="32">
        <f aca="true" t="shared" si="0" ref="C15:H15">SUM(C9:C12)</f>
        <v>255357547</v>
      </c>
      <c r="D15" s="32">
        <f t="shared" si="0"/>
        <v>305956971</v>
      </c>
      <c r="E15" s="32">
        <f t="shared" si="0"/>
        <v>284197987</v>
      </c>
      <c r="F15" s="33">
        <f t="shared" si="0"/>
        <v>284397987</v>
      </c>
      <c r="G15" s="351">
        <f t="shared" si="0"/>
        <v>-13956770</v>
      </c>
      <c r="H15" s="71">
        <f t="shared" si="0"/>
        <v>270441217</v>
      </c>
      <c r="I15" s="23"/>
      <c r="J15" s="34" t="s">
        <v>23</v>
      </c>
      <c r="K15" s="35">
        <f aca="true" t="shared" si="1" ref="K15:P15">SUM(K9:K14)</f>
        <v>218234593</v>
      </c>
      <c r="L15" s="35">
        <f t="shared" si="1"/>
        <v>183904471</v>
      </c>
      <c r="M15" s="35">
        <f t="shared" si="1"/>
        <v>201616283</v>
      </c>
      <c r="N15" s="37">
        <f t="shared" si="1"/>
        <v>201578783</v>
      </c>
      <c r="O15" s="36">
        <f t="shared" si="1"/>
        <v>4559049</v>
      </c>
      <c r="P15" s="71">
        <f t="shared" si="1"/>
        <v>206137832</v>
      </c>
    </row>
    <row r="16" spans="1:16" ht="15" customHeight="1">
      <c r="A16" s="18"/>
      <c r="B16" s="31"/>
      <c r="C16" s="32"/>
      <c r="D16" s="32"/>
      <c r="E16" s="32"/>
      <c r="F16" s="33"/>
      <c r="G16" s="351"/>
      <c r="H16" s="375"/>
      <c r="I16" s="23"/>
      <c r="J16" s="34"/>
      <c r="K16" s="35"/>
      <c r="L16" s="35"/>
      <c r="M16" s="35"/>
      <c r="N16" s="37"/>
      <c r="O16" s="36"/>
      <c r="P16" s="375"/>
    </row>
    <row r="17" spans="1:16" ht="15" customHeight="1">
      <c r="A17" s="18" t="s">
        <v>24</v>
      </c>
      <c r="B17" s="38" t="s">
        <v>25</v>
      </c>
      <c r="C17" s="27"/>
      <c r="D17" s="27"/>
      <c r="E17" s="27"/>
      <c r="F17" s="28"/>
      <c r="G17" s="352"/>
      <c r="H17" s="375"/>
      <c r="I17" s="23" t="s">
        <v>24</v>
      </c>
      <c r="J17" s="19" t="s">
        <v>25</v>
      </c>
      <c r="K17" s="20"/>
      <c r="L17" s="20"/>
      <c r="M17" s="20"/>
      <c r="N17" s="22"/>
      <c r="O17" s="21"/>
      <c r="P17" s="375"/>
    </row>
    <row r="18" spans="1:16" ht="15" customHeight="1">
      <c r="A18" s="18"/>
      <c r="B18" s="25" t="s">
        <v>26</v>
      </c>
      <c r="C18" s="26">
        <v>12066452</v>
      </c>
      <c r="D18" s="26">
        <v>15791142</v>
      </c>
      <c r="E18" s="26">
        <v>12223327</v>
      </c>
      <c r="F18" s="39">
        <f>12223327</f>
        <v>12223327</v>
      </c>
      <c r="G18" s="353">
        <f>H18-F18</f>
        <v>3903221</v>
      </c>
      <c r="H18" s="375">
        <v>16126548</v>
      </c>
      <c r="I18" s="363"/>
      <c r="J18" s="25" t="s">
        <v>27</v>
      </c>
      <c r="K18" s="20">
        <v>56933600</v>
      </c>
      <c r="L18" s="20">
        <v>59094079</v>
      </c>
      <c r="M18" s="20">
        <v>57315000</v>
      </c>
      <c r="N18" s="22">
        <v>57315000</v>
      </c>
      <c r="O18" s="21">
        <f>P18-N18</f>
        <v>1989919</v>
      </c>
      <c r="P18" s="375">
        <v>59304919</v>
      </c>
    </row>
    <row r="19" spans="1:16" ht="27" customHeight="1">
      <c r="A19" s="18"/>
      <c r="B19" s="25" t="s">
        <v>28</v>
      </c>
      <c r="C19" s="27">
        <v>16023000</v>
      </c>
      <c r="D19" s="27">
        <v>18842288</v>
      </c>
      <c r="E19" s="27">
        <v>19081000</v>
      </c>
      <c r="F19" s="39">
        <v>19081000</v>
      </c>
      <c r="G19" s="352">
        <v>0</v>
      </c>
      <c r="H19" s="375">
        <v>19081000</v>
      </c>
      <c r="I19" s="23"/>
      <c r="J19" s="30" t="s">
        <v>29</v>
      </c>
      <c r="K19" s="20">
        <v>11858308</v>
      </c>
      <c r="L19" s="20">
        <v>11692068</v>
      </c>
      <c r="M19" s="20">
        <v>10700000</v>
      </c>
      <c r="N19" s="22">
        <v>10700000</v>
      </c>
      <c r="O19" s="21">
        <f>P19-N19</f>
        <v>2100000</v>
      </c>
      <c r="P19" s="375">
        <v>12800000</v>
      </c>
    </row>
    <row r="20" spans="1:16" ht="15" customHeight="1">
      <c r="A20" s="18"/>
      <c r="B20" s="31"/>
      <c r="C20" s="32"/>
      <c r="D20" s="32"/>
      <c r="E20" s="32"/>
      <c r="F20" s="33"/>
      <c r="G20" s="351"/>
      <c r="H20" s="375"/>
      <c r="I20" s="23"/>
      <c r="J20" s="25" t="s">
        <v>30</v>
      </c>
      <c r="K20" s="20">
        <v>34520000</v>
      </c>
      <c r="L20" s="20">
        <v>34822245</v>
      </c>
      <c r="M20" s="20">
        <v>33383549</v>
      </c>
      <c r="N20" s="22">
        <v>33383549</v>
      </c>
      <c r="O20" s="21">
        <f>P20-N20</f>
        <v>850217</v>
      </c>
      <c r="P20" s="375">
        <v>34233766</v>
      </c>
    </row>
    <row r="21" spans="1:16" ht="15" customHeight="1">
      <c r="A21" s="18"/>
      <c r="B21" s="31"/>
      <c r="C21" s="32"/>
      <c r="D21" s="32"/>
      <c r="E21" s="32"/>
      <c r="F21" s="33"/>
      <c r="G21" s="351"/>
      <c r="H21" s="375"/>
      <c r="I21" s="23"/>
      <c r="J21" s="25" t="s">
        <v>31</v>
      </c>
      <c r="K21" s="20">
        <v>0</v>
      </c>
      <c r="L21" s="20">
        <v>75066</v>
      </c>
      <c r="M21" s="20">
        <v>0</v>
      </c>
      <c r="N21" s="22">
        <v>0</v>
      </c>
      <c r="O21" s="21">
        <f>P21-N21</f>
        <v>120081</v>
      </c>
      <c r="P21" s="375">
        <v>120081</v>
      </c>
    </row>
    <row r="22" spans="1:16" ht="15" customHeight="1">
      <c r="A22" s="18"/>
      <c r="B22" s="31" t="s">
        <v>32</v>
      </c>
      <c r="C22" s="32">
        <f>SUM(C18:C20)</f>
        <v>28089452</v>
      </c>
      <c r="D22" s="32">
        <f>SUM(D18:D20)</f>
        <v>34633430</v>
      </c>
      <c r="E22" s="32">
        <f>SUM(E18:E20)</f>
        <v>31304327</v>
      </c>
      <c r="F22" s="33">
        <f>SUM(F18:F20)</f>
        <v>31304327</v>
      </c>
      <c r="G22" s="351">
        <f>SUM(G18:G20)</f>
        <v>3903221</v>
      </c>
      <c r="H22" s="376">
        <f>SUM(H18:H19)</f>
        <v>35207548</v>
      </c>
      <c r="I22" s="23"/>
      <c r="J22" s="34" t="s">
        <v>32</v>
      </c>
      <c r="K22" s="35">
        <f>SUM(K17:K21)</f>
        <v>103311908</v>
      </c>
      <c r="L22" s="35">
        <f>SUM(L17:L21)</f>
        <v>105683458</v>
      </c>
      <c r="M22" s="35">
        <f>SUM(M17:M21)</f>
        <v>101398549</v>
      </c>
      <c r="N22" s="37">
        <f>SUM(N17:N21)</f>
        <v>101398549</v>
      </c>
      <c r="O22" s="36">
        <f>SUM(O17:O21)</f>
        <v>5060217</v>
      </c>
      <c r="P22" s="71">
        <f>SUM(P18:P21)</f>
        <v>106458766</v>
      </c>
    </row>
    <row r="23" spans="1:16" ht="15" customHeight="1">
      <c r="A23" s="18"/>
      <c r="B23" s="31"/>
      <c r="C23" s="32"/>
      <c r="D23" s="32"/>
      <c r="E23" s="32"/>
      <c r="F23" s="33"/>
      <c r="G23" s="351"/>
      <c r="H23" s="375"/>
      <c r="I23" s="23"/>
      <c r="J23" s="34"/>
      <c r="K23" s="35"/>
      <c r="L23" s="35"/>
      <c r="M23" s="35"/>
      <c r="N23" s="37"/>
      <c r="O23" s="36"/>
      <c r="P23" s="375"/>
    </row>
    <row r="24" spans="1:16" ht="15" customHeight="1">
      <c r="A24" s="18" t="s">
        <v>33</v>
      </c>
      <c r="B24" s="38" t="s">
        <v>34</v>
      </c>
      <c r="C24" s="27"/>
      <c r="D24" s="27"/>
      <c r="E24" s="27"/>
      <c r="F24" s="28"/>
      <c r="G24" s="352"/>
      <c r="H24" s="375"/>
      <c r="I24" s="40" t="s">
        <v>33</v>
      </c>
      <c r="J24" s="38" t="s">
        <v>34</v>
      </c>
      <c r="K24" s="20"/>
      <c r="L24" s="20"/>
      <c r="M24" s="20"/>
      <c r="N24" s="22"/>
      <c r="O24" s="21"/>
      <c r="P24" s="375"/>
    </row>
    <row r="25" spans="1:16" ht="15" customHeight="1">
      <c r="A25" s="18"/>
      <c r="B25" s="25" t="s">
        <v>35</v>
      </c>
      <c r="C25" s="27">
        <v>0</v>
      </c>
      <c r="D25" s="27">
        <v>1260</v>
      </c>
      <c r="E25" s="27">
        <v>5000</v>
      </c>
      <c r="F25" s="28">
        <v>5000</v>
      </c>
      <c r="G25" s="352">
        <v>2000</v>
      </c>
      <c r="H25" s="375">
        <v>7000</v>
      </c>
      <c r="I25" s="363"/>
      <c r="J25" s="25" t="s">
        <v>36</v>
      </c>
      <c r="K25" s="20">
        <v>0</v>
      </c>
      <c r="L25" s="20">
        <v>2382633</v>
      </c>
      <c r="M25" s="20">
        <v>6793245</v>
      </c>
      <c r="N25" s="22">
        <v>6793245</v>
      </c>
      <c r="O25" s="21">
        <f>P25-N25</f>
        <v>-83245</v>
      </c>
      <c r="P25" s="375">
        <v>6710000</v>
      </c>
    </row>
    <row r="26" spans="1:16" ht="28.5" customHeight="1">
      <c r="A26" s="18"/>
      <c r="B26" s="25"/>
      <c r="C26" s="27"/>
      <c r="D26" s="27"/>
      <c r="E26" s="27"/>
      <c r="F26" s="28"/>
      <c r="G26" s="352"/>
      <c r="H26" s="375"/>
      <c r="I26" s="23"/>
      <c r="J26" s="30" t="s">
        <v>37</v>
      </c>
      <c r="K26" s="20">
        <v>0</v>
      </c>
      <c r="L26" s="20">
        <v>442927</v>
      </c>
      <c r="M26" s="20">
        <v>1400000</v>
      </c>
      <c r="N26" s="22">
        <v>1400000</v>
      </c>
      <c r="O26" s="21">
        <f>P26-N26</f>
        <v>0</v>
      </c>
      <c r="P26" s="375">
        <v>1400000</v>
      </c>
    </row>
    <row r="27" spans="1:16" ht="15" customHeight="1">
      <c r="A27" s="18"/>
      <c r="B27" s="31"/>
      <c r="C27" s="32"/>
      <c r="D27" s="32"/>
      <c r="E27" s="32"/>
      <c r="F27" s="33"/>
      <c r="G27" s="351"/>
      <c r="H27" s="375"/>
      <c r="I27" s="23"/>
      <c r="J27" s="25" t="s">
        <v>38</v>
      </c>
      <c r="K27" s="20">
        <v>0</v>
      </c>
      <c r="L27" s="20">
        <v>273315</v>
      </c>
      <c r="M27" s="20">
        <v>1365000</v>
      </c>
      <c r="N27" s="22">
        <v>1365000</v>
      </c>
      <c r="O27" s="21">
        <f>P27-N27</f>
        <v>205245</v>
      </c>
      <c r="P27" s="375">
        <v>1570245</v>
      </c>
    </row>
    <row r="28" spans="1:16" ht="15" customHeight="1">
      <c r="A28" s="18"/>
      <c r="B28" s="31"/>
      <c r="C28" s="32"/>
      <c r="D28" s="32"/>
      <c r="E28" s="32"/>
      <c r="F28" s="33"/>
      <c r="G28" s="351"/>
      <c r="H28" s="375"/>
      <c r="I28" s="23"/>
      <c r="J28" s="41" t="s">
        <v>39</v>
      </c>
      <c r="K28" s="20">
        <v>0</v>
      </c>
      <c r="L28" s="20">
        <v>0</v>
      </c>
      <c r="M28" s="20">
        <v>137968</v>
      </c>
      <c r="N28" s="22">
        <v>137968</v>
      </c>
      <c r="O28" s="21">
        <f>P28-N28</f>
        <v>0</v>
      </c>
      <c r="P28" s="375">
        <v>137968</v>
      </c>
    </row>
    <row r="29" spans="1:16" ht="15" customHeight="1">
      <c r="A29" s="18"/>
      <c r="B29" s="31" t="s">
        <v>40</v>
      </c>
      <c r="C29" s="32">
        <f>SUM(C25:C27)</f>
        <v>0</v>
      </c>
      <c r="D29" s="32">
        <f>SUM(D25:D27)</f>
        <v>1260</v>
      </c>
      <c r="E29" s="32">
        <f>SUM(E25:E27)</f>
        <v>5000</v>
      </c>
      <c r="F29" s="33">
        <f>SUM(F25:F27)</f>
        <v>5000</v>
      </c>
      <c r="G29" s="351">
        <f>SUM(G25:G27)</f>
        <v>2000</v>
      </c>
      <c r="H29" s="71">
        <f>H25</f>
        <v>7000</v>
      </c>
      <c r="I29" s="23"/>
      <c r="J29" s="31" t="s">
        <v>40</v>
      </c>
      <c r="K29" s="35">
        <f>SUM(K24:K28)</f>
        <v>0</v>
      </c>
      <c r="L29" s="35">
        <f>SUM(L24:L28)</f>
        <v>3098875</v>
      </c>
      <c r="M29" s="35">
        <f>SUM(M24:M28)</f>
        <v>9696213</v>
      </c>
      <c r="N29" s="37">
        <f>SUM(N24:N28)</f>
        <v>9696213</v>
      </c>
      <c r="O29" s="36">
        <f>SUM(O24:O28)</f>
        <v>122000</v>
      </c>
      <c r="P29" s="71">
        <f>SUM(P25:P28)</f>
        <v>9818213</v>
      </c>
    </row>
    <row r="30" spans="1:16" ht="15" customHeight="1">
      <c r="A30" s="42"/>
      <c r="B30" s="43"/>
      <c r="C30" s="44"/>
      <c r="D30" s="44"/>
      <c r="E30" s="44"/>
      <c r="F30" s="46"/>
      <c r="G30" s="354"/>
      <c r="H30" s="375"/>
      <c r="I30" s="364"/>
      <c r="J30" s="31"/>
      <c r="K30" s="35"/>
      <c r="L30" s="35"/>
      <c r="M30" s="35"/>
      <c r="N30" s="37"/>
      <c r="O30" s="36"/>
      <c r="P30" s="375"/>
    </row>
    <row r="31" spans="1:16" ht="15" customHeight="1">
      <c r="A31" s="794" t="s">
        <v>41</v>
      </c>
      <c r="B31" s="795"/>
      <c r="C31" s="32">
        <f>C15+C22+C29</f>
        <v>283446999</v>
      </c>
      <c r="D31" s="32">
        <f>D15+D22+D29</f>
        <v>340591661</v>
      </c>
      <c r="E31" s="32">
        <f>E15+E22+E29</f>
        <v>315507314</v>
      </c>
      <c r="F31" s="33">
        <f>F15+F22+F29</f>
        <v>315707314</v>
      </c>
      <c r="G31" s="351">
        <f>G15+G22+G29</f>
        <v>-10051549</v>
      </c>
      <c r="H31" s="375">
        <f>H29+H22+H15</f>
        <v>305655765</v>
      </c>
      <c r="I31" s="796" t="s">
        <v>42</v>
      </c>
      <c r="J31" s="797"/>
      <c r="K31" s="35">
        <f>K15+K22+K29</f>
        <v>321546501</v>
      </c>
      <c r="L31" s="35">
        <f>L15+L22+L29</f>
        <v>292686804</v>
      </c>
      <c r="M31" s="35">
        <f>M15+M22+M29</f>
        <v>312711045</v>
      </c>
      <c r="N31" s="37">
        <f>N15+N22+N29</f>
        <v>312673545</v>
      </c>
      <c r="O31" s="36">
        <f>O15+O22+O29</f>
        <v>9741266</v>
      </c>
      <c r="P31" s="375">
        <f>P29+P22+P15</f>
        <v>322414811</v>
      </c>
    </row>
    <row r="32" spans="1:16" ht="15" customHeight="1">
      <c r="A32" s="42"/>
      <c r="B32" s="43"/>
      <c r="C32" s="44"/>
      <c r="D32" s="44"/>
      <c r="E32" s="44"/>
      <c r="F32" s="46"/>
      <c r="G32" s="354"/>
      <c r="H32" s="375"/>
      <c r="I32" s="365"/>
      <c r="J32" s="47"/>
      <c r="K32" s="48"/>
      <c r="L32" s="48"/>
      <c r="M32" s="48"/>
      <c r="N32" s="50"/>
      <c r="O32" s="49"/>
      <c r="P32" s="375"/>
    </row>
    <row r="33" spans="1:16" ht="15" customHeight="1">
      <c r="A33" s="794" t="s">
        <v>43</v>
      </c>
      <c r="B33" s="795"/>
      <c r="C33" s="32">
        <v>0</v>
      </c>
      <c r="D33" s="32">
        <v>4488745</v>
      </c>
      <c r="E33" s="32">
        <v>0</v>
      </c>
      <c r="F33" s="33">
        <v>292066</v>
      </c>
      <c r="G33" s="351">
        <v>0</v>
      </c>
      <c r="H33" s="375">
        <v>292066</v>
      </c>
      <c r="I33" s="799" t="s">
        <v>44</v>
      </c>
      <c r="J33" s="795"/>
      <c r="K33" s="35">
        <v>4276181</v>
      </c>
      <c r="L33" s="35">
        <v>4276181</v>
      </c>
      <c r="M33" s="35">
        <v>4488745</v>
      </c>
      <c r="N33" s="37">
        <v>4780811</v>
      </c>
      <c r="O33" s="36">
        <v>0</v>
      </c>
      <c r="P33" s="375">
        <v>4780811</v>
      </c>
    </row>
    <row r="34" spans="1:16" ht="15" customHeight="1">
      <c r="A34" s="51"/>
      <c r="B34" s="38"/>
      <c r="C34" s="27"/>
      <c r="D34" s="27"/>
      <c r="E34" s="27"/>
      <c r="F34" s="28"/>
      <c r="G34" s="352"/>
      <c r="H34" s="375"/>
      <c r="I34" s="366"/>
      <c r="J34" s="38"/>
      <c r="K34" s="48"/>
      <c r="L34" s="48"/>
      <c r="M34" s="48"/>
      <c r="N34" s="50"/>
      <c r="O34" s="49"/>
      <c r="P34" s="375"/>
    </row>
    <row r="35" spans="1:16" ht="15" customHeight="1">
      <c r="A35" s="52" t="s">
        <v>45</v>
      </c>
      <c r="B35" s="53"/>
      <c r="C35" s="54">
        <f aca="true" t="shared" si="2" ref="C35:H35">C31+C33</f>
        <v>283446999</v>
      </c>
      <c r="D35" s="54">
        <f t="shared" si="2"/>
        <v>345080406</v>
      </c>
      <c r="E35" s="54">
        <f t="shared" si="2"/>
        <v>315507314</v>
      </c>
      <c r="F35" s="56">
        <f t="shared" si="2"/>
        <v>315999380</v>
      </c>
      <c r="G35" s="355">
        <f t="shared" si="2"/>
        <v>-10051549</v>
      </c>
      <c r="H35" s="54">
        <f t="shared" si="2"/>
        <v>305947831</v>
      </c>
      <c r="I35" s="367" t="s">
        <v>46</v>
      </c>
      <c r="J35" s="53" t="s">
        <v>46</v>
      </c>
      <c r="K35" s="54">
        <f>K31+K33</f>
        <v>325822682</v>
      </c>
      <c r="L35" s="54">
        <f>L31+L33</f>
        <v>296962985</v>
      </c>
      <c r="M35" s="54">
        <f>M31+M33</f>
        <v>317199790</v>
      </c>
      <c r="N35" s="56">
        <f>N31+N33</f>
        <v>317454356</v>
      </c>
      <c r="O35" s="55">
        <f>O31+O33</f>
        <v>9741266</v>
      </c>
      <c r="P35" s="54">
        <f>P33+P31</f>
        <v>327195622</v>
      </c>
    </row>
    <row r="36" spans="1:16" ht="15" customHeight="1">
      <c r="A36" s="57"/>
      <c r="B36" s="58"/>
      <c r="C36" s="59"/>
      <c r="D36" s="59"/>
      <c r="E36" s="59"/>
      <c r="F36" s="60"/>
      <c r="G36" s="357"/>
      <c r="H36" s="375"/>
      <c r="I36" s="368"/>
      <c r="J36" s="58"/>
      <c r="K36" s="61"/>
      <c r="L36" s="61"/>
      <c r="M36" s="61"/>
      <c r="N36" s="63"/>
      <c r="O36" s="62"/>
      <c r="P36" s="375"/>
    </row>
    <row r="37" spans="1:16" ht="15" customHeight="1">
      <c r="A37" s="777" t="s">
        <v>47</v>
      </c>
      <c r="B37" s="793"/>
      <c r="C37" s="64"/>
      <c r="D37" s="64"/>
      <c r="E37" s="64"/>
      <c r="F37" s="65"/>
      <c r="G37" s="358"/>
      <c r="H37" s="375"/>
      <c r="I37" s="779" t="s">
        <v>74</v>
      </c>
      <c r="J37" s="793"/>
      <c r="K37" s="66"/>
      <c r="L37" s="66"/>
      <c r="M37" s="66"/>
      <c r="N37" s="68"/>
      <c r="O37" s="67"/>
      <c r="P37" s="375"/>
    </row>
    <row r="38" spans="1:16" ht="15" customHeight="1">
      <c r="A38" s="777" t="s">
        <v>48</v>
      </c>
      <c r="B38" s="778"/>
      <c r="C38" s="64"/>
      <c r="D38" s="64"/>
      <c r="E38" s="64"/>
      <c r="F38" s="65"/>
      <c r="G38" s="358"/>
      <c r="H38" s="375"/>
      <c r="I38" s="779" t="s">
        <v>49</v>
      </c>
      <c r="J38" s="778"/>
      <c r="K38" s="66"/>
      <c r="L38" s="66"/>
      <c r="M38" s="66"/>
      <c r="N38" s="68"/>
      <c r="O38" s="67"/>
      <c r="P38" s="375"/>
    </row>
    <row r="39" spans="1:16" ht="15" customHeight="1">
      <c r="A39" s="18" t="s">
        <v>11</v>
      </c>
      <c r="B39" s="69" t="s">
        <v>12</v>
      </c>
      <c r="C39" s="20"/>
      <c r="D39" s="20"/>
      <c r="E39" s="20"/>
      <c r="F39" s="22"/>
      <c r="G39" s="359"/>
      <c r="H39" s="375"/>
      <c r="I39" s="40" t="s">
        <v>11</v>
      </c>
      <c r="J39" s="24" t="s">
        <v>12</v>
      </c>
      <c r="K39" s="20"/>
      <c r="L39" s="20"/>
      <c r="M39" s="20"/>
      <c r="N39" s="22"/>
      <c r="O39" s="21"/>
      <c r="P39" s="375"/>
    </row>
    <row r="40" spans="1:16" ht="15" customHeight="1">
      <c r="A40" s="70"/>
      <c r="B40" s="41" t="s">
        <v>50</v>
      </c>
      <c r="C40" s="20">
        <v>86185955</v>
      </c>
      <c r="D40" s="20">
        <v>268000</v>
      </c>
      <c r="E40" s="20">
        <v>104528617</v>
      </c>
      <c r="F40" s="22">
        <v>104528617</v>
      </c>
      <c r="G40" s="359">
        <f>H40-F40</f>
        <v>-40000000</v>
      </c>
      <c r="H40" s="375">
        <v>64528617</v>
      </c>
      <c r="I40" s="40"/>
      <c r="J40" s="25" t="s">
        <v>51</v>
      </c>
      <c r="K40" s="20">
        <v>38100000</v>
      </c>
      <c r="L40" s="20">
        <v>39058972</v>
      </c>
      <c r="M40" s="20">
        <v>4350000</v>
      </c>
      <c r="N40" s="22">
        <v>4588500</v>
      </c>
      <c r="O40" s="21">
        <f>P40-N40</f>
        <v>0</v>
      </c>
      <c r="P40" s="375">
        <v>4588500</v>
      </c>
    </row>
    <row r="41" spans="1:16" ht="15" customHeight="1">
      <c r="A41" s="70"/>
      <c r="B41" s="41" t="s">
        <v>52</v>
      </c>
      <c r="C41" s="20">
        <v>0</v>
      </c>
      <c r="D41" s="20">
        <v>11000</v>
      </c>
      <c r="E41" s="20">
        <v>7000000</v>
      </c>
      <c r="F41" s="22">
        <v>7001000</v>
      </c>
      <c r="G41" s="359">
        <v>0</v>
      </c>
      <c r="H41" s="375">
        <v>7001000</v>
      </c>
      <c r="I41" s="40"/>
      <c r="J41" s="25" t="s">
        <v>53</v>
      </c>
      <c r="K41" s="20">
        <v>95154097</v>
      </c>
      <c r="L41" s="20">
        <v>5628763</v>
      </c>
      <c r="M41" s="20">
        <v>209473000</v>
      </c>
      <c r="N41" s="22">
        <v>209473000</v>
      </c>
      <c r="O41" s="21">
        <f>P41-N41</f>
        <v>-5540000</v>
      </c>
      <c r="P41" s="375">
        <v>203933000</v>
      </c>
    </row>
    <row r="42" spans="1:16" ht="15" customHeight="1">
      <c r="A42" s="70"/>
      <c r="B42" s="41" t="s">
        <v>54</v>
      </c>
      <c r="C42" s="20">
        <v>0</v>
      </c>
      <c r="D42" s="20">
        <v>0</v>
      </c>
      <c r="E42" s="20">
        <v>0</v>
      </c>
      <c r="F42" s="22">
        <f>E42+G42</f>
        <v>0</v>
      </c>
      <c r="G42" s="359">
        <v>0</v>
      </c>
      <c r="H42" s="375">
        <v>0</v>
      </c>
      <c r="I42" s="40"/>
      <c r="J42" s="25" t="s">
        <v>55</v>
      </c>
      <c r="K42" s="20">
        <v>550000</v>
      </c>
      <c r="L42" s="20">
        <v>39131351</v>
      </c>
      <c r="M42" s="20">
        <v>500000</v>
      </c>
      <c r="N42" s="22">
        <v>500000</v>
      </c>
      <c r="O42" s="21">
        <f>P42-N42</f>
        <v>0</v>
      </c>
      <c r="P42" s="375">
        <v>500000</v>
      </c>
    </row>
    <row r="43" spans="1:16" s="372" customFormat="1" ht="15.75">
      <c r="A43" s="70"/>
      <c r="B43" s="34" t="s">
        <v>23</v>
      </c>
      <c r="C43" s="71">
        <f>SUM(C40:C42)</f>
        <v>86185955</v>
      </c>
      <c r="D43" s="71">
        <f>SUM(D40:D42)</f>
        <v>279000</v>
      </c>
      <c r="E43" s="71">
        <f>SUM(E40:E42)</f>
        <v>111528617</v>
      </c>
      <c r="F43" s="72">
        <f>F40+F41</f>
        <v>111529617</v>
      </c>
      <c r="G43" s="360">
        <f>SUM(G40:G42)</f>
        <v>-40000000</v>
      </c>
      <c r="H43" s="71">
        <f>SUM(H40:H42)</f>
        <v>71529617</v>
      </c>
      <c r="I43" s="369"/>
      <c r="J43" s="34" t="s">
        <v>23</v>
      </c>
      <c r="K43" s="73">
        <f aca="true" t="shared" si="3" ref="K43:P43">SUM(K40:K42)</f>
        <v>133804097</v>
      </c>
      <c r="L43" s="73">
        <f t="shared" si="3"/>
        <v>83819086</v>
      </c>
      <c r="M43" s="73">
        <f t="shared" si="3"/>
        <v>214323000</v>
      </c>
      <c r="N43" s="75">
        <f t="shared" si="3"/>
        <v>214561500</v>
      </c>
      <c r="O43" s="74">
        <f t="shared" si="3"/>
        <v>-5540000</v>
      </c>
      <c r="P43" s="71">
        <f t="shared" si="3"/>
        <v>209021500</v>
      </c>
    </row>
    <row r="44" spans="1:16" s="372" customFormat="1" ht="15.75">
      <c r="A44" s="70"/>
      <c r="B44" s="34"/>
      <c r="C44" s="71"/>
      <c r="D44" s="71"/>
      <c r="E44" s="71"/>
      <c r="F44" s="72"/>
      <c r="G44" s="360"/>
      <c r="H44" s="375"/>
      <c r="I44" s="369"/>
      <c r="J44" s="34"/>
      <c r="K44" s="73"/>
      <c r="L44" s="73"/>
      <c r="M44" s="73"/>
      <c r="N44" s="75"/>
      <c r="O44" s="74"/>
      <c r="P44" s="375"/>
    </row>
    <row r="45" spans="1:16" s="372" customFormat="1" ht="15.75">
      <c r="A45" s="76" t="s">
        <v>24</v>
      </c>
      <c r="B45" s="77" t="s">
        <v>25</v>
      </c>
      <c r="C45" s="48"/>
      <c r="D45" s="48"/>
      <c r="E45" s="48"/>
      <c r="F45" s="50"/>
      <c r="G45" s="361"/>
      <c r="H45" s="375"/>
      <c r="I45" s="40" t="s">
        <v>24</v>
      </c>
      <c r="J45" s="19" t="s">
        <v>25</v>
      </c>
      <c r="K45" s="20"/>
      <c r="L45" s="20"/>
      <c r="M45" s="20"/>
      <c r="N45" s="22"/>
      <c r="O45" s="21"/>
      <c r="P45" s="375"/>
    </row>
    <row r="46" spans="1:16" s="372" customFormat="1" ht="15.75">
      <c r="A46" s="78"/>
      <c r="B46" s="79" t="s">
        <v>56</v>
      </c>
      <c r="C46" s="20">
        <v>15000</v>
      </c>
      <c r="D46" s="20">
        <v>0</v>
      </c>
      <c r="E46" s="20">
        <v>0</v>
      </c>
      <c r="F46" s="22">
        <v>0</v>
      </c>
      <c r="G46" s="359">
        <v>0</v>
      </c>
      <c r="H46" s="375">
        <v>0</v>
      </c>
      <c r="I46" s="40"/>
      <c r="J46" s="25" t="s">
        <v>57</v>
      </c>
      <c r="K46" s="80">
        <v>254000</v>
      </c>
      <c r="L46" s="20">
        <v>80501</v>
      </c>
      <c r="M46" s="20">
        <v>128000</v>
      </c>
      <c r="N46" s="22">
        <v>128000</v>
      </c>
      <c r="O46" s="81">
        <f>P46-N46</f>
        <v>175004</v>
      </c>
      <c r="P46" s="375">
        <v>303004</v>
      </c>
    </row>
    <row r="47" spans="1:16" s="372" customFormat="1" ht="15.75">
      <c r="A47" s="78"/>
      <c r="B47" s="82" t="s">
        <v>32</v>
      </c>
      <c r="C47" s="35">
        <f>C46</f>
        <v>15000</v>
      </c>
      <c r="D47" s="35">
        <f>D46</f>
        <v>0</v>
      </c>
      <c r="E47" s="35">
        <f>E46</f>
        <v>0</v>
      </c>
      <c r="F47" s="37">
        <f>F46</f>
        <v>0</v>
      </c>
      <c r="G47" s="362">
        <f>G46</f>
        <v>0</v>
      </c>
      <c r="H47" s="71">
        <v>0</v>
      </c>
      <c r="I47" s="40"/>
      <c r="J47" s="34" t="s">
        <v>58</v>
      </c>
      <c r="K47" s="83">
        <f>SUM(K46)</f>
        <v>254000</v>
      </c>
      <c r="L47" s="35">
        <f>SUM(L46)</f>
        <v>80501</v>
      </c>
      <c r="M47" s="35">
        <f>SUM(M46)</f>
        <v>128000</v>
      </c>
      <c r="N47" s="37">
        <f>SUM(N46)</f>
        <v>128000</v>
      </c>
      <c r="O47" s="84">
        <f>SUM(O46)</f>
        <v>175004</v>
      </c>
      <c r="P47" s="71">
        <f>P46</f>
        <v>303004</v>
      </c>
    </row>
    <row r="48" spans="1:16" s="372" customFormat="1" ht="15.75">
      <c r="A48" s="85"/>
      <c r="B48" s="82"/>
      <c r="C48" s="35"/>
      <c r="D48" s="35"/>
      <c r="E48" s="35"/>
      <c r="F48" s="37"/>
      <c r="G48" s="362"/>
      <c r="H48" s="375"/>
      <c r="I48" s="40"/>
      <c r="J48" s="34"/>
      <c r="K48" s="83"/>
      <c r="L48" s="35"/>
      <c r="M48" s="35"/>
      <c r="N48" s="37"/>
      <c r="O48" s="84"/>
      <c r="P48" s="375"/>
    </row>
    <row r="49" spans="1:16" s="372" customFormat="1" ht="15.75">
      <c r="A49" s="76" t="s">
        <v>33</v>
      </c>
      <c r="B49" s="38" t="s">
        <v>34</v>
      </c>
      <c r="C49" s="48"/>
      <c r="D49" s="48"/>
      <c r="E49" s="48"/>
      <c r="F49" s="50"/>
      <c r="G49" s="361"/>
      <c r="H49" s="375"/>
      <c r="I49" s="40" t="s">
        <v>33</v>
      </c>
      <c r="J49" s="38" t="s">
        <v>34</v>
      </c>
      <c r="K49" s="20"/>
      <c r="L49" s="20"/>
      <c r="M49" s="20"/>
      <c r="N49" s="22"/>
      <c r="O49" s="21"/>
      <c r="P49" s="375"/>
    </row>
    <row r="50" spans="1:16" s="372" customFormat="1" ht="15.75">
      <c r="A50" s="78"/>
      <c r="B50" s="79"/>
      <c r="C50" s="20"/>
      <c r="D50" s="20"/>
      <c r="E50" s="20"/>
      <c r="F50" s="22"/>
      <c r="G50" s="359"/>
      <c r="H50" s="375"/>
      <c r="I50" s="40"/>
      <c r="J50" s="25" t="s">
        <v>59</v>
      </c>
      <c r="K50" s="80">
        <v>0</v>
      </c>
      <c r="L50" s="20">
        <v>50800</v>
      </c>
      <c r="M50" s="20">
        <v>64000</v>
      </c>
      <c r="N50" s="22">
        <v>64000</v>
      </c>
      <c r="O50" s="81">
        <v>0</v>
      </c>
      <c r="P50" s="375">
        <v>64000</v>
      </c>
    </row>
    <row r="51" spans="1:16" s="372" customFormat="1" ht="15.75">
      <c r="A51" s="78"/>
      <c r="B51" s="31" t="s">
        <v>40</v>
      </c>
      <c r="C51" s="35">
        <f>C50</f>
        <v>0</v>
      </c>
      <c r="D51" s="35">
        <f>D50</f>
        <v>0</v>
      </c>
      <c r="E51" s="35">
        <f>E50</f>
        <v>0</v>
      </c>
      <c r="F51" s="37">
        <f>F50</f>
        <v>0</v>
      </c>
      <c r="G51" s="362">
        <f>G50</f>
        <v>0</v>
      </c>
      <c r="H51" s="71">
        <v>0</v>
      </c>
      <c r="I51" s="40"/>
      <c r="J51" s="34" t="s">
        <v>58</v>
      </c>
      <c r="K51" s="83">
        <f>SUM(K50)</f>
        <v>0</v>
      </c>
      <c r="L51" s="35">
        <f>SUM(L50)</f>
        <v>50800</v>
      </c>
      <c r="M51" s="35">
        <f>SUM(M50)</f>
        <v>64000</v>
      </c>
      <c r="N51" s="37">
        <f>SUM(N50)</f>
        <v>64000</v>
      </c>
      <c r="O51" s="84">
        <f>SUM(O50)</f>
        <v>0</v>
      </c>
      <c r="P51" s="71">
        <f>P50</f>
        <v>64000</v>
      </c>
    </row>
    <row r="52" spans="1:16" s="372" customFormat="1" ht="15.75">
      <c r="A52" s="85"/>
      <c r="B52" s="31"/>
      <c r="C52" s="35"/>
      <c r="D52" s="35"/>
      <c r="E52" s="35"/>
      <c r="F52" s="37"/>
      <c r="G52" s="362"/>
      <c r="H52" s="375"/>
      <c r="I52" s="40"/>
      <c r="J52" s="34"/>
      <c r="K52" s="83"/>
      <c r="L52" s="35"/>
      <c r="M52" s="35"/>
      <c r="N52" s="37"/>
      <c r="O52" s="84"/>
      <c r="P52" s="375"/>
    </row>
    <row r="53" spans="1:16" ht="15" customHeight="1">
      <c r="A53" s="780" t="s">
        <v>60</v>
      </c>
      <c r="B53" s="781"/>
      <c r="C53" s="32">
        <f>C43+C47+C51</f>
        <v>86200955</v>
      </c>
      <c r="D53" s="32">
        <f>D43+D47+D51</f>
        <v>279000</v>
      </c>
      <c r="E53" s="32">
        <f>E43+E47+E51</f>
        <v>111528617</v>
      </c>
      <c r="F53" s="33">
        <f>F43+F47+F51</f>
        <v>111529617</v>
      </c>
      <c r="G53" s="351">
        <f>G43+G47+G51</f>
        <v>-40000000</v>
      </c>
      <c r="H53" s="71">
        <f>H51+H47+H43</f>
        <v>71529617</v>
      </c>
      <c r="I53" s="782" t="s">
        <v>61</v>
      </c>
      <c r="J53" s="783"/>
      <c r="K53" s="35">
        <f>K43+K47+K51</f>
        <v>134058097</v>
      </c>
      <c r="L53" s="35">
        <f>L43+L47+L51</f>
        <v>83950387</v>
      </c>
      <c r="M53" s="35">
        <f>M43+M47+M51</f>
        <v>214515000</v>
      </c>
      <c r="N53" s="37">
        <f>N43+N47+N51</f>
        <v>214753500</v>
      </c>
      <c r="O53" s="36">
        <f>O43+O47+O51</f>
        <v>-5364996</v>
      </c>
      <c r="P53" s="375">
        <f>P51+P47+P43</f>
        <v>209388504</v>
      </c>
    </row>
    <row r="54" spans="1:16" ht="15" customHeight="1">
      <c r="A54" s="86"/>
      <c r="B54" s="87"/>
      <c r="C54" s="44"/>
      <c r="D54" s="44"/>
      <c r="E54" s="44"/>
      <c r="F54" s="46"/>
      <c r="G54" s="354"/>
      <c r="H54" s="375"/>
      <c r="I54" s="13"/>
      <c r="J54" s="14"/>
      <c r="K54" s="48"/>
      <c r="L54" s="48"/>
      <c r="M54" s="48"/>
      <c r="N54" s="50"/>
      <c r="O54" s="49"/>
      <c r="P54" s="375"/>
    </row>
    <row r="55" spans="1:16" ht="15" customHeight="1">
      <c r="A55" s="784" t="s">
        <v>62</v>
      </c>
      <c r="B55" s="785"/>
      <c r="C55" s="785"/>
      <c r="D55" s="785"/>
      <c r="E55" s="786"/>
      <c r="F55" s="88"/>
      <c r="G55" s="349"/>
      <c r="H55" s="375"/>
      <c r="I55" s="787" t="s">
        <v>63</v>
      </c>
      <c r="J55" s="779"/>
      <c r="K55" s="48"/>
      <c r="L55" s="48"/>
      <c r="M55" s="48"/>
      <c r="N55" s="50"/>
      <c r="O55" s="49"/>
      <c r="P55" s="375"/>
    </row>
    <row r="56" spans="1:16" ht="15" customHeight="1">
      <c r="A56" s="76" t="s">
        <v>11</v>
      </c>
      <c r="B56" s="89" t="s">
        <v>12</v>
      </c>
      <c r="C56" s="20"/>
      <c r="D56" s="20"/>
      <c r="E56" s="20"/>
      <c r="F56" s="22"/>
      <c r="G56" s="359"/>
      <c r="H56" s="375"/>
      <c r="I56" s="40" t="s">
        <v>11</v>
      </c>
      <c r="J56" s="69" t="s">
        <v>12</v>
      </c>
      <c r="K56" s="48"/>
      <c r="L56" s="48"/>
      <c r="M56" s="48"/>
      <c r="N56" s="50"/>
      <c r="O56" s="49"/>
      <c r="P56" s="375"/>
    </row>
    <row r="57" spans="1:16" ht="27" customHeight="1">
      <c r="A57" s="76"/>
      <c r="B57" s="90" t="s">
        <v>64</v>
      </c>
      <c r="C57" s="20">
        <v>0</v>
      </c>
      <c r="D57" s="20">
        <v>0</v>
      </c>
      <c r="E57" s="20">
        <v>50000000</v>
      </c>
      <c r="F57" s="22">
        <f>E57+G57</f>
        <v>50000000</v>
      </c>
      <c r="G57" s="359">
        <v>0</v>
      </c>
      <c r="H57" s="375">
        <v>50000000</v>
      </c>
      <c r="I57" s="40"/>
      <c r="J57" s="90" t="s">
        <v>65</v>
      </c>
      <c r="K57" s="20">
        <v>0</v>
      </c>
      <c r="L57" s="20">
        <v>0</v>
      </c>
      <c r="M57" s="20">
        <v>25000000</v>
      </c>
      <c r="N57" s="22">
        <v>25000000</v>
      </c>
      <c r="O57" s="21">
        <v>0</v>
      </c>
      <c r="P57" s="375">
        <v>25000000</v>
      </c>
    </row>
    <row r="58" spans="1:16" ht="25.5" customHeight="1">
      <c r="A58" s="76"/>
      <c r="B58" s="90" t="s">
        <v>66</v>
      </c>
      <c r="C58" s="20">
        <v>0</v>
      </c>
      <c r="D58" s="20">
        <v>0</v>
      </c>
      <c r="E58" s="20">
        <v>25000000</v>
      </c>
      <c r="F58" s="22">
        <f>E58+G58</f>
        <v>25000000</v>
      </c>
      <c r="G58" s="359">
        <v>0</v>
      </c>
      <c r="H58" s="375">
        <v>25000000</v>
      </c>
      <c r="I58" s="40"/>
      <c r="J58" s="69"/>
      <c r="K58" s="48"/>
      <c r="L58" s="48"/>
      <c r="M58" s="48"/>
      <c r="N58" s="50"/>
      <c r="O58" s="49"/>
      <c r="P58" s="375"/>
    </row>
    <row r="59" spans="1:16" ht="32.25" customHeight="1">
      <c r="A59" s="78"/>
      <c r="B59" s="90" t="s">
        <v>67</v>
      </c>
      <c r="C59" s="20">
        <v>88071346</v>
      </c>
      <c r="D59" s="20">
        <v>88071346</v>
      </c>
      <c r="E59" s="20">
        <v>54122434</v>
      </c>
      <c r="F59" s="22">
        <f>E59+G59</f>
        <v>54122434</v>
      </c>
      <c r="G59" s="359">
        <v>0</v>
      </c>
      <c r="H59" s="375">
        <v>54122434</v>
      </c>
      <c r="I59" s="40"/>
      <c r="J59" s="91"/>
      <c r="K59" s="20"/>
      <c r="L59" s="20"/>
      <c r="M59" s="20"/>
      <c r="N59" s="22"/>
      <c r="O59" s="21"/>
      <c r="P59" s="375"/>
    </row>
    <row r="60" spans="1:16" ht="32.25" customHeight="1">
      <c r="A60" s="78"/>
      <c r="B60" s="90" t="s">
        <v>346</v>
      </c>
      <c r="C60" s="20"/>
      <c r="D60" s="20"/>
      <c r="E60" s="20">
        <v>0</v>
      </c>
      <c r="F60" s="22">
        <v>0</v>
      </c>
      <c r="G60" s="359">
        <v>54427819</v>
      </c>
      <c r="H60" s="375">
        <v>54427819</v>
      </c>
      <c r="I60" s="40"/>
      <c r="J60" s="91"/>
      <c r="K60" s="20"/>
      <c r="L60" s="20"/>
      <c r="M60" s="20"/>
      <c r="N60" s="22"/>
      <c r="O60" s="21"/>
      <c r="P60" s="375"/>
    </row>
    <row r="61" spans="1:16" s="372" customFormat="1" ht="15.75">
      <c r="A61" s="70"/>
      <c r="B61" s="34" t="s">
        <v>23</v>
      </c>
      <c r="C61" s="71">
        <f>SUM(C57:C59)</f>
        <v>88071346</v>
      </c>
      <c r="D61" s="71">
        <f>SUM(D57:D59)</f>
        <v>88071346</v>
      </c>
      <c r="E61" s="71">
        <f>SUM(E57:E60)</f>
        <v>129122434</v>
      </c>
      <c r="F61" s="72">
        <f>SUM(F57:F59)</f>
        <v>129122434</v>
      </c>
      <c r="G61" s="360">
        <f>SUM(G57:G60)</f>
        <v>54427819</v>
      </c>
      <c r="H61" s="71">
        <f>SUM(H57:H60)</f>
        <v>183550253</v>
      </c>
      <c r="I61" s="369"/>
      <c r="J61" s="34" t="s">
        <v>23</v>
      </c>
      <c r="K61" s="73">
        <f>SUM(K56:K59)</f>
        <v>0</v>
      </c>
      <c r="L61" s="73">
        <f>SUM(L56:L59)</f>
        <v>0</v>
      </c>
      <c r="M61" s="73">
        <f>SUM(M56:M59)</f>
        <v>25000000</v>
      </c>
      <c r="N61" s="75">
        <f>SUM(N56:N59)</f>
        <v>25000000</v>
      </c>
      <c r="O61" s="74">
        <f>SUM(O56:O59)</f>
        <v>0</v>
      </c>
      <c r="P61" s="71">
        <f>P57</f>
        <v>25000000</v>
      </c>
    </row>
    <row r="62" spans="1:16" ht="15" customHeight="1">
      <c r="A62" s="76" t="s">
        <v>24</v>
      </c>
      <c r="B62" s="92" t="s">
        <v>25</v>
      </c>
      <c r="C62" s="48"/>
      <c r="D62" s="48"/>
      <c r="E62" s="48"/>
      <c r="F62" s="50"/>
      <c r="G62" s="361"/>
      <c r="H62" s="375"/>
      <c r="I62" s="40" t="s">
        <v>24</v>
      </c>
      <c r="J62" s="38" t="s">
        <v>25</v>
      </c>
      <c r="K62" s="48"/>
      <c r="L62" s="48"/>
      <c r="M62" s="48"/>
      <c r="N62" s="50"/>
      <c r="O62" s="49"/>
      <c r="P62" s="375"/>
    </row>
    <row r="63" spans="1:16" ht="25.5" customHeight="1">
      <c r="A63" s="78"/>
      <c r="B63" s="90" t="s">
        <v>68</v>
      </c>
      <c r="C63" s="27">
        <v>2161479</v>
      </c>
      <c r="D63" s="27">
        <v>2161479</v>
      </c>
      <c r="E63" s="27">
        <v>445712</v>
      </c>
      <c r="F63" s="28">
        <f>E63+G63</f>
        <v>445712</v>
      </c>
      <c r="G63" s="352">
        <v>0</v>
      </c>
      <c r="H63" s="375">
        <v>445712</v>
      </c>
      <c r="I63" s="40"/>
      <c r="J63" s="38"/>
      <c r="K63" s="20"/>
      <c r="L63" s="20"/>
      <c r="M63" s="20"/>
      <c r="N63" s="22"/>
      <c r="O63" s="21"/>
      <c r="P63" s="375"/>
    </row>
    <row r="64" spans="1:16" ht="15" customHeight="1">
      <c r="A64" s="76" t="s">
        <v>33</v>
      </c>
      <c r="B64" s="38" t="s">
        <v>34</v>
      </c>
      <c r="C64" s="48"/>
      <c r="D64" s="48"/>
      <c r="E64" s="48"/>
      <c r="F64" s="50"/>
      <c r="G64" s="361"/>
      <c r="H64" s="375"/>
      <c r="I64" s="40" t="s">
        <v>33</v>
      </c>
      <c r="J64" s="38" t="s">
        <v>34</v>
      </c>
      <c r="K64" s="48"/>
      <c r="L64" s="48"/>
      <c r="M64" s="48"/>
      <c r="N64" s="50"/>
      <c r="O64" s="49"/>
      <c r="P64" s="375"/>
    </row>
    <row r="65" spans="1:16" ht="27" customHeight="1">
      <c r="A65" s="78"/>
      <c r="B65" s="90" t="s">
        <v>69</v>
      </c>
      <c r="C65" s="27">
        <v>0</v>
      </c>
      <c r="D65" s="27">
        <v>0</v>
      </c>
      <c r="E65" s="27">
        <v>110713</v>
      </c>
      <c r="F65" s="28">
        <f>E65+G65</f>
        <v>110713</v>
      </c>
      <c r="G65" s="352">
        <v>0</v>
      </c>
      <c r="H65" s="375">
        <v>110713</v>
      </c>
      <c r="I65" s="40"/>
      <c r="J65" s="38"/>
      <c r="K65" s="20"/>
      <c r="L65" s="20"/>
      <c r="M65" s="20"/>
      <c r="N65" s="22"/>
      <c r="O65" s="21"/>
      <c r="P65" s="375"/>
    </row>
    <row r="66" spans="1:16" ht="27" customHeight="1">
      <c r="A66" s="85"/>
      <c r="B66" s="93"/>
      <c r="C66" s="27"/>
      <c r="D66" s="27"/>
      <c r="E66" s="27"/>
      <c r="F66" s="28"/>
      <c r="G66" s="352"/>
      <c r="H66" s="375"/>
      <c r="I66" s="94"/>
      <c r="J66" s="38"/>
      <c r="K66" s="20"/>
      <c r="L66" s="20"/>
      <c r="M66" s="20"/>
      <c r="N66" s="22"/>
      <c r="O66" s="21"/>
      <c r="P66" s="375"/>
    </row>
    <row r="67" spans="1:16" ht="15" customHeight="1">
      <c r="A67" s="788" t="s">
        <v>70</v>
      </c>
      <c r="B67" s="789"/>
      <c r="C67" s="32">
        <f>C61+C63+C65</f>
        <v>90232825</v>
      </c>
      <c r="D67" s="32">
        <f>D61+D63+D65</f>
        <v>90232825</v>
      </c>
      <c r="E67" s="32">
        <f>E61+E63+E65</f>
        <v>129678859</v>
      </c>
      <c r="F67" s="33">
        <f>F61+F63+F65</f>
        <v>129678859</v>
      </c>
      <c r="G67" s="351">
        <f>G61+G63+G65</f>
        <v>54427819</v>
      </c>
      <c r="H67" s="71">
        <f>H65+H63+H61</f>
        <v>184106678</v>
      </c>
      <c r="I67" s="790" t="s">
        <v>71</v>
      </c>
      <c r="J67" s="789"/>
      <c r="K67" s="35">
        <f>K61+K63+K65</f>
        <v>0</v>
      </c>
      <c r="L67" s="35">
        <f>L61+L63+L65</f>
        <v>0</v>
      </c>
      <c r="M67" s="35">
        <f>M61+M63+M65</f>
        <v>25000000</v>
      </c>
      <c r="N67" s="37">
        <f>N61+N63+N65</f>
        <v>25000000</v>
      </c>
      <c r="O67" s="36">
        <f>O61+O63+O65</f>
        <v>0</v>
      </c>
      <c r="P67" s="71">
        <f>P61+P62+P64</f>
        <v>25000000</v>
      </c>
    </row>
    <row r="68" spans="1:16" ht="15" customHeight="1">
      <c r="A68" s="319"/>
      <c r="B68" s="82"/>
      <c r="C68" s="32"/>
      <c r="D68" s="32"/>
      <c r="E68" s="32"/>
      <c r="F68" s="351"/>
      <c r="G68" s="351"/>
      <c r="H68" s="377"/>
      <c r="I68" s="356"/>
      <c r="J68" s="356"/>
      <c r="K68" s="35"/>
      <c r="L68" s="35"/>
      <c r="M68" s="35"/>
      <c r="N68" s="362"/>
      <c r="O68" s="36"/>
      <c r="P68" s="377"/>
    </row>
    <row r="69" spans="1:16" ht="15" customHeight="1">
      <c r="A69" s="791" t="s">
        <v>347</v>
      </c>
      <c r="B69" s="792"/>
      <c r="C69" s="378"/>
      <c r="D69" s="378"/>
      <c r="E69" s="378">
        <f>E67+E53</f>
        <v>241207476</v>
      </c>
      <c r="F69" s="379">
        <f>F67+F53</f>
        <v>241208476</v>
      </c>
      <c r="G69" s="378">
        <f>G67+G53</f>
        <v>14427819</v>
      </c>
      <c r="H69" s="379">
        <f>H67+H53</f>
        <v>255636295</v>
      </c>
      <c r="I69" s="798" t="s">
        <v>348</v>
      </c>
      <c r="J69" s="792"/>
      <c r="K69" s="380"/>
      <c r="L69" s="380"/>
      <c r="M69" s="380">
        <f>M67+M53</f>
        <v>239515000</v>
      </c>
      <c r="N69" s="380">
        <f>N67+N53</f>
        <v>239753500</v>
      </c>
      <c r="O69" s="380">
        <f>O67+O53</f>
        <v>-5364996</v>
      </c>
      <c r="P69" s="380">
        <f>P67+P53</f>
        <v>234388504</v>
      </c>
    </row>
    <row r="70" spans="1:16" ht="15" customHeight="1">
      <c r="A70" s="95"/>
      <c r="B70" s="96"/>
      <c r="C70" s="44"/>
      <c r="D70" s="44"/>
      <c r="E70" s="44"/>
      <c r="F70" s="45"/>
      <c r="G70" s="45"/>
      <c r="H70" s="46"/>
      <c r="I70" s="94"/>
      <c r="J70" s="94"/>
      <c r="K70" s="48"/>
      <c r="L70" s="48"/>
      <c r="M70" s="48"/>
      <c r="N70" s="49"/>
      <c r="O70" s="49"/>
      <c r="P70" s="50"/>
    </row>
    <row r="71" spans="1:16" ht="15" customHeight="1">
      <c r="A71" s="98"/>
      <c r="B71" s="40"/>
      <c r="C71" s="44"/>
      <c r="D71" s="44"/>
      <c r="E71" s="44"/>
      <c r="F71" s="45"/>
      <c r="G71" s="45"/>
      <c r="H71" s="46"/>
      <c r="I71" s="94"/>
      <c r="J71" s="94"/>
      <c r="K71" s="48"/>
      <c r="L71" s="48"/>
      <c r="M71" s="48"/>
      <c r="N71" s="49"/>
      <c r="O71" s="49"/>
      <c r="P71" s="50"/>
    </row>
    <row r="72" spans="1:16" ht="15" customHeight="1" thickBot="1">
      <c r="A72" s="775" t="s">
        <v>72</v>
      </c>
      <c r="B72" s="776"/>
      <c r="C72" s="100" t="e">
        <f>C35+#REF!</f>
        <v>#REF!</v>
      </c>
      <c r="D72" s="100" t="e">
        <f>D35+#REF!</f>
        <v>#REF!</v>
      </c>
      <c r="E72" s="100">
        <f>E69+E35</f>
        <v>556714790</v>
      </c>
      <c r="F72" s="100">
        <f>F69+F35</f>
        <v>557207856</v>
      </c>
      <c r="G72" s="100">
        <f>G69+G35</f>
        <v>4376270</v>
      </c>
      <c r="H72" s="100">
        <f>H69+H35</f>
        <v>561584126</v>
      </c>
      <c r="I72" s="101"/>
      <c r="J72" s="99" t="s">
        <v>73</v>
      </c>
      <c r="K72" s="100" t="e">
        <f>K35+#REF!</f>
        <v>#REF!</v>
      </c>
      <c r="L72" s="100" t="e">
        <f>L35+#REF!</f>
        <v>#REF!</v>
      </c>
      <c r="M72" s="100">
        <f>M69+M35</f>
        <v>556714790</v>
      </c>
      <c r="N72" s="100">
        <f>N69+N35</f>
        <v>557207856</v>
      </c>
      <c r="O72" s="100">
        <f>O69+O35</f>
        <v>4376270</v>
      </c>
      <c r="P72" s="100">
        <f>P69+P35</f>
        <v>561584126</v>
      </c>
    </row>
    <row r="74" spans="1:256" ht="1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03"/>
      <c r="IQ74" s="103"/>
      <c r="IR74" s="103"/>
      <c r="IS74" s="103"/>
      <c r="IT74" s="103"/>
      <c r="IU74" s="103"/>
      <c r="IV74" s="103"/>
    </row>
    <row r="79" ht="12.75">
      <c r="J79" s="373"/>
    </row>
  </sheetData>
  <sheetProtection/>
  <mergeCells count="24">
    <mergeCell ref="A1:P1"/>
    <mergeCell ref="A2:P2"/>
    <mergeCell ref="A4:B4"/>
    <mergeCell ref="A5:B5"/>
    <mergeCell ref="L5:M5"/>
    <mergeCell ref="A7:E7"/>
    <mergeCell ref="I7:M7"/>
    <mergeCell ref="A37:B37"/>
    <mergeCell ref="I37:J37"/>
    <mergeCell ref="A31:B31"/>
    <mergeCell ref="I31:J31"/>
    <mergeCell ref="I69:J69"/>
    <mergeCell ref="A33:B33"/>
    <mergeCell ref="I33:J33"/>
    <mergeCell ref="A72:B72"/>
    <mergeCell ref="A38:B38"/>
    <mergeCell ref="I38:J38"/>
    <mergeCell ref="A53:B53"/>
    <mergeCell ref="I53:J53"/>
    <mergeCell ref="A55:E55"/>
    <mergeCell ref="I55:J55"/>
    <mergeCell ref="A67:B67"/>
    <mergeCell ref="I67:J67"/>
    <mergeCell ref="A69:B69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46" r:id="rId1"/>
  <rowBreaks count="1" manualBreakCount="1">
    <brk id="3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70" zoomScaleNormal="70" zoomScaleSheetLayoutView="90" zoomScalePageLayoutView="0" workbookViewId="0" topLeftCell="A1">
      <selection activeCell="A4" sqref="A4:A5"/>
    </sheetView>
  </sheetViews>
  <sheetFormatPr defaultColWidth="9.140625" defaultRowHeight="15"/>
  <cols>
    <col min="1" max="1" width="3.00390625" style="416" customWidth="1"/>
    <col min="2" max="2" width="35.00390625" style="416" customWidth="1"/>
    <col min="3" max="3" width="16.57421875" style="416" customWidth="1"/>
    <col min="4" max="4" width="15.7109375" style="416" bestFit="1" customWidth="1"/>
    <col min="5" max="5" width="15.8515625" style="416" bestFit="1" customWidth="1"/>
    <col min="6" max="6" width="15.7109375" style="416" bestFit="1" customWidth="1"/>
    <col min="7" max="8" width="15.28125" style="416" customWidth="1"/>
    <col min="9" max="9" width="16.00390625" style="416" customWidth="1"/>
    <col min="10" max="10" width="15.57421875" style="416" customWidth="1"/>
    <col min="11" max="11" width="15.140625" style="416" customWidth="1"/>
    <col min="12" max="12" width="16.00390625" style="416" customWidth="1"/>
    <col min="13" max="14" width="15.140625" style="416" customWidth="1"/>
    <col min="15" max="15" width="15.00390625" style="416" customWidth="1"/>
    <col min="16" max="20" width="9.140625" style="416" customWidth="1"/>
    <col min="21" max="21" width="14.57421875" style="416" bestFit="1" customWidth="1"/>
    <col min="22" max="16384" width="9.140625" style="416" customWidth="1"/>
  </cols>
  <sheetData>
    <row r="1" spans="1:20" s="371" customFormat="1" ht="15.75">
      <c r="A1" s="841" t="s">
        <v>455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409"/>
      <c r="Q1" s="409"/>
      <c r="R1" s="409"/>
      <c r="S1" s="409"/>
      <c r="T1" s="409"/>
    </row>
    <row r="2" s="371" customFormat="1" ht="14.25">
      <c r="O2" s="410"/>
    </row>
    <row r="3" s="371" customFormat="1" ht="14.25">
      <c r="O3" s="410"/>
    </row>
    <row r="4" spans="1:15" s="371" customFormat="1" ht="15">
      <c r="A4" s="411" t="s">
        <v>631</v>
      </c>
      <c r="B4" s="411"/>
      <c r="C4" s="411"/>
      <c r="O4" s="410"/>
    </row>
    <row r="5" spans="1:15" s="371" customFormat="1" ht="13.5" customHeight="1">
      <c r="A5" s="412" t="s">
        <v>456</v>
      </c>
      <c r="B5" s="412"/>
      <c r="C5" s="413"/>
      <c r="N5" s="858" t="s">
        <v>3</v>
      </c>
      <c r="O5" s="858"/>
    </row>
    <row r="6" spans="1:15" ht="27.75" customHeight="1">
      <c r="A6" s="414" t="s">
        <v>457</v>
      </c>
      <c r="B6" s="415" t="s">
        <v>364</v>
      </c>
      <c r="C6" s="415" t="s">
        <v>458</v>
      </c>
      <c r="D6" s="415" t="s">
        <v>459</v>
      </c>
      <c r="E6" s="415" t="s">
        <v>460</v>
      </c>
      <c r="F6" s="415" t="s">
        <v>461</v>
      </c>
      <c r="G6" s="415" t="s">
        <v>462</v>
      </c>
      <c r="H6" s="415" t="s">
        <v>463</v>
      </c>
      <c r="I6" s="415" t="s">
        <v>464</v>
      </c>
      <c r="J6" s="415" t="s">
        <v>465</v>
      </c>
      <c r="K6" s="415" t="s">
        <v>466</v>
      </c>
      <c r="L6" s="415" t="s">
        <v>467</v>
      </c>
      <c r="M6" s="415" t="s">
        <v>468</v>
      </c>
      <c r="N6" s="415" t="s">
        <v>469</v>
      </c>
      <c r="O6" s="415" t="s">
        <v>470</v>
      </c>
    </row>
    <row r="7" spans="1:15" ht="27.75" customHeight="1">
      <c r="A7" s="417"/>
      <c r="B7" s="418" t="s">
        <v>471</v>
      </c>
      <c r="C7" s="419">
        <v>98160037</v>
      </c>
      <c r="D7" s="419">
        <f>C33</f>
        <v>33957367</v>
      </c>
      <c r="E7" s="419">
        <f aca="true" t="shared" si="0" ref="E7:N7">D33</f>
        <v>598496</v>
      </c>
      <c r="F7" s="419">
        <f t="shared" si="0"/>
        <v>2581660</v>
      </c>
      <c r="G7" s="419">
        <f t="shared" si="0"/>
        <v>43688574</v>
      </c>
      <c r="H7" s="419">
        <f t="shared" si="0"/>
        <v>27655589</v>
      </c>
      <c r="I7" s="419">
        <f t="shared" si="0"/>
        <v>23260506</v>
      </c>
      <c r="J7" s="419">
        <f t="shared" si="0"/>
        <v>-17365078</v>
      </c>
      <c r="K7" s="419">
        <f t="shared" si="0"/>
        <v>-19230662</v>
      </c>
      <c r="L7" s="419">
        <f t="shared" si="0"/>
        <v>-6651011</v>
      </c>
      <c r="M7" s="419">
        <f t="shared" si="0"/>
        <v>39109274</v>
      </c>
      <c r="N7" s="419">
        <f t="shared" si="0"/>
        <v>32944244</v>
      </c>
      <c r="O7" s="420"/>
    </row>
    <row r="8" spans="1:15" ht="22.5" customHeight="1">
      <c r="A8" s="421" t="s">
        <v>365</v>
      </c>
      <c r="B8" s="422" t="s">
        <v>121</v>
      </c>
      <c r="C8" s="419">
        <v>2902750</v>
      </c>
      <c r="D8" s="419">
        <v>2902750</v>
      </c>
      <c r="E8" s="419">
        <v>2902750</v>
      </c>
      <c r="F8" s="419">
        <v>2902750</v>
      </c>
      <c r="G8" s="419">
        <v>2902750</v>
      </c>
      <c r="H8" s="419">
        <v>2902750</v>
      </c>
      <c r="I8" s="419">
        <v>2902750</v>
      </c>
      <c r="J8" s="419">
        <v>2902750</v>
      </c>
      <c r="K8" s="419">
        <v>3015854</v>
      </c>
      <c r="L8" s="419">
        <v>3015855</v>
      </c>
      <c r="M8" s="419">
        <v>3015855</v>
      </c>
      <c r="N8" s="419">
        <v>3015855</v>
      </c>
      <c r="O8" s="423">
        <f aca="true" t="shared" si="1" ref="O8:O17">SUM(C8:N8)</f>
        <v>35285419</v>
      </c>
    </row>
    <row r="9" spans="1:15" ht="21.75" customHeight="1">
      <c r="A9" s="421" t="s">
        <v>367</v>
      </c>
      <c r="B9" s="422" t="s">
        <v>111</v>
      </c>
      <c r="C9" s="419">
        <v>50000</v>
      </c>
      <c r="D9" s="419">
        <v>100000</v>
      </c>
      <c r="E9" s="419">
        <v>38000000</v>
      </c>
      <c r="F9" s="419">
        <v>2000000</v>
      </c>
      <c r="G9" s="419">
        <v>50000</v>
      </c>
      <c r="H9" s="419">
        <v>50000</v>
      </c>
      <c r="I9" s="419">
        <v>50000</v>
      </c>
      <c r="J9" s="419">
        <v>50000</v>
      </c>
      <c r="K9" s="419">
        <v>22032181</v>
      </c>
      <c r="L9" s="419">
        <v>1000000</v>
      </c>
      <c r="M9" s="419">
        <v>50000</v>
      </c>
      <c r="N9" s="419">
        <v>3584266</v>
      </c>
      <c r="O9" s="423">
        <f t="shared" si="1"/>
        <v>67016447</v>
      </c>
    </row>
    <row r="10" spans="1:15" ht="34.5" customHeight="1">
      <c r="A10" s="421" t="s">
        <v>370</v>
      </c>
      <c r="B10" s="422" t="s">
        <v>472</v>
      </c>
      <c r="C10" s="419">
        <v>16140837</v>
      </c>
      <c r="D10" s="419">
        <v>16140837</v>
      </c>
      <c r="E10" s="419">
        <v>16140837</v>
      </c>
      <c r="F10" s="419">
        <v>16140837</v>
      </c>
      <c r="G10" s="419">
        <v>16140838</v>
      </c>
      <c r="H10" s="419">
        <v>16140838</v>
      </c>
      <c r="I10" s="419">
        <v>16140837</v>
      </c>
      <c r="J10" s="419">
        <v>16140838</v>
      </c>
      <c r="K10" s="419">
        <v>18506800</v>
      </c>
      <c r="L10" s="419">
        <v>18506800</v>
      </c>
      <c r="M10" s="419">
        <v>18506800</v>
      </c>
      <c r="N10" s="419">
        <v>18506800</v>
      </c>
      <c r="O10" s="423">
        <f t="shared" si="1"/>
        <v>203153899</v>
      </c>
    </row>
    <row r="11" spans="1:15" ht="33.75" customHeight="1">
      <c r="A11" s="421" t="s">
        <v>371</v>
      </c>
      <c r="B11" s="422" t="s">
        <v>139</v>
      </c>
      <c r="C11" s="419">
        <v>10000</v>
      </c>
      <c r="D11" s="419">
        <v>160000</v>
      </c>
      <c r="E11" s="419">
        <v>10000</v>
      </c>
      <c r="F11" s="419">
        <v>10000</v>
      </c>
      <c r="G11" s="419">
        <v>10000</v>
      </c>
      <c r="H11" s="419"/>
      <c r="I11" s="419"/>
      <c r="J11" s="419"/>
      <c r="K11" s="419"/>
      <c r="L11" s="419"/>
      <c r="M11" s="419"/>
      <c r="N11" s="419"/>
      <c r="O11" s="423">
        <f t="shared" si="1"/>
        <v>200000</v>
      </c>
    </row>
    <row r="12" spans="1:15" ht="33.75" customHeight="1">
      <c r="A12" s="421" t="s">
        <v>374</v>
      </c>
      <c r="B12" s="424" t="s">
        <v>135</v>
      </c>
      <c r="C12" s="419"/>
      <c r="D12" s="419"/>
      <c r="E12" s="419">
        <v>1000</v>
      </c>
      <c r="F12" s="419"/>
      <c r="G12" s="419">
        <v>7000000</v>
      </c>
      <c r="H12" s="419"/>
      <c r="I12" s="419"/>
      <c r="J12" s="419"/>
      <c r="K12" s="419"/>
      <c r="L12" s="419"/>
      <c r="M12" s="419"/>
      <c r="N12" s="419"/>
      <c r="O12" s="425">
        <f t="shared" si="1"/>
        <v>7001000</v>
      </c>
    </row>
    <row r="13" spans="1:15" ht="33.75" customHeight="1">
      <c r="A13" s="421" t="s">
        <v>377</v>
      </c>
      <c r="B13" s="424" t="s">
        <v>473</v>
      </c>
      <c r="C13" s="419"/>
      <c r="D13" s="419">
        <v>14528617</v>
      </c>
      <c r="E13" s="419"/>
      <c r="F13" s="419">
        <v>45000000</v>
      </c>
      <c r="G13" s="419"/>
      <c r="H13" s="419"/>
      <c r="I13" s="419"/>
      <c r="J13" s="419">
        <v>5000000</v>
      </c>
      <c r="K13" s="419"/>
      <c r="L13" s="419"/>
      <c r="M13" s="419"/>
      <c r="N13" s="419"/>
      <c r="O13" s="425">
        <f t="shared" si="1"/>
        <v>64528617</v>
      </c>
    </row>
    <row r="14" spans="1:15" ht="33" customHeight="1">
      <c r="A14" s="421" t="s">
        <v>380</v>
      </c>
      <c r="B14" s="424" t="s">
        <v>474</v>
      </c>
      <c r="C14" s="419">
        <f>54122434+445712+110713</f>
        <v>54678859</v>
      </c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25">
        <f t="shared" si="1"/>
        <v>54678859</v>
      </c>
    </row>
    <row r="15" spans="1:15" ht="33" customHeight="1">
      <c r="A15" s="421" t="s">
        <v>381</v>
      </c>
      <c r="B15" s="424" t="s">
        <v>151</v>
      </c>
      <c r="C15" s="419"/>
      <c r="D15" s="419"/>
      <c r="E15" s="419">
        <v>12500000</v>
      </c>
      <c r="F15" s="419"/>
      <c r="G15" s="419"/>
      <c r="H15" s="419">
        <v>12500000</v>
      </c>
      <c r="I15" s="419"/>
      <c r="J15" s="419"/>
      <c r="K15" s="419"/>
      <c r="L15" s="419"/>
      <c r="M15" s="419"/>
      <c r="N15" s="419"/>
      <c r="O15" s="425">
        <f t="shared" si="1"/>
        <v>25000000</v>
      </c>
    </row>
    <row r="16" spans="1:15" ht="33" customHeight="1">
      <c r="A16" s="421" t="s">
        <v>384</v>
      </c>
      <c r="B16" s="424" t="s">
        <v>149</v>
      </c>
      <c r="C16" s="419"/>
      <c r="D16" s="419"/>
      <c r="E16" s="419"/>
      <c r="F16" s="419"/>
      <c r="G16" s="419"/>
      <c r="H16" s="419"/>
      <c r="I16" s="419">
        <v>50000000</v>
      </c>
      <c r="J16" s="419"/>
      <c r="K16" s="419"/>
      <c r="L16" s="419"/>
      <c r="M16" s="419"/>
      <c r="N16" s="419"/>
      <c r="O16" s="425">
        <f t="shared" si="1"/>
        <v>50000000</v>
      </c>
    </row>
    <row r="17" spans="1:15" ht="33" customHeight="1">
      <c r="A17" s="421" t="s">
        <v>387</v>
      </c>
      <c r="B17" s="424" t="s">
        <v>475</v>
      </c>
      <c r="C17" s="419">
        <v>150220</v>
      </c>
      <c r="D17" s="419">
        <v>141846</v>
      </c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25">
        <f t="shared" si="1"/>
        <v>292066</v>
      </c>
    </row>
    <row r="18" spans="1:15" ht="33" customHeight="1">
      <c r="A18" s="421" t="s">
        <v>390</v>
      </c>
      <c r="B18" s="424" t="s">
        <v>352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>
        <v>54427819</v>
      </c>
      <c r="M18" s="419"/>
      <c r="N18" s="419"/>
      <c r="O18" s="425">
        <f>SUM(C18:N18)</f>
        <v>54427819</v>
      </c>
    </row>
    <row r="19" spans="1:15" s="430" customFormat="1" ht="27.75" customHeight="1">
      <c r="A19" s="426"/>
      <c r="B19" s="427" t="s">
        <v>476</v>
      </c>
      <c r="C19" s="428">
        <f>SUM(C8:C18)</f>
        <v>73932666</v>
      </c>
      <c r="D19" s="428">
        <f aca="true" t="shared" si="2" ref="D19:N19">SUM(D8:D18)</f>
        <v>33974050</v>
      </c>
      <c r="E19" s="428">
        <f t="shared" si="2"/>
        <v>69554587</v>
      </c>
      <c r="F19" s="428">
        <f t="shared" si="2"/>
        <v>66053587</v>
      </c>
      <c r="G19" s="428">
        <f t="shared" si="2"/>
        <v>26103588</v>
      </c>
      <c r="H19" s="428">
        <f t="shared" si="2"/>
        <v>31593588</v>
      </c>
      <c r="I19" s="428">
        <f t="shared" si="2"/>
        <v>69093587</v>
      </c>
      <c r="J19" s="428">
        <f t="shared" si="2"/>
        <v>24093588</v>
      </c>
      <c r="K19" s="428">
        <f t="shared" si="2"/>
        <v>43554835</v>
      </c>
      <c r="L19" s="428">
        <f t="shared" si="2"/>
        <v>76950474</v>
      </c>
      <c r="M19" s="428">
        <f t="shared" si="2"/>
        <v>21572655</v>
      </c>
      <c r="N19" s="428">
        <f t="shared" si="2"/>
        <v>25106921</v>
      </c>
      <c r="O19" s="429">
        <f>SUM(O8:O18)</f>
        <v>561584126</v>
      </c>
    </row>
    <row r="20" spans="1:15" ht="27.75" customHeight="1">
      <c r="A20" s="417"/>
      <c r="B20" s="418" t="s">
        <v>363</v>
      </c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2"/>
    </row>
    <row r="21" spans="1:15" ht="27.75" customHeight="1">
      <c r="A21" s="421" t="s">
        <v>390</v>
      </c>
      <c r="B21" s="433" t="s">
        <v>163</v>
      </c>
      <c r="C21" s="434">
        <v>10081539</v>
      </c>
      <c r="D21" s="434">
        <v>10081539</v>
      </c>
      <c r="E21" s="434">
        <v>10081540</v>
      </c>
      <c r="F21" s="434">
        <v>10081540</v>
      </c>
      <c r="G21" s="434">
        <v>10081540</v>
      </c>
      <c r="H21" s="434">
        <v>10081539</v>
      </c>
      <c r="I21" s="434">
        <v>10081539</v>
      </c>
      <c r="J21" s="434">
        <v>10081539</v>
      </c>
      <c r="K21" s="434">
        <v>11325469</v>
      </c>
      <c r="L21" s="434">
        <v>11325470</v>
      </c>
      <c r="M21" s="434">
        <v>11325470</v>
      </c>
      <c r="N21" s="434">
        <v>11325470</v>
      </c>
      <c r="O21" s="425">
        <f aca="true" t="shared" si="3" ref="O21:O31">SUM(C21:N21)</f>
        <v>125954194</v>
      </c>
    </row>
    <row r="22" spans="1:15" ht="27.75" customHeight="1">
      <c r="A22" s="421" t="s">
        <v>393</v>
      </c>
      <c r="B22" s="433" t="s">
        <v>477</v>
      </c>
      <c r="C22" s="434">
        <v>1897956</v>
      </c>
      <c r="D22" s="434">
        <v>1897956</v>
      </c>
      <c r="E22" s="434">
        <v>1897957</v>
      </c>
      <c r="F22" s="434">
        <v>1897957</v>
      </c>
      <c r="G22" s="434">
        <v>1897957</v>
      </c>
      <c r="H22" s="434">
        <v>1897956</v>
      </c>
      <c r="I22" s="434">
        <v>1897956</v>
      </c>
      <c r="J22" s="434">
        <v>1897957</v>
      </c>
      <c r="K22" s="434">
        <v>2597957</v>
      </c>
      <c r="L22" s="434">
        <v>2597957</v>
      </c>
      <c r="M22" s="434">
        <v>2597957</v>
      </c>
      <c r="N22" s="434">
        <v>2597957</v>
      </c>
      <c r="O22" s="425">
        <f t="shared" si="3"/>
        <v>25575480</v>
      </c>
    </row>
    <row r="23" spans="1:15" ht="27.75" customHeight="1">
      <c r="A23" s="421" t="s">
        <v>396</v>
      </c>
      <c r="B23" s="435" t="s">
        <v>187</v>
      </c>
      <c r="C23" s="434">
        <v>8439406</v>
      </c>
      <c r="D23" s="434">
        <v>8439406</v>
      </c>
      <c r="E23" s="434">
        <v>8439406</v>
      </c>
      <c r="F23" s="434">
        <v>8439406</v>
      </c>
      <c r="G23" s="434">
        <v>8439406</v>
      </c>
      <c r="H23" s="434">
        <v>8439406</v>
      </c>
      <c r="I23" s="434">
        <v>8439406</v>
      </c>
      <c r="J23" s="434">
        <v>8439406</v>
      </c>
      <c r="K23" s="434">
        <v>8901407</v>
      </c>
      <c r="L23" s="434">
        <v>8901407</v>
      </c>
      <c r="M23" s="434">
        <v>8901407</v>
      </c>
      <c r="N23" s="434">
        <v>8901406</v>
      </c>
      <c r="O23" s="425">
        <f t="shared" si="3"/>
        <v>103120875</v>
      </c>
    </row>
    <row r="24" spans="1:21" ht="27.75" customHeight="1">
      <c r="A24" s="421" t="s">
        <v>399</v>
      </c>
      <c r="B24" s="436" t="s">
        <v>225</v>
      </c>
      <c r="C24" s="434">
        <v>125000</v>
      </c>
      <c r="D24" s="434">
        <v>125000</v>
      </c>
      <c r="E24" s="434">
        <v>125000</v>
      </c>
      <c r="F24" s="434">
        <v>125000</v>
      </c>
      <c r="G24" s="434">
        <v>125000</v>
      </c>
      <c r="H24" s="434">
        <v>125000</v>
      </c>
      <c r="I24" s="434">
        <v>125000</v>
      </c>
      <c r="J24" s="434">
        <v>1137500</v>
      </c>
      <c r="K24" s="434">
        <v>1000000</v>
      </c>
      <c r="L24" s="434">
        <v>1000000</v>
      </c>
      <c r="M24" s="434">
        <f>125000+137500</f>
        <v>262500</v>
      </c>
      <c r="N24" s="434">
        <v>1000000</v>
      </c>
      <c r="O24" s="425">
        <f t="shared" si="3"/>
        <v>5275000</v>
      </c>
      <c r="U24" s="471"/>
    </row>
    <row r="25" spans="1:15" ht="27.75" customHeight="1">
      <c r="A25" s="421" t="s">
        <v>401</v>
      </c>
      <c r="B25" s="436" t="s">
        <v>478</v>
      </c>
      <c r="C25" s="434">
        <f>4402770+224767</f>
        <v>4627537</v>
      </c>
      <c r="D25" s="434">
        <v>4402770</v>
      </c>
      <c r="E25" s="434">
        <v>4402770</v>
      </c>
      <c r="F25" s="434">
        <v>4402770</v>
      </c>
      <c r="G25" s="434">
        <v>4402770</v>
      </c>
      <c r="H25" s="434">
        <v>4402770</v>
      </c>
      <c r="I25" s="434">
        <v>4402770</v>
      </c>
      <c r="J25" s="434">
        <v>4402770</v>
      </c>
      <c r="K25" s="434">
        <v>4650351</v>
      </c>
      <c r="L25" s="434">
        <v>4650351</v>
      </c>
      <c r="M25" s="434">
        <v>4650351</v>
      </c>
      <c r="N25" s="434">
        <v>4650349</v>
      </c>
      <c r="O25" s="425">
        <f t="shared" si="3"/>
        <v>54048329</v>
      </c>
    </row>
    <row r="26" spans="1:15" ht="27.75" customHeight="1">
      <c r="A26" s="421" t="s">
        <v>404</v>
      </c>
      <c r="B26" s="424" t="s">
        <v>479</v>
      </c>
      <c r="C26" s="434">
        <v>1135050</v>
      </c>
      <c r="D26" s="434"/>
      <c r="E26" s="434"/>
      <c r="F26" s="434"/>
      <c r="G26" s="434">
        <v>2729900</v>
      </c>
      <c r="H26" s="434"/>
      <c r="I26" s="434"/>
      <c r="J26" s="434"/>
      <c r="K26" s="434"/>
      <c r="L26" s="434"/>
      <c r="M26" s="434"/>
      <c r="N26" s="434">
        <v>4575983</v>
      </c>
      <c r="O26" s="425">
        <f t="shared" si="3"/>
        <v>8440933</v>
      </c>
    </row>
    <row r="27" spans="1:15" ht="27.75" customHeight="1">
      <c r="A27" s="421" t="s">
        <v>407</v>
      </c>
      <c r="B27" s="435" t="s">
        <v>243</v>
      </c>
      <c r="C27" s="434"/>
      <c r="D27" s="434"/>
      <c r="E27" s="434">
        <v>238500</v>
      </c>
      <c r="F27" s="434"/>
      <c r="G27" s="434"/>
      <c r="H27" s="434">
        <v>4542000</v>
      </c>
      <c r="I27" s="434"/>
      <c r="J27" s="434"/>
      <c r="K27" s="434"/>
      <c r="L27" s="434">
        <v>175004</v>
      </c>
      <c r="M27" s="434"/>
      <c r="N27" s="434"/>
      <c r="O27" s="425">
        <f t="shared" si="3"/>
        <v>4955504</v>
      </c>
    </row>
    <row r="28" spans="1:15" ht="27.75" customHeight="1">
      <c r="A28" s="421" t="s">
        <v>409</v>
      </c>
      <c r="B28" s="435" t="s">
        <v>251</v>
      </c>
      <c r="C28" s="434">
        <v>8888000</v>
      </c>
      <c r="D28" s="434">
        <v>42386250</v>
      </c>
      <c r="E28" s="434">
        <v>42386250</v>
      </c>
      <c r="F28" s="434"/>
      <c r="G28" s="434">
        <v>14460000</v>
      </c>
      <c r="H28" s="434">
        <v>6000000</v>
      </c>
      <c r="I28" s="434">
        <v>84772500</v>
      </c>
      <c r="J28" s="434"/>
      <c r="K28" s="434">
        <v>2500000</v>
      </c>
      <c r="L28" s="434">
        <v>2540000</v>
      </c>
      <c r="M28" s="434"/>
      <c r="N28" s="434"/>
      <c r="O28" s="425">
        <f t="shared" si="3"/>
        <v>203933000</v>
      </c>
    </row>
    <row r="29" spans="1:15" ht="27.75" customHeight="1">
      <c r="A29" s="421" t="s">
        <v>411</v>
      </c>
      <c r="B29" s="435" t="s">
        <v>257</v>
      </c>
      <c r="C29" s="434"/>
      <c r="D29" s="434"/>
      <c r="E29" s="434"/>
      <c r="F29" s="434"/>
      <c r="G29" s="434"/>
      <c r="H29" s="434">
        <v>500000</v>
      </c>
      <c r="I29" s="434"/>
      <c r="J29" s="434"/>
      <c r="K29" s="434"/>
      <c r="L29" s="434"/>
      <c r="M29" s="434"/>
      <c r="N29" s="434"/>
      <c r="O29" s="425">
        <f t="shared" si="3"/>
        <v>500000</v>
      </c>
    </row>
    <row r="30" spans="1:15" ht="27.75" customHeight="1">
      <c r="A30" s="421" t="s">
        <v>413</v>
      </c>
      <c r="B30" s="424" t="s">
        <v>450</v>
      </c>
      <c r="C30" s="434">
        <f>4488745+292066</f>
        <v>4780811</v>
      </c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25">
        <f t="shared" si="3"/>
        <v>4780811</v>
      </c>
    </row>
    <row r="31" spans="1:15" ht="34.5" customHeight="1">
      <c r="A31" s="421" t="s">
        <v>415</v>
      </c>
      <c r="B31" s="424" t="s">
        <v>480</v>
      </c>
      <c r="C31" s="434"/>
      <c r="D31" s="434"/>
      <c r="E31" s="434"/>
      <c r="F31" s="434">
        <v>12500000</v>
      </c>
      <c r="G31" s="434"/>
      <c r="H31" s="434"/>
      <c r="I31" s="434">
        <v>12500000</v>
      </c>
      <c r="J31" s="434"/>
      <c r="K31" s="434"/>
      <c r="L31" s="434"/>
      <c r="M31" s="434"/>
      <c r="N31" s="434"/>
      <c r="O31" s="425">
        <f t="shared" si="3"/>
        <v>25000000</v>
      </c>
    </row>
    <row r="32" spans="1:15" s="430" customFormat="1" ht="27.75" customHeight="1">
      <c r="A32" s="426"/>
      <c r="B32" s="427" t="s">
        <v>481</v>
      </c>
      <c r="C32" s="428">
        <f>SUM(C21:C31)</f>
        <v>39975299</v>
      </c>
      <c r="D32" s="428">
        <f aca="true" t="shared" si="4" ref="D32:N32">SUM(D21:D30)</f>
        <v>67332921</v>
      </c>
      <c r="E32" s="428">
        <f t="shared" si="4"/>
        <v>67571423</v>
      </c>
      <c r="F32" s="428">
        <f t="shared" si="4"/>
        <v>24946673</v>
      </c>
      <c r="G32" s="428">
        <f t="shared" si="4"/>
        <v>42136573</v>
      </c>
      <c r="H32" s="428">
        <f t="shared" si="4"/>
        <v>35988671</v>
      </c>
      <c r="I32" s="428">
        <f t="shared" si="4"/>
        <v>109719171</v>
      </c>
      <c r="J32" s="428">
        <f t="shared" si="4"/>
        <v>25959172</v>
      </c>
      <c r="K32" s="428">
        <f t="shared" si="4"/>
        <v>30975184</v>
      </c>
      <c r="L32" s="428">
        <f t="shared" si="4"/>
        <v>31190189</v>
      </c>
      <c r="M32" s="428">
        <f t="shared" si="4"/>
        <v>27737685</v>
      </c>
      <c r="N32" s="428">
        <f t="shared" si="4"/>
        <v>33051165</v>
      </c>
      <c r="O32" s="429">
        <f>SUM(O21:O31)</f>
        <v>561584126</v>
      </c>
    </row>
    <row r="33" spans="1:15" ht="15.75">
      <c r="A33" s="417"/>
      <c r="B33" s="418" t="s">
        <v>482</v>
      </c>
      <c r="C33" s="437">
        <f>C19-C32</f>
        <v>33957367</v>
      </c>
      <c r="D33" s="437">
        <f aca="true" t="shared" si="5" ref="D33:N33">D7+D19-D32</f>
        <v>598496</v>
      </c>
      <c r="E33" s="437">
        <f t="shared" si="5"/>
        <v>2581660</v>
      </c>
      <c r="F33" s="437">
        <f t="shared" si="5"/>
        <v>43688574</v>
      </c>
      <c r="G33" s="437">
        <f t="shared" si="5"/>
        <v>27655589</v>
      </c>
      <c r="H33" s="437">
        <f t="shared" si="5"/>
        <v>23260506</v>
      </c>
      <c r="I33" s="437">
        <f t="shared" si="5"/>
        <v>-17365078</v>
      </c>
      <c r="J33" s="437">
        <f t="shared" si="5"/>
        <v>-19230662</v>
      </c>
      <c r="K33" s="437">
        <f t="shared" si="5"/>
        <v>-6651011</v>
      </c>
      <c r="L33" s="437">
        <f t="shared" si="5"/>
        <v>39109274</v>
      </c>
      <c r="M33" s="437">
        <f t="shared" si="5"/>
        <v>32944244</v>
      </c>
      <c r="N33" s="437">
        <f t="shared" si="5"/>
        <v>25000000</v>
      </c>
      <c r="O33" s="417"/>
    </row>
    <row r="34" spans="1:15" ht="15.75">
      <c r="A34" s="438"/>
      <c r="B34" s="439"/>
      <c r="C34" s="440" t="s">
        <v>483</v>
      </c>
      <c r="D34" s="440" t="s">
        <v>484</v>
      </c>
      <c r="E34" s="440"/>
      <c r="F34" s="440"/>
      <c r="G34" s="440" t="s">
        <v>485</v>
      </c>
      <c r="H34" s="440" t="s">
        <v>486</v>
      </c>
      <c r="I34" s="440" t="s">
        <v>484</v>
      </c>
      <c r="J34" s="440"/>
      <c r="K34" s="440" t="s">
        <v>487</v>
      </c>
      <c r="L34" s="440" t="s">
        <v>488</v>
      </c>
      <c r="M34" s="440"/>
      <c r="N34" s="440"/>
      <c r="O34" s="438"/>
    </row>
    <row r="35" ht="12.75">
      <c r="H35" s="416" t="s">
        <v>489</v>
      </c>
    </row>
    <row r="38" ht="22.5" customHeight="1">
      <c r="B38" s="441"/>
    </row>
    <row r="61" ht="15.75" customHeight="1"/>
  </sheetData>
  <sheetProtection/>
  <mergeCells count="2">
    <mergeCell ref="A1:O1"/>
    <mergeCell ref="N5:O5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3" sqref="A3:A4"/>
    </sheetView>
  </sheetViews>
  <sheetFormatPr defaultColWidth="8.00390625" defaultRowHeight="15"/>
  <cols>
    <col min="1" max="1" width="5.00390625" style="442" customWidth="1"/>
    <col min="2" max="2" width="54.140625" style="444" customWidth="1"/>
    <col min="3" max="4" width="15.140625" style="444" customWidth="1"/>
    <col min="5" max="16384" width="8.00390625" style="444" customWidth="1"/>
  </cols>
  <sheetData>
    <row r="1" spans="2:4" ht="40.5" customHeight="1">
      <c r="B1" s="860" t="s">
        <v>490</v>
      </c>
      <c r="C1" s="860"/>
      <c r="D1" s="860"/>
    </row>
    <row r="2" spans="2:4" ht="15.75" customHeight="1">
      <c r="B2" s="443"/>
      <c r="C2" s="861"/>
      <c r="D2" s="861"/>
    </row>
    <row r="3" spans="1:4" ht="15.75" customHeight="1">
      <c r="A3" s="411" t="s">
        <v>632</v>
      </c>
      <c r="B3" s="411" t="s">
        <v>631</v>
      </c>
      <c r="C3" s="774"/>
      <c r="D3" s="774"/>
    </row>
    <row r="4" spans="1:4" s="447" customFormat="1" ht="15.75" customHeight="1" thickBot="1">
      <c r="A4" s="412" t="s">
        <v>633</v>
      </c>
      <c r="B4" s="412" t="s">
        <v>456</v>
      </c>
      <c r="C4" s="445"/>
      <c r="D4" s="446" t="s">
        <v>491</v>
      </c>
    </row>
    <row r="5" spans="1:4" s="451" customFormat="1" ht="48" customHeight="1" thickBot="1">
      <c r="A5" s="448" t="s">
        <v>492</v>
      </c>
      <c r="B5" s="449" t="s">
        <v>493</v>
      </c>
      <c r="C5" s="449" t="s">
        <v>494</v>
      </c>
      <c r="D5" s="450" t="s">
        <v>495</v>
      </c>
    </row>
    <row r="6" spans="1:4" s="451" customFormat="1" ht="13.5" customHeight="1" thickBot="1">
      <c r="A6" s="448" t="s">
        <v>11</v>
      </c>
      <c r="B6" s="449" t="s">
        <v>24</v>
      </c>
      <c r="C6" s="449" t="s">
        <v>33</v>
      </c>
      <c r="D6" s="450" t="s">
        <v>85</v>
      </c>
    </row>
    <row r="7" spans="1:4" ht="18" customHeight="1">
      <c r="A7" s="452" t="s">
        <v>365</v>
      </c>
      <c r="B7" s="453" t="s">
        <v>496</v>
      </c>
      <c r="C7" s="454">
        <v>150000</v>
      </c>
      <c r="D7" s="455">
        <v>0</v>
      </c>
    </row>
    <row r="8" spans="1:4" ht="18" customHeight="1">
      <c r="A8" s="456" t="s">
        <v>367</v>
      </c>
      <c r="B8" s="457" t="s">
        <v>497</v>
      </c>
      <c r="C8" s="458">
        <v>0</v>
      </c>
      <c r="D8" s="459">
        <v>0</v>
      </c>
    </row>
    <row r="9" spans="1:4" ht="18" customHeight="1">
      <c r="A9" s="456" t="s">
        <v>370</v>
      </c>
      <c r="B9" s="457" t="s">
        <v>498</v>
      </c>
      <c r="C9" s="458">
        <v>0</v>
      </c>
      <c r="D9" s="459">
        <v>0</v>
      </c>
    </row>
    <row r="10" spans="1:4" ht="18" customHeight="1">
      <c r="A10" s="456" t="s">
        <v>371</v>
      </c>
      <c r="B10" s="457" t="s">
        <v>499</v>
      </c>
      <c r="C10" s="458">
        <v>0</v>
      </c>
      <c r="D10" s="459">
        <v>0</v>
      </c>
    </row>
    <row r="11" spans="1:4" ht="18" customHeight="1">
      <c r="A11" s="456" t="s">
        <v>374</v>
      </c>
      <c r="B11" s="457" t="s">
        <v>500</v>
      </c>
      <c r="C11" s="458">
        <f>SUM(C12:C17)</f>
        <v>64266447</v>
      </c>
      <c r="D11" s="459">
        <v>0</v>
      </c>
    </row>
    <row r="12" spans="1:4" ht="18" customHeight="1">
      <c r="A12" s="456" t="s">
        <v>377</v>
      </c>
      <c r="B12" s="457" t="s">
        <v>501</v>
      </c>
      <c r="C12" s="458">
        <v>0</v>
      </c>
      <c r="D12" s="459">
        <v>0</v>
      </c>
    </row>
    <row r="13" spans="1:4" ht="18" customHeight="1">
      <c r="A13" s="456" t="s">
        <v>380</v>
      </c>
      <c r="B13" s="460" t="s">
        <v>502</v>
      </c>
      <c r="C13" s="458">
        <v>0</v>
      </c>
      <c r="D13" s="459">
        <v>0</v>
      </c>
    </row>
    <row r="14" spans="1:4" ht="18" customHeight="1">
      <c r="A14" s="456" t="s">
        <v>384</v>
      </c>
      <c r="B14" s="460" t="s">
        <v>503</v>
      </c>
      <c r="C14" s="458">
        <v>0</v>
      </c>
      <c r="D14" s="459">
        <v>0</v>
      </c>
    </row>
    <row r="15" spans="1:4" ht="18" customHeight="1">
      <c r="A15" s="456" t="s">
        <v>387</v>
      </c>
      <c r="B15" s="460" t="s">
        <v>504</v>
      </c>
      <c r="C15" s="458">
        <v>0</v>
      </c>
      <c r="D15" s="459">
        <v>0</v>
      </c>
    </row>
    <row r="16" spans="1:4" ht="18" customHeight="1">
      <c r="A16" s="456" t="s">
        <v>390</v>
      </c>
      <c r="B16" s="460" t="s">
        <v>505</v>
      </c>
      <c r="C16" s="458">
        <v>0</v>
      </c>
      <c r="D16" s="459">
        <v>0</v>
      </c>
    </row>
    <row r="17" spans="1:4" ht="22.5" customHeight="1">
      <c r="A17" s="456" t="s">
        <v>393</v>
      </c>
      <c r="B17" s="460" t="s">
        <v>506</v>
      </c>
      <c r="C17" s="458">
        <v>64266447</v>
      </c>
      <c r="D17" s="459">
        <v>0</v>
      </c>
    </row>
    <row r="18" spans="1:4" ht="18" customHeight="1">
      <c r="A18" s="456" t="s">
        <v>396</v>
      </c>
      <c r="B18" s="457" t="s">
        <v>507</v>
      </c>
      <c r="C18" s="458">
        <v>2600000</v>
      </c>
      <c r="D18" s="459">
        <v>0</v>
      </c>
    </row>
    <row r="19" spans="1:4" ht="18" customHeight="1">
      <c r="A19" s="456" t="s">
        <v>399</v>
      </c>
      <c r="B19" s="457" t="s">
        <v>508</v>
      </c>
      <c r="C19" s="458">
        <v>1500000</v>
      </c>
      <c r="D19" s="459">
        <v>0</v>
      </c>
    </row>
    <row r="20" spans="1:4" ht="18" customHeight="1">
      <c r="A20" s="456" t="s">
        <v>401</v>
      </c>
      <c r="B20" s="457" t="s">
        <v>509</v>
      </c>
      <c r="C20" s="458">
        <v>1000000</v>
      </c>
      <c r="D20" s="459">
        <v>0</v>
      </c>
    </row>
    <row r="21" spans="1:4" ht="18" customHeight="1">
      <c r="A21" s="456" t="s">
        <v>404</v>
      </c>
      <c r="B21" s="457" t="s">
        <v>510</v>
      </c>
      <c r="C21" s="458">
        <v>0</v>
      </c>
      <c r="D21" s="459">
        <v>0</v>
      </c>
    </row>
    <row r="22" spans="1:4" ht="18" customHeight="1">
      <c r="A22" s="456" t="s">
        <v>407</v>
      </c>
      <c r="B22" s="457" t="s">
        <v>511</v>
      </c>
      <c r="C22" s="458">
        <v>0</v>
      </c>
      <c r="D22" s="459">
        <v>0</v>
      </c>
    </row>
    <row r="23" spans="1:4" ht="18" customHeight="1">
      <c r="A23" s="456" t="s">
        <v>409</v>
      </c>
      <c r="B23" s="461"/>
      <c r="C23" s="462"/>
      <c r="D23" s="463"/>
    </row>
    <row r="24" spans="1:4" ht="18" customHeight="1">
      <c r="A24" s="456" t="s">
        <v>411</v>
      </c>
      <c r="B24" s="464"/>
      <c r="C24" s="462"/>
      <c r="D24" s="463"/>
    </row>
    <row r="25" spans="1:4" ht="18" customHeight="1" thickBot="1">
      <c r="A25" s="456" t="s">
        <v>413</v>
      </c>
      <c r="B25" s="464"/>
      <c r="C25" s="462"/>
      <c r="D25" s="463"/>
    </row>
    <row r="26" spans="1:4" ht="18" customHeight="1" thickBot="1">
      <c r="A26" s="465" t="s">
        <v>415</v>
      </c>
      <c r="B26" s="466" t="s">
        <v>512</v>
      </c>
      <c r="C26" s="467">
        <f>+C7+C8+C9+C10+C11+C18+C19+C20+C21+C22+C23+C24</f>
        <v>69516447</v>
      </c>
      <c r="D26" s="468">
        <f>SUM(D7:D22)</f>
        <v>0</v>
      </c>
    </row>
    <row r="27" spans="1:4" ht="8.25" customHeight="1">
      <c r="A27" s="469"/>
      <c r="B27" s="859"/>
      <c r="C27" s="859"/>
      <c r="D27" s="859"/>
    </row>
  </sheetData>
  <sheetProtection/>
  <mergeCells count="3">
    <mergeCell ref="B27:D27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4" sqref="A4:F4"/>
    </sheetView>
  </sheetViews>
  <sheetFormatPr defaultColWidth="8.00390625" defaultRowHeight="15"/>
  <cols>
    <col min="1" max="1" width="4.8515625" style="623" customWidth="1"/>
    <col min="2" max="2" width="30.57421875" style="623" customWidth="1"/>
    <col min="3" max="3" width="11.140625" style="623" customWidth="1"/>
    <col min="4" max="4" width="12.421875" style="623" customWidth="1"/>
    <col min="5" max="5" width="14.140625" style="623" customWidth="1"/>
    <col min="6" max="6" width="12.57421875" style="623" customWidth="1"/>
    <col min="7" max="9" width="14.8515625" style="623" customWidth="1"/>
    <col min="10" max="16384" width="8.00390625" style="623" customWidth="1"/>
  </cols>
  <sheetData>
    <row r="1" spans="1:9" s="615" customFormat="1" ht="48.75" customHeight="1">
      <c r="A1" s="867" t="s">
        <v>578</v>
      </c>
      <c r="B1" s="867"/>
      <c r="C1" s="867"/>
      <c r="D1" s="867"/>
      <c r="E1" s="867"/>
      <c r="F1" s="867"/>
      <c r="G1" s="867"/>
      <c r="H1" s="614"/>
      <c r="I1" s="614"/>
    </row>
    <row r="2" spans="1:12" s="444" customFormat="1" ht="15.75" customHeight="1">
      <c r="A2" s="411" t="s">
        <v>634</v>
      </c>
      <c r="B2" s="616"/>
      <c r="C2" s="616"/>
      <c r="D2" s="861"/>
      <c r="E2" s="861"/>
      <c r="F2" s="868"/>
      <c r="G2" s="868"/>
      <c r="H2" s="612"/>
      <c r="I2" s="612"/>
      <c r="J2" s="612"/>
      <c r="L2" s="613"/>
    </row>
    <row r="3" spans="1:12" s="447" customFormat="1" ht="15.75" customHeight="1">
      <c r="A3" s="412" t="s">
        <v>635</v>
      </c>
      <c r="B3" s="617"/>
      <c r="C3" s="617"/>
      <c r="D3" s="445"/>
      <c r="E3" s="446"/>
      <c r="F3" s="869" t="s">
        <v>491</v>
      </c>
      <c r="G3" s="869"/>
      <c r="H3" s="618"/>
      <c r="I3" s="618"/>
      <c r="J3" s="619"/>
      <c r="L3" s="446"/>
    </row>
    <row r="4" spans="1:10" ht="15.75" customHeight="1">
      <c r="A4" s="862" t="s">
        <v>579</v>
      </c>
      <c r="B4" s="862"/>
      <c r="C4" s="862"/>
      <c r="D4" s="862"/>
      <c r="E4" s="862"/>
      <c r="F4" s="862"/>
      <c r="G4" s="621"/>
      <c r="H4" s="621"/>
      <c r="I4" s="621"/>
      <c r="J4" s="622"/>
    </row>
    <row r="5" spans="1:10" ht="15.75" customHeight="1" thickBot="1">
      <c r="A5" s="624"/>
      <c r="B5" s="624"/>
      <c r="C5" s="624"/>
      <c r="D5" s="625"/>
      <c r="E5" s="625"/>
      <c r="F5" s="621"/>
      <c r="G5" s="621"/>
      <c r="H5" s="621"/>
      <c r="I5" s="621"/>
      <c r="J5" s="622"/>
    </row>
    <row r="6" spans="1:10" s="628" customFormat="1" ht="22.5" customHeight="1">
      <c r="A6" s="626" t="s">
        <v>492</v>
      </c>
      <c r="B6" s="863" t="s">
        <v>580</v>
      </c>
      <c r="C6" s="863"/>
      <c r="D6" s="863"/>
      <c r="E6" s="863"/>
      <c r="F6" s="863" t="s">
        <v>581</v>
      </c>
      <c r="G6" s="864"/>
      <c r="H6" s="764"/>
      <c r="I6" s="764"/>
      <c r="J6" s="627"/>
    </row>
    <row r="7" spans="1:10" s="628" customFormat="1" ht="15.75" customHeight="1">
      <c r="A7" s="629" t="s">
        <v>11</v>
      </c>
      <c r="B7" s="865" t="s">
        <v>24</v>
      </c>
      <c r="C7" s="865"/>
      <c r="D7" s="865"/>
      <c r="E7" s="865"/>
      <c r="F7" s="865" t="s">
        <v>33</v>
      </c>
      <c r="G7" s="866"/>
      <c r="H7" s="765"/>
      <c r="I7" s="765"/>
      <c r="J7" s="627"/>
    </row>
    <row r="8" spans="1:10" s="628" customFormat="1" ht="15.75" customHeight="1">
      <c r="A8" s="629" t="s">
        <v>365</v>
      </c>
      <c r="B8" s="885" t="s">
        <v>316</v>
      </c>
      <c r="C8" s="886"/>
      <c r="D8" s="886"/>
      <c r="E8" s="887"/>
      <c r="F8" s="872">
        <v>168500000</v>
      </c>
      <c r="G8" s="873"/>
      <c r="H8" s="766"/>
      <c r="I8" s="766"/>
      <c r="J8" s="627"/>
    </row>
    <row r="9" spans="1:10" s="628" customFormat="1" ht="15.75" customHeight="1">
      <c r="A9" s="629" t="s">
        <v>367</v>
      </c>
      <c r="B9" s="871"/>
      <c r="C9" s="871"/>
      <c r="D9" s="871"/>
      <c r="E9" s="871"/>
      <c r="F9" s="872"/>
      <c r="G9" s="873"/>
      <c r="H9" s="766"/>
      <c r="I9" s="766"/>
      <c r="J9" s="627"/>
    </row>
    <row r="10" spans="1:10" s="628" customFormat="1" ht="15.75" customHeight="1">
      <c r="A10" s="629" t="s">
        <v>370</v>
      </c>
      <c r="B10" s="871"/>
      <c r="C10" s="871"/>
      <c r="D10" s="871"/>
      <c r="E10" s="871"/>
      <c r="F10" s="872"/>
      <c r="G10" s="873"/>
      <c r="H10" s="766"/>
      <c r="I10" s="766"/>
      <c r="J10" s="627"/>
    </row>
    <row r="11" spans="1:10" s="628" customFormat="1" ht="25.5" customHeight="1" thickBot="1">
      <c r="A11" s="630" t="s">
        <v>371</v>
      </c>
      <c r="B11" s="874" t="s">
        <v>582</v>
      </c>
      <c r="C11" s="875"/>
      <c r="D11" s="875"/>
      <c r="E11" s="876"/>
      <c r="F11" s="877">
        <f>SUM(F8:F10)</f>
        <v>168500000</v>
      </c>
      <c r="G11" s="878"/>
      <c r="H11" s="767"/>
      <c r="I11" s="767"/>
      <c r="J11" s="627"/>
    </row>
    <row r="12" spans="1:10" ht="25.5" customHeight="1">
      <c r="A12" s="631"/>
      <c r="B12" s="632"/>
      <c r="C12" s="632"/>
      <c r="D12" s="632"/>
      <c r="E12" s="632"/>
      <c r="F12" s="633"/>
      <c r="G12" s="633"/>
      <c r="H12" s="633"/>
      <c r="I12" s="633"/>
      <c r="J12" s="622"/>
    </row>
    <row r="13" spans="1:10" ht="15.75" customHeight="1">
      <c r="A13" s="862" t="s">
        <v>583</v>
      </c>
      <c r="B13" s="862"/>
      <c r="C13" s="862"/>
      <c r="D13" s="862"/>
      <c r="E13" s="862"/>
      <c r="F13" s="862"/>
      <c r="G13" s="862"/>
      <c r="H13" s="620"/>
      <c r="I13" s="620"/>
      <c r="J13" s="622"/>
    </row>
    <row r="14" spans="1:10" ht="15.75" customHeight="1" thickBot="1">
      <c r="A14" s="624"/>
      <c r="B14" s="624"/>
      <c r="C14" s="624"/>
      <c r="D14" s="625"/>
      <c r="E14" s="625"/>
      <c r="F14" s="621"/>
      <c r="G14" s="621"/>
      <c r="H14" s="621"/>
      <c r="I14" s="621"/>
      <c r="J14" s="622"/>
    </row>
    <row r="15" spans="1:9" ht="15" customHeight="1">
      <c r="A15" s="879" t="s">
        <v>492</v>
      </c>
      <c r="B15" s="863" t="s">
        <v>584</v>
      </c>
      <c r="C15" s="895" t="s">
        <v>585</v>
      </c>
      <c r="D15" s="896"/>
      <c r="E15" s="896"/>
      <c r="F15" s="897"/>
      <c r="G15" s="864" t="s">
        <v>586</v>
      </c>
      <c r="H15" s="764"/>
      <c r="I15" s="764"/>
    </row>
    <row r="16" spans="1:9" ht="13.5" customHeight="1" thickBot="1">
      <c r="A16" s="880"/>
      <c r="B16" s="894"/>
      <c r="C16" s="634" t="s">
        <v>587</v>
      </c>
      <c r="D16" s="635" t="s">
        <v>576</v>
      </c>
      <c r="E16" s="635" t="s">
        <v>577</v>
      </c>
      <c r="F16" s="635" t="s">
        <v>588</v>
      </c>
      <c r="G16" s="881"/>
      <c r="H16" s="764"/>
      <c r="I16" s="764"/>
    </row>
    <row r="17" spans="1:9" ht="15.75" thickBot="1">
      <c r="A17" s="636" t="s">
        <v>11</v>
      </c>
      <c r="B17" s="637" t="s">
        <v>24</v>
      </c>
      <c r="C17" s="637" t="s">
        <v>33</v>
      </c>
      <c r="D17" s="637" t="s">
        <v>85</v>
      </c>
      <c r="E17" s="637" t="s">
        <v>86</v>
      </c>
      <c r="F17" s="637" t="s">
        <v>87</v>
      </c>
      <c r="G17" s="638" t="s">
        <v>88</v>
      </c>
      <c r="H17" s="768"/>
      <c r="I17" s="768"/>
    </row>
    <row r="18" spans="1:9" ht="15">
      <c r="A18" s="639" t="s">
        <v>365</v>
      </c>
      <c r="B18" s="640" t="s">
        <v>589</v>
      </c>
      <c r="C18" s="641">
        <v>0</v>
      </c>
      <c r="D18" s="641">
        <v>3413333</v>
      </c>
      <c r="E18" s="641">
        <v>3413333</v>
      </c>
      <c r="F18" s="641">
        <v>3413333</v>
      </c>
      <c r="G18" s="642">
        <f>SUM(D18:F18)</f>
        <v>10239999</v>
      </c>
      <c r="H18" s="769"/>
      <c r="I18" s="769"/>
    </row>
    <row r="19" spans="1:9" ht="15">
      <c r="A19" s="643" t="s">
        <v>367</v>
      </c>
      <c r="B19" s="644"/>
      <c r="C19" s="644"/>
      <c r="D19" s="645"/>
      <c r="E19" s="645"/>
      <c r="F19" s="645"/>
      <c r="G19" s="646">
        <f>SUM(D19:F19)</f>
        <v>0</v>
      </c>
      <c r="H19" s="769"/>
      <c r="I19" s="769"/>
    </row>
    <row r="20" spans="1:9" ht="15.75" thickBot="1">
      <c r="A20" s="643" t="s">
        <v>370</v>
      </c>
      <c r="B20" s="644"/>
      <c r="C20" s="644"/>
      <c r="D20" s="645"/>
      <c r="E20" s="645"/>
      <c r="F20" s="645"/>
      <c r="G20" s="646">
        <f>SUM(D20:F20)</f>
        <v>0</v>
      </c>
      <c r="H20" s="769"/>
      <c r="I20" s="769"/>
    </row>
    <row r="21" spans="1:9" s="651" customFormat="1" ht="15" thickBot="1">
      <c r="A21" s="647" t="s">
        <v>371</v>
      </c>
      <c r="B21" s="648" t="s">
        <v>590</v>
      </c>
      <c r="C21" s="649">
        <f>C18</f>
        <v>0</v>
      </c>
      <c r="D21" s="649">
        <f>SUM(D18:D20)</f>
        <v>3413333</v>
      </c>
      <c r="E21" s="649">
        <f>SUM(E18:E20)</f>
        <v>3413333</v>
      </c>
      <c r="F21" s="649">
        <f>SUM(F18:F20)</f>
        <v>3413333</v>
      </c>
      <c r="G21" s="650">
        <f>SUM(G18:G20)</f>
        <v>10239999</v>
      </c>
      <c r="H21" s="770"/>
      <c r="I21" s="770"/>
    </row>
    <row r="22" spans="1:9" s="651" customFormat="1" ht="14.25">
      <c r="A22" s="652"/>
      <c r="B22" s="653"/>
      <c r="C22" s="653"/>
      <c r="D22" s="654"/>
      <c r="E22" s="654"/>
      <c r="F22" s="654"/>
      <c r="G22" s="654"/>
      <c r="H22" s="654"/>
      <c r="I22" s="654"/>
    </row>
    <row r="23" spans="1:9" s="656" customFormat="1" ht="30.75" customHeight="1">
      <c r="A23" s="882" t="s">
        <v>591</v>
      </c>
      <c r="B23" s="882"/>
      <c r="C23" s="882"/>
      <c r="D23" s="882"/>
      <c r="E23" s="882"/>
      <c r="F23" s="882"/>
      <c r="G23" s="882"/>
      <c r="H23" s="655"/>
      <c r="I23" s="655"/>
    </row>
    <row r="24" ht="15.75" thickBot="1"/>
    <row r="25" spans="1:9" ht="21.75" thickBot="1">
      <c r="A25" s="657" t="s">
        <v>492</v>
      </c>
      <c r="B25" s="883" t="s">
        <v>592</v>
      </c>
      <c r="C25" s="883"/>
      <c r="D25" s="884"/>
      <c r="E25" s="884"/>
      <c r="F25" s="884"/>
      <c r="G25" s="657" t="s">
        <v>593</v>
      </c>
      <c r="H25" s="657" t="s">
        <v>273</v>
      </c>
      <c r="I25" s="657" t="s">
        <v>274</v>
      </c>
    </row>
    <row r="26" spans="1:9" ht="15">
      <c r="A26" s="658" t="s">
        <v>11</v>
      </c>
      <c r="B26" s="888" t="s">
        <v>24</v>
      </c>
      <c r="C26" s="888"/>
      <c r="D26" s="889"/>
      <c r="E26" s="889"/>
      <c r="F26" s="890"/>
      <c r="G26" s="658" t="s">
        <v>33</v>
      </c>
      <c r="H26" s="658" t="s">
        <v>85</v>
      </c>
      <c r="I26" s="658" t="s">
        <v>86</v>
      </c>
    </row>
    <row r="27" spans="1:9" ht="15">
      <c r="A27" s="659" t="s">
        <v>594</v>
      </c>
      <c r="B27" s="891" t="s">
        <v>595</v>
      </c>
      <c r="C27" s="892"/>
      <c r="D27" s="892"/>
      <c r="E27" s="892"/>
      <c r="F27" s="893"/>
      <c r="G27" s="661">
        <v>84234266</v>
      </c>
      <c r="H27" s="661">
        <f>I27-G27</f>
        <v>-19967819</v>
      </c>
      <c r="I27" s="661">
        <v>64266447</v>
      </c>
    </row>
    <row r="28" spans="1:9" ht="15">
      <c r="A28" s="659" t="s">
        <v>596</v>
      </c>
      <c r="B28" s="660" t="s">
        <v>597</v>
      </c>
      <c r="C28" s="660"/>
      <c r="D28" s="660"/>
      <c r="E28" s="660"/>
      <c r="F28" s="660"/>
      <c r="G28" s="661">
        <v>11350000</v>
      </c>
      <c r="H28" s="661">
        <f>I28-G28</f>
        <v>0</v>
      </c>
      <c r="I28" s="661">
        <v>11350000</v>
      </c>
    </row>
    <row r="29" spans="1:9" ht="15">
      <c r="A29" s="659" t="s">
        <v>598</v>
      </c>
      <c r="B29" s="660" t="s">
        <v>599</v>
      </c>
      <c r="C29" s="660"/>
      <c r="D29" s="660"/>
      <c r="E29" s="660"/>
      <c r="F29" s="660"/>
      <c r="G29" s="661">
        <v>100000</v>
      </c>
      <c r="H29" s="661">
        <f>I29-G29</f>
        <v>50000</v>
      </c>
      <c r="I29" s="661">
        <v>150000</v>
      </c>
    </row>
    <row r="30" spans="1:9" ht="15">
      <c r="A30" s="659" t="s">
        <v>600</v>
      </c>
      <c r="B30" s="660" t="s">
        <v>601</v>
      </c>
      <c r="C30" s="660"/>
      <c r="D30" s="660"/>
      <c r="E30" s="660"/>
      <c r="F30" s="660"/>
      <c r="G30" s="661">
        <v>7000000</v>
      </c>
      <c r="H30" s="661">
        <f>I30-G30</f>
        <v>1000</v>
      </c>
      <c r="I30" s="661">
        <v>7001000</v>
      </c>
    </row>
    <row r="31" spans="1:9" ht="15">
      <c r="A31" s="659" t="s">
        <v>602</v>
      </c>
      <c r="B31" s="660" t="s">
        <v>603</v>
      </c>
      <c r="C31" s="660"/>
      <c r="D31" s="660"/>
      <c r="E31" s="660"/>
      <c r="F31" s="660"/>
      <c r="G31" s="661">
        <v>0</v>
      </c>
      <c r="H31" s="661">
        <v>0</v>
      </c>
      <c r="I31" s="661">
        <v>0</v>
      </c>
    </row>
    <row r="32" spans="1:9" ht="15">
      <c r="A32" s="659" t="s">
        <v>604</v>
      </c>
      <c r="B32" s="660" t="s">
        <v>605</v>
      </c>
      <c r="C32" s="660"/>
      <c r="D32" s="660"/>
      <c r="E32" s="660"/>
      <c r="F32" s="660"/>
      <c r="G32" s="661">
        <v>0</v>
      </c>
      <c r="H32" s="661">
        <v>0</v>
      </c>
      <c r="I32" s="661">
        <v>0</v>
      </c>
    </row>
    <row r="33" spans="1:9" ht="15">
      <c r="A33" s="659" t="s">
        <v>606</v>
      </c>
      <c r="B33" s="660" t="s">
        <v>607</v>
      </c>
      <c r="C33" s="660"/>
      <c r="D33" s="660"/>
      <c r="E33" s="660"/>
      <c r="F33" s="660"/>
      <c r="G33" s="661">
        <v>0</v>
      </c>
      <c r="H33" s="661">
        <v>0</v>
      </c>
      <c r="I33" s="661">
        <v>0</v>
      </c>
    </row>
    <row r="34" spans="1:9" ht="21.75" customHeight="1" thickBot="1">
      <c r="A34" s="662" t="s">
        <v>608</v>
      </c>
      <c r="B34" s="663"/>
      <c r="C34" s="664"/>
      <c r="D34" s="664"/>
      <c r="E34" s="664"/>
      <c r="F34" s="664"/>
      <c r="G34" s="665">
        <f>SUM(G27:G33)</f>
        <v>102684266</v>
      </c>
      <c r="H34" s="665">
        <f>SUM(H27:H33)</f>
        <v>-19916819</v>
      </c>
      <c r="I34" s="665">
        <f>SUM(I27:I33)</f>
        <v>82767447</v>
      </c>
    </row>
    <row r="35" spans="1:9" ht="22.5" customHeight="1" thickBot="1">
      <c r="A35" s="662" t="s">
        <v>609</v>
      </c>
      <c r="B35" s="663"/>
      <c r="C35" s="664"/>
      <c r="D35" s="664"/>
      <c r="E35" s="664"/>
      <c r="F35" s="664"/>
      <c r="G35" s="665">
        <f>G34/2</f>
        <v>51342133</v>
      </c>
      <c r="H35" s="665">
        <f>H34/2</f>
        <v>-9958409.5</v>
      </c>
      <c r="I35" s="665">
        <f>I34/2</f>
        <v>41383723.5</v>
      </c>
    </row>
    <row r="36" spans="1:9" ht="27" customHeight="1">
      <c r="A36" s="870" t="s">
        <v>610</v>
      </c>
      <c r="B36" s="870"/>
      <c r="C36" s="870"/>
      <c r="D36" s="870"/>
      <c r="E36" s="870"/>
      <c r="F36" s="870"/>
      <c r="G36" s="870"/>
      <c r="H36" s="771"/>
      <c r="I36" s="771"/>
    </row>
  </sheetData>
  <sheetProtection/>
  <mergeCells count="27">
    <mergeCell ref="B8:E8"/>
    <mergeCell ref="F8:G8"/>
    <mergeCell ref="B9:E9"/>
    <mergeCell ref="F9:G9"/>
    <mergeCell ref="B26:F26"/>
    <mergeCell ref="B27:F27"/>
    <mergeCell ref="B15:B16"/>
    <mergeCell ref="C15:F15"/>
    <mergeCell ref="A36:G36"/>
    <mergeCell ref="B10:E10"/>
    <mergeCell ref="F10:G10"/>
    <mergeCell ref="B11:E11"/>
    <mergeCell ref="F11:G11"/>
    <mergeCell ref="A13:G13"/>
    <mergeCell ref="A15:A16"/>
    <mergeCell ref="G15:G16"/>
    <mergeCell ref="A23:G23"/>
    <mergeCell ref="B25:F25"/>
    <mergeCell ref="A4:F4"/>
    <mergeCell ref="B6:E6"/>
    <mergeCell ref="F6:G6"/>
    <mergeCell ref="B7:E7"/>
    <mergeCell ref="F7:G7"/>
    <mergeCell ref="A1:G1"/>
    <mergeCell ref="D2:E2"/>
    <mergeCell ref="F2:G2"/>
    <mergeCell ref="F3:G3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SheetLayoutView="100" zoomScalePageLayoutView="0" workbookViewId="0" topLeftCell="A1">
      <selection activeCell="A5" sqref="A5:B5"/>
    </sheetView>
  </sheetViews>
  <sheetFormatPr defaultColWidth="8.8515625" defaultRowHeight="15"/>
  <cols>
    <col min="1" max="1" width="6.7109375" style="104" customWidth="1"/>
    <col min="2" max="2" width="51.28125" style="104" customWidth="1"/>
    <col min="3" max="4" width="16.7109375" style="104" hidden="1" customWidth="1"/>
    <col min="5" max="8" width="16.7109375" style="104" customWidth="1"/>
    <col min="9" max="9" width="12.28125" style="169" customWidth="1"/>
    <col min="10" max="10" width="11.8515625" style="169" customWidth="1"/>
    <col min="11" max="11" width="10.8515625" style="169" customWidth="1"/>
    <col min="12" max="16384" width="8.8515625" style="104" customWidth="1"/>
  </cols>
  <sheetData>
    <row r="1" spans="1:11" ht="30" customHeight="1">
      <c r="A1" s="811" t="s">
        <v>75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</row>
    <row r="2" spans="1:11" ht="18" customHeight="1">
      <c r="A2" s="812" t="s">
        <v>76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</row>
    <row r="3" spans="1:11" ht="17.25" customHeight="1">
      <c r="A3" s="106"/>
      <c r="B3" s="107"/>
      <c r="C3" s="105"/>
      <c r="D3" s="814"/>
      <c r="E3" s="814"/>
      <c r="F3" s="108"/>
      <c r="G3" s="108"/>
      <c r="H3" s="108"/>
      <c r="I3" s="108"/>
      <c r="J3" s="108"/>
      <c r="K3" s="108"/>
    </row>
    <row r="4" spans="1:12" ht="14.25" customHeight="1">
      <c r="A4" s="801" t="s">
        <v>620</v>
      </c>
      <c r="B4" s="801"/>
      <c r="C4" s="109"/>
      <c r="D4" s="815"/>
      <c r="E4" s="815"/>
      <c r="F4" s="110"/>
      <c r="G4" s="110"/>
      <c r="H4" s="110"/>
      <c r="I4" s="111"/>
      <c r="J4" s="813"/>
      <c r="K4" s="813"/>
      <c r="L4" s="112"/>
    </row>
    <row r="5" spans="1:12" ht="14.25" customHeight="1" thickBot="1">
      <c r="A5" s="801" t="s">
        <v>77</v>
      </c>
      <c r="B5" s="801"/>
      <c r="C5" s="109"/>
      <c r="D5" s="815"/>
      <c r="E5" s="815"/>
      <c r="F5" s="110"/>
      <c r="G5" s="110"/>
      <c r="H5" s="110"/>
      <c r="I5" s="111"/>
      <c r="J5" s="806" t="s">
        <v>3</v>
      </c>
      <c r="K5" s="806"/>
      <c r="L5" s="112"/>
    </row>
    <row r="6" spans="1:11" ht="15" customHeight="1" thickBot="1" thickTop="1">
      <c r="A6" s="818" t="s">
        <v>78</v>
      </c>
      <c r="B6" s="816" t="s">
        <v>79</v>
      </c>
      <c r="C6" s="804" t="s">
        <v>5</v>
      </c>
      <c r="D6" s="804" t="s">
        <v>80</v>
      </c>
      <c r="E6" s="804" t="s">
        <v>7</v>
      </c>
      <c r="F6" s="804" t="s">
        <v>272</v>
      </c>
      <c r="G6" s="804" t="s">
        <v>273</v>
      </c>
      <c r="H6" s="804" t="s">
        <v>274</v>
      </c>
      <c r="I6" s="808" t="s">
        <v>81</v>
      </c>
      <c r="J6" s="809"/>
      <c r="K6" s="810"/>
    </row>
    <row r="7" spans="1:11" ht="30" customHeight="1" thickBot="1" thickTop="1">
      <c r="A7" s="819"/>
      <c r="B7" s="817"/>
      <c r="C7" s="807"/>
      <c r="D7" s="807"/>
      <c r="E7" s="807"/>
      <c r="F7" s="805"/>
      <c r="G7" s="807"/>
      <c r="H7" s="807"/>
      <c r="I7" s="113" t="s">
        <v>82</v>
      </c>
      <c r="J7" s="113" t="s">
        <v>83</v>
      </c>
      <c r="K7" s="114" t="s">
        <v>84</v>
      </c>
    </row>
    <row r="8" spans="1:11" ht="12.75" customHeight="1" thickTop="1">
      <c r="A8" s="115" t="s">
        <v>11</v>
      </c>
      <c r="B8" s="116" t="s">
        <v>24</v>
      </c>
      <c r="C8" s="116" t="s">
        <v>33</v>
      </c>
      <c r="D8" s="116" t="s">
        <v>85</v>
      </c>
      <c r="E8" s="116" t="s">
        <v>33</v>
      </c>
      <c r="F8" s="116" t="s">
        <v>85</v>
      </c>
      <c r="G8" s="116" t="s">
        <v>86</v>
      </c>
      <c r="H8" s="116" t="s">
        <v>87</v>
      </c>
      <c r="I8" s="117" t="s">
        <v>88</v>
      </c>
      <c r="J8" s="117" t="s">
        <v>89</v>
      </c>
      <c r="K8" s="118" t="s">
        <v>358</v>
      </c>
    </row>
    <row r="9" spans="1:11" ht="21.75" customHeight="1">
      <c r="A9" s="119" t="s">
        <v>90</v>
      </c>
      <c r="B9" s="120" t="s">
        <v>91</v>
      </c>
      <c r="C9" s="121">
        <f aca="true" t="shared" si="0" ref="C9:K9">C10+C16</f>
        <v>160974547</v>
      </c>
      <c r="D9" s="121">
        <f t="shared" si="0"/>
        <v>186972372</v>
      </c>
      <c r="E9" s="121">
        <f t="shared" si="0"/>
        <v>181466721</v>
      </c>
      <c r="F9" s="121">
        <f>F10+F16</f>
        <v>181466721</v>
      </c>
      <c r="G9" s="121">
        <f>G10+G16</f>
        <v>5560630</v>
      </c>
      <c r="H9" s="390">
        <f>H10+H16</f>
        <v>187027351</v>
      </c>
      <c r="I9" s="122">
        <f t="shared" si="0"/>
        <v>187027351</v>
      </c>
      <c r="J9" s="123">
        <f t="shared" si="0"/>
        <v>0</v>
      </c>
      <c r="K9" s="124">
        <f t="shared" si="0"/>
        <v>0</v>
      </c>
    </row>
    <row r="10" spans="1:11" s="131" customFormat="1" ht="21.75" customHeight="1">
      <c r="A10" s="125" t="s">
        <v>92</v>
      </c>
      <c r="B10" s="126" t="s">
        <v>93</v>
      </c>
      <c r="C10" s="127">
        <f aca="true" t="shared" si="1" ref="C10:H10">SUM(C11:C15)</f>
        <v>123425683</v>
      </c>
      <c r="D10" s="127">
        <f t="shared" si="1"/>
        <v>131157224</v>
      </c>
      <c r="E10" s="127">
        <f t="shared" si="1"/>
        <v>128166367</v>
      </c>
      <c r="F10" s="127">
        <f t="shared" si="1"/>
        <v>128166367</v>
      </c>
      <c r="G10" s="127">
        <f t="shared" si="1"/>
        <v>5560630</v>
      </c>
      <c r="H10" s="382">
        <f t="shared" si="1"/>
        <v>133726997</v>
      </c>
      <c r="I10" s="128">
        <f>H10</f>
        <v>133726997</v>
      </c>
      <c r="J10" s="129">
        <v>0</v>
      </c>
      <c r="K10" s="130">
        <v>0</v>
      </c>
    </row>
    <row r="11" spans="1:11" s="131" customFormat="1" ht="21.75" customHeight="1" hidden="1">
      <c r="A11" s="125" t="s">
        <v>94</v>
      </c>
      <c r="B11" s="126" t="s">
        <v>95</v>
      </c>
      <c r="C11" s="127">
        <v>44635962</v>
      </c>
      <c r="D11" s="127">
        <v>44805664</v>
      </c>
      <c r="E11" s="127">
        <v>40177294</v>
      </c>
      <c r="F11" s="127">
        <v>40177294</v>
      </c>
      <c r="G11" s="127">
        <f aca="true" t="shared" si="2" ref="G11:G16">H11-F11</f>
        <v>1448000</v>
      </c>
      <c r="H11" s="382">
        <v>41625294</v>
      </c>
      <c r="I11" s="128">
        <f aca="true" t="shared" si="3" ref="I11:I18">H11</f>
        <v>41625294</v>
      </c>
      <c r="J11" s="129">
        <v>0</v>
      </c>
      <c r="K11" s="130">
        <v>0</v>
      </c>
    </row>
    <row r="12" spans="1:11" s="131" customFormat="1" ht="21.75" customHeight="1" hidden="1">
      <c r="A12" s="125" t="s">
        <v>96</v>
      </c>
      <c r="B12" s="126" t="s">
        <v>97</v>
      </c>
      <c r="C12" s="127">
        <v>42304768</v>
      </c>
      <c r="D12" s="127">
        <v>44145468</v>
      </c>
      <c r="E12" s="127">
        <v>43457599</v>
      </c>
      <c r="F12" s="127">
        <v>43457599</v>
      </c>
      <c r="G12" s="127">
        <f t="shared" si="2"/>
        <v>780000</v>
      </c>
      <c r="H12" s="382">
        <v>44237599</v>
      </c>
      <c r="I12" s="128">
        <f t="shared" si="3"/>
        <v>44237599</v>
      </c>
      <c r="J12" s="129">
        <v>0</v>
      </c>
      <c r="K12" s="130">
        <v>0</v>
      </c>
    </row>
    <row r="13" spans="1:11" s="131" customFormat="1" ht="21.75" customHeight="1" hidden="1">
      <c r="A13" s="125" t="s">
        <v>98</v>
      </c>
      <c r="B13" s="126" t="s">
        <v>99</v>
      </c>
      <c r="C13" s="127">
        <v>32891974</v>
      </c>
      <c r="D13" s="127">
        <v>36303477</v>
      </c>
      <c r="E13" s="127">
        <v>41301776</v>
      </c>
      <c r="F13" s="127">
        <v>41301776</v>
      </c>
      <c r="G13" s="127">
        <f t="shared" si="2"/>
        <v>2102000</v>
      </c>
      <c r="H13" s="382">
        <v>43403776</v>
      </c>
      <c r="I13" s="128">
        <f t="shared" si="3"/>
        <v>43403776</v>
      </c>
      <c r="J13" s="129">
        <v>0</v>
      </c>
      <c r="K13" s="130">
        <v>0</v>
      </c>
    </row>
    <row r="14" spans="1:11" s="131" customFormat="1" ht="21.75" customHeight="1" hidden="1">
      <c r="A14" s="125" t="s">
        <v>100</v>
      </c>
      <c r="B14" s="126" t="s">
        <v>101</v>
      </c>
      <c r="C14" s="127">
        <v>1800000</v>
      </c>
      <c r="D14" s="127">
        <v>1800000</v>
      </c>
      <c r="E14" s="127">
        <v>1800000</v>
      </c>
      <c r="F14" s="127">
        <v>1800000</v>
      </c>
      <c r="G14" s="127">
        <f t="shared" si="2"/>
        <v>0</v>
      </c>
      <c r="H14" s="382">
        <v>1800000</v>
      </c>
      <c r="I14" s="128">
        <f t="shared" si="3"/>
        <v>1800000</v>
      </c>
      <c r="J14" s="129">
        <v>0</v>
      </c>
      <c r="K14" s="130">
        <v>0</v>
      </c>
    </row>
    <row r="15" spans="1:11" s="131" customFormat="1" ht="21.75" customHeight="1" hidden="1">
      <c r="A15" s="125" t="s">
        <v>102</v>
      </c>
      <c r="B15" s="132" t="s">
        <v>103</v>
      </c>
      <c r="C15" s="127">
        <v>1792979</v>
      </c>
      <c r="D15" s="127">
        <v>4102615</v>
      </c>
      <c r="E15" s="133">
        <v>1429698</v>
      </c>
      <c r="F15" s="133">
        <v>1429698</v>
      </c>
      <c r="G15" s="127">
        <f t="shared" si="2"/>
        <v>1230630</v>
      </c>
      <c r="H15" s="382">
        <v>2660328</v>
      </c>
      <c r="I15" s="128">
        <f t="shared" si="3"/>
        <v>2660328</v>
      </c>
      <c r="J15" s="134">
        <v>0</v>
      </c>
      <c r="K15" s="135">
        <v>0</v>
      </c>
    </row>
    <row r="16" spans="1:11" s="131" customFormat="1" ht="21.75" customHeight="1">
      <c r="A16" s="125" t="s">
        <v>104</v>
      </c>
      <c r="B16" s="126" t="s">
        <v>105</v>
      </c>
      <c r="C16" s="127">
        <v>37548864</v>
      </c>
      <c r="D16" s="127">
        <v>55815148</v>
      </c>
      <c r="E16" s="127">
        <v>53300354</v>
      </c>
      <c r="F16" s="127">
        <v>53300354</v>
      </c>
      <c r="G16" s="127">
        <f t="shared" si="2"/>
        <v>0</v>
      </c>
      <c r="H16" s="382">
        <v>53300354</v>
      </c>
      <c r="I16" s="128">
        <f t="shared" si="3"/>
        <v>53300354</v>
      </c>
      <c r="J16" s="129">
        <v>0</v>
      </c>
      <c r="K16" s="130">
        <v>0</v>
      </c>
    </row>
    <row r="17" spans="1:11" ht="21.75" customHeight="1">
      <c r="A17" s="136" t="s">
        <v>106</v>
      </c>
      <c r="B17" s="137" t="s">
        <v>107</v>
      </c>
      <c r="C17" s="138" t="e">
        <f>#REF!+C18</f>
        <v>#REF!</v>
      </c>
      <c r="D17" s="138" t="e">
        <f>#REF!+D18</f>
        <v>#REF!</v>
      </c>
      <c r="E17" s="138">
        <f aca="true" t="shared" si="4" ref="E17:K17">+E18</f>
        <v>104528617</v>
      </c>
      <c r="F17" s="138">
        <f>F18</f>
        <v>104528617</v>
      </c>
      <c r="G17" s="138">
        <f t="shared" si="4"/>
        <v>-40000000</v>
      </c>
      <c r="H17" s="390">
        <f>H18</f>
        <v>64528617</v>
      </c>
      <c r="I17" s="128">
        <f t="shared" si="3"/>
        <v>64528617</v>
      </c>
      <c r="J17" s="139">
        <f t="shared" si="4"/>
        <v>0</v>
      </c>
      <c r="K17" s="140">
        <f t="shared" si="4"/>
        <v>0</v>
      </c>
    </row>
    <row r="18" spans="1:11" ht="21.75" customHeight="1">
      <c r="A18" s="125" t="s">
        <v>108</v>
      </c>
      <c r="B18" s="132" t="s">
        <v>109</v>
      </c>
      <c r="C18" s="127">
        <v>86185955</v>
      </c>
      <c r="D18" s="127">
        <v>0</v>
      </c>
      <c r="E18" s="133">
        <v>104528617</v>
      </c>
      <c r="F18" s="133">
        <v>104528617</v>
      </c>
      <c r="G18" s="133">
        <v>-40000000</v>
      </c>
      <c r="H18" s="381">
        <v>64528617</v>
      </c>
      <c r="I18" s="128">
        <f t="shared" si="3"/>
        <v>64528617</v>
      </c>
      <c r="J18" s="134">
        <v>0</v>
      </c>
      <c r="K18" s="135">
        <v>0</v>
      </c>
    </row>
    <row r="19" spans="1:11" ht="21.75" customHeight="1">
      <c r="A19" s="136" t="s">
        <v>110</v>
      </c>
      <c r="B19" s="137" t="s">
        <v>111</v>
      </c>
      <c r="C19" s="138">
        <f aca="true" t="shared" si="5" ref="C19:K19">C20+C23</f>
        <v>82450000</v>
      </c>
      <c r="D19" s="138">
        <f t="shared" si="5"/>
        <v>104819785</v>
      </c>
      <c r="E19" s="138">
        <f t="shared" si="5"/>
        <v>86934266</v>
      </c>
      <c r="F19" s="138">
        <f>F20+F23</f>
        <v>86984266</v>
      </c>
      <c r="G19" s="138">
        <v>-19967819</v>
      </c>
      <c r="H19" s="138">
        <f>H20+H23</f>
        <v>67016447</v>
      </c>
      <c r="I19" s="139">
        <f t="shared" si="5"/>
        <v>67016447</v>
      </c>
      <c r="J19" s="141">
        <f t="shared" si="5"/>
        <v>0</v>
      </c>
      <c r="K19" s="142">
        <f t="shared" si="5"/>
        <v>0</v>
      </c>
    </row>
    <row r="20" spans="1:11" ht="23.25" customHeight="1">
      <c r="A20" s="125" t="s">
        <v>112</v>
      </c>
      <c r="B20" s="126" t="s">
        <v>113</v>
      </c>
      <c r="C20" s="127">
        <f>SUM(C21:C22)</f>
        <v>82300000</v>
      </c>
      <c r="D20" s="127">
        <f>SUM(D21:D22)</f>
        <v>104760535</v>
      </c>
      <c r="E20" s="127">
        <f>SUM(E21:E22)</f>
        <v>86834266</v>
      </c>
      <c r="F20" s="127">
        <f>SUM(F21:F22)</f>
        <v>86834266</v>
      </c>
      <c r="G20" s="127">
        <f>SUM(G21:G22)</f>
        <v>-19967819</v>
      </c>
      <c r="H20" s="381">
        <f>H21+H22</f>
        <v>66866447</v>
      </c>
      <c r="I20" s="128">
        <f>H20</f>
        <v>66866447</v>
      </c>
      <c r="J20" s="129">
        <v>0</v>
      </c>
      <c r="K20" s="130">
        <v>0</v>
      </c>
    </row>
    <row r="21" spans="1:11" s="145" customFormat="1" ht="21.75" customHeight="1">
      <c r="A21" s="143" t="s">
        <v>114</v>
      </c>
      <c r="B21" s="144" t="s">
        <v>115</v>
      </c>
      <c r="C21" s="128">
        <v>80000000</v>
      </c>
      <c r="D21" s="128">
        <v>102172459</v>
      </c>
      <c r="E21" s="128">
        <v>84234266</v>
      </c>
      <c r="F21" s="128">
        <v>84234266</v>
      </c>
      <c r="G21" s="128">
        <f>H21-F21</f>
        <v>-19967819</v>
      </c>
      <c r="H21" s="383">
        <v>64266447</v>
      </c>
      <c r="I21" s="128">
        <f>H21</f>
        <v>64266447</v>
      </c>
      <c r="J21" s="129">
        <v>0</v>
      </c>
      <c r="K21" s="130">
        <v>0</v>
      </c>
    </row>
    <row r="22" spans="1:11" s="145" customFormat="1" ht="21.75" customHeight="1">
      <c r="A22" s="143" t="s">
        <v>116</v>
      </c>
      <c r="B22" s="144" t="s">
        <v>117</v>
      </c>
      <c r="C22" s="128">
        <v>2300000</v>
      </c>
      <c r="D22" s="128">
        <v>2588076</v>
      </c>
      <c r="E22" s="128">
        <v>2600000</v>
      </c>
      <c r="F22" s="128">
        <v>2600000</v>
      </c>
      <c r="G22" s="128">
        <v>0</v>
      </c>
      <c r="H22" s="383">
        <v>2600000</v>
      </c>
      <c r="I22" s="128">
        <f>H22</f>
        <v>2600000</v>
      </c>
      <c r="J22" s="129">
        <v>0</v>
      </c>
      <c r="K22" s="130">
        <v>0</v>
      </c>
    </row>
    <row r="23" spans="1:11" ht="21.75" customHeight="1">
      <c r="A23" s="125" t="s">
        <v>118</v>
      </c>
      <c r="B23" s="126" t="s">
        <v>119</v>
      </c>
      <c r="C23" s="127">
        <v>150000</v>
      </c>
      <c r="D23" s="127">
        <v>59250</v>
      </c>
      <c r="E23" s="127">
        <v>100000</v>
      </c>
      <c r="F23" s="127">
        <f>E23+G23</f>
        <v>150000</v>
      </c>
      <c r="G23" s="127">
        <f>H23-F23</f>
        <v>0</v>
      </c>
      <c r="H23" s="381">
        <v>150000</v>
      </c>
      <c r="I23" s="128">
        <f>H23</f>
        <v>150000</v>
      </c>
      <c r="J23" s="129">
        <v>0</v>
      </c>
      <c r="K23" s="130">
        <v>0</v>
      </c>
    </row>
    <row r="24" spans="1:11" ht="21.75" customHeight="1">
      <c r="A24" s="136" t="s">
        <v>120</v>
      </c>
      <c r="B24" s="137" t="s">
        <v>121</v>
      </c>
      <c r="C24" s="138">
        <f aca="true" t="shared" si="6" ref="C24:K24">SUM(C25:C31)</f>
        <v>10617500</v>
      </c>
      <c r="D24" s="138">
        <f t="shared" si="6"/>
        <v>11833040</v>
      </c>
      <c r="E24" s="138">
        <f t="shared" si="6"/>
        <v>15747000</v>
      </c>
      <c r="F24" s="138">
        <f>SUM(F25:F31)</f>
        <v>15747000</v>
      </c>
      <c r="G24" s="138">
        <f>SUM(G25:G31)</f>
        <v>450419</v>
      </c>
      <c r="H24" s="138">
        <f>SUM(H25:H31)</f>
        <v>16197419</v>
      </c>
      <c r="I24" s="139">
        <f t="shared" si="6"/>
        <v>16197419</v>
      </c>
      <c r="J24" s="141">
        <f t="shared" si="6"/>
        <v>0</v>
      </c>
      <c r="K24" s="142">
        <f t="shared" si="6"/>
        <v>0</v>
      </c>
    </row>
    <row r="25" spans="1:11" ht="21.75" customHeight="1">
      <c r="A25" s="125" t="s">
        <v>122</v>
      </c>
      <c r="B25" s="126" t="s">
        <v>123</v>
      </c>
      <c r="C25" s="146">
        <v>3760000</v>
      </c>
      <c r="D25" s="127">
        <v>4875912</v>
      </c>
      <c r="E25" s="127">
        <v>3430000</v>
      </c>
      <c r="F25" s="127">
        <v>3430000</v>
      </c>
      <c r="G25" s="127">
        <v>0</v>
      </c>
      <c r="H25" s="381">
        <v>3430000</v>
      </c>
      <c r="I25" s="128">
        <f>H25</f>
        <v>3430000</v>
      </c>
      <c r="J25" s="129">
        <v>0</v>
      </c>
      <c r="K25" s="130">
        <v>0</v>
      </c>
    </row>
    <row r="26" spans="1:11" ht="21.75" customHeight="1">
      <c r="A26" s="125" t="s">
        <v>124</v>
      </c>
      <c r="B26" s="126" t="s">
        <v>125</v>
      </c>
      <c r="C26" s="146">
        <v>637500</v>
      </c>
      <c r="D26" s="127">
        <v>740196</v>
      </c>
      <c r="E26" s="127">
        <v>752000</v>
      </c>
      <c r="F26" s="127">
        <v>752000</v>
      </c>
      <c r="G26" s="127">
        <v>0</v>
      </c>
      <c r="H26" s="381">
        <v>752000</v>
      </c>
      <c r="I26" s="128">
        <f aca="true" t="shared" si="7" ref="I26:I31">H26</f>
        <v>752000</v>
      </c>
      <c r="J26" s="129">
        <v>0</v>
      </c>
      <c r="K26" s="130">
        <v>0</v>
      </c>
    </row>
    <row r="27" spans="1:11" ht="21.75" customHeight="1">
      <c r="A27" s="125" t="s">
        <v>126</v>
      </c>
      <c r="B27" s="126" t="s">
        <v>127</v>
      </c>
      <c r="C27" s="146">
        <v>6000000</v>
      </c>
      <c r="D27" s="127">
        <v>6055668</v>
      </c>
      <c r="E27" s="127">
        <v>11350000</v>
      </c>
      <c r="F27" s="127">
        <v>11350000</v>
      </c>
      <c r="G27" s="127">
        <v>0</v>
      </c>
      <c r="H27" s="381">
        <v>11350000</v>
      </c>
      <c r="I27" s="128">
        <f t="shared" si="7"/>
        <v>11350000</v>
      </c>
      <c r="J27" s="129">
        <v>0</v>
      </c>
      <c r="K27" s="130">
        <v>0</v>
      </c>
    </row>
    <row r="28" spans="1:11" ht="18.75" customHeight="1">
      <c r="A28" s="125" t="s">
        <v>128</v>
      </c>
      <c r="B28" s="126" t="s">
        <v>129</v>
      </c>
      <c r="C28" s="146">
        <v>150000</v>
      </c>
      <c r="D28" s="127">
        <v>154038</v>
      </c>
      <c r="E28" s="127">
        <v>150000</v>
      </c>
      <c r="F28" s="127">
        <v>150000</v>
      </c>
      <c r="G28" s="127">
        <f>H28-F28</f>
        <v>115601</v>
      </c>
      <c r="H28" s="381">
        <v>265601</v>
      </c>
      <c r="I28" s="128">
        <f t="shared" si="7"/>
        <v>265601</v>
      </c>
      <c r="J28" s="129">
        <v>0</v>
      </c>
      <c r="K28" s="130">
        <v>0</v>
      </c>
    </row>
    <row r="29" spans="1:11" ht="21.75" customHeight="1">
      <c r="A29" s="125" t="s">
        <v>130</v>
      </c>
      <c r="B29" s="126" t="s">
        <v>131</v>
      </c>
      <c r="C29" s="146">
        <v>10000</v>
      </c>
      <c r="D29" s="147">
        <v>809</v>
      </c>
      <c r="E29" s="147">
        <v>5000</v>
      </c>
      <c r="F29" s="147">
        <v>5000</v>
      </c>
      <c r="G29" s="147">
        <v>0</v>
      </c>
      <c r="H29" s="381">
        <v>5000</v>
      </c>
      <c r="I29" s="128">
        <f t="shared" si="7"/>
        <v>5000</v>
      </c>
      <c r="J29" s="149">
        <v>0</v>
      </c>
      <c r="K29" s="150">
        <v>0</v>
      </c>
    </row>
    <row r="30" spans="1:11" ht="21.75" customHeight="1">
      <c r="A30" s="125" t="s">
        <v>349</v>
      </c>
      <c r="B30" s="126" t="s">
        <v>350</v>
      </c>
      <c r="C30" s="146"/>
      <c r="D30" s="147"/>
      <c r="E30" s="147">
        <v>0</v>
      </c>
      <c r="F30" s="147">
        <v>0</v>
      </c>
      <c r="G30" s="147">
        <v>55000</v>
      </c>
      <c r="H30" s="381">
        <v>55000</v>
      </c>
      <c r="I30" s="128">
        <f t="shared" si="7"/>
        <v>55000</v>
      </c>
      <c r="J30" s="149"/>
      <c r="K30" s="150"/>
    </row>
    <row r="31" spans="1:11" ht="21.75" customHeight="1">
      <c r="A31" s="125" t="s">
        <v>132</v>
      </c>
      <c r="B31" s="126" t="s">
        <v>133</v>
      </c>
      <c r="C31" s="146">
        <v>60000</v>
      </c>
      <c r="D31" s="147">
        <v>6417</v>
      </c>
      <c r="E31" s="147">
        <v>60000</v>
      </c>
      <c r="F31" s="147">
        <v>60000</v>
      </c>
      <c r="G31" s="147">
        <f>H31-F31</f>
        <v>279818</v>
      </c>
      <c r="H31" s="381">
        <v>339818</v>
      </c>
      <c r="I31" s="128">
        <f t="shared" si="7"/>
        <v>339818</v>
      </c>
      <c r="J31" s="149">
        <v>0</v>
      </c>
      <c r="K31" s="150">
        <v>0</v>
      </c>
    </row>
    <row r="32" spans="1:11" ht="21.75" customHeight="1">
      <c r="A32" s="136" t="s">
        <v>134</v>
      </c>
      <c r="B32" s="137" t="s">
        <v>135</v>
      </c>
      <c r="C32" s="151">
        <f aca="true" t="shared" si="8" ref="C32:I32">SUM(C33:C33)</f>
        <v>0</v>
      </c>
      <c r="D32" s="138">
        <f t="shared" si="8"/>
        <v>11000</v>
      </c>
      <c r="E32" s="138">
        <f t="shared" si="8"/>
        <v>7000000</v>
      </c>
      <c r="F32" s="138">
        <f>SUM(F33:F33)</f>
        <v>7001000</v>
      </c>
      <c r="G32" s="138">
        <f>SUM(G33:G33)</f>
        <v>0</v>
      </c>
      <c r="H32" s="138">
        <f>SUM(H33:H33)</f>
        <v>7001000</v>
      </c>
      <c r="I32" s="139">
        <f t="shared" si="8"/>
        <v>7001000</v>
      </c>
      <c r="J32" s="141">
        <v>0</v>
      </c>
      <c r="K32" s="142">
        <v>0</v>
      </c>
    </row>
    <row r="33" spans="1:11" ht="21.75" customHeight="1">
      <c r="A33" s="125" t="s">
        <v>136</v>
      </c>
      <c r="B33" s="126" t="s">
        <v>137</v>
      </c>
      <c r="C33" s="152">
        <v>0</v>
      </c>
      <c r="D33" s="147">
        <v>11000</v>
      </c>
      <c r="E33" s="147">
        <v>7000000</v>
      </c>
      <c r="F33" s="147">
        <v>7001000</v>
      </c>
      <c r="G33" s="147">
        <v>0</v>
      </c>
      <c r="H33" s="381">
        <v>7001000</v>
      </c>
      <c r="I33" s="148">
        <f>F33</f>
        <v>7001000</v>
      </c>
      <c r="J33" s="149">
        <v>0</v>
      </c>
      <c r="K33" s="150">
        <v>0</v>
      </c>
    </row>
    <row r="34" spans="1:11" ht="21.75" customHeight="1">
      <c r="A34" s="136" t="s">
        <v>138</v>
      </c>
      <c r="B34" s="137" t="s">
        <v>139</v>
      </c>
      <c r="C34" s="138">
        <f aca="true" t="shared" si="9" ref="C34:I34">SUM(C35:C35)</f>
        <v>50000</v>
      </c>
      <c r="D34" s="138">
        <f t="shared" si="9"/>
        <v>10000</v>
      </c>
      <c r="E34" s="138">
        <f t="shared" si="9"/>
        <v>50000</v>
      </c>
      <c r="F34" s="138">
        <f>SUM(F35:F35)</f>
        <v>200000</v>
      </c>
      <c r="G34" s="138">
        <f>SUM(G35:G35)</f>
        <v>0</v>
      </c>
      <c r="H34" s="138">
        <f>SUM(H35:H35)</f>
        <v>200000</v>
      </c>
      <c r="I34" s="139">
        <f t="shared" si="9"/>
        <v>200000</v>
      </c>
      <c r="J34" s="141">
        <v>0</v>
      </c>
      <c r="K34" s="142">
        <v>0</v>
      </c>
    </row>
    <row r="35" spans="1:11" ht="21.75" customHeight="1" hidden="1">
      <c r="A35" s="125" t="s">
        <v>140</v>
      </c>
      <c r="B35" s="126" t="s">
        <v>141</v>
      </c>
      <c r="C35" s="127">
        <v>50000</v>
      </c>
      <c r="D35" s="127">
        <v>10000</v>
      </c>
      <c r="E35" s="127">
        <v>50000</v>
      </c>
      <c r="F35" s="127">
        <v>200000</v>
      </c>
      <c r="G35" s="127">
        <v>0</v>
      </c>
      <c r="H35" s="381">
        <v>200000</v>
      </c>
      <c r="I35" s="128">
        <f>F35</f>
        <v>200000</v>
      </c>
      <c r="J35" s="129">
        <v>0</v>
      </c>
      <c r="K35" s="130">
        <v>0</v>
      </c>
    </row>
    <row r="36" spans="1:11" ht="21.75" customHeight="1" hidden="1">
      <c r="A36" s="136" t="s">
        <v>142</v>
      </c>
      <c r="B36" s="137" t="s">
        <v>143</v>
      </c>
      <c r="C36" s="153" t="e">
        <f>#REF!</f>
        <v>#REF!</v>
      </c>
      <c r="D36" s="153" t="e">
        <f>#REF!</f>
        <v>#REF!</v>
      </c>
      <c r="E36" s="153">
        <f>0</f>
        <v>0</v>
      </c>
      <c r="F36" s="153">
        <v>0</v>
      </c>
      <c r="G36" s="153">
        <v>0</v>
      </c>
      <c r="H36" s="381">
        <v>0</v>
      </c>
      <c r="I36" s="154">
        <v>0</v>
      </c>
      <c r="J36" s="155">
        <v>0</v>
      </c>
      <c r="K36" s="156">
        <v>0</v>
      </c>
    </row>
    <row r="37" spans="1:11" ht="30" customHeight="1">
      <c r="A37" s="157" t="s">
        <v>144</v>
      </c>
      <c r="B37" s="158" t="s">
        <v>145</v>
      </c>
      <c r="C37" s="159" t="e">
        <f aca="true" t="shared" si="10" ref="C37:K37">C9+C17+C19+C24+C32+C34+C36</f>
        <v>#REF!</v>
      </c>
      <c r="D37" s="159" t="e">
        <f t="shared" si="10"/>
        <v>#REF!</v>
      </c>
      <c r="E37" s="159">
        <f t="shared" si="10"/>
        <v>395726604</v>
      </c>
      <c r="F37" s="159">
        <v>395927604</v>
      </c>
      <c r="G37" s="159">
        <f>G9+G17+G19+G24+G32+G34+G36</f>
        <v>-53956770</v>
      </c>
      <c r="H37" s="159">
        <f>H9+H17+H19+H24+H32+H34+H36</f>
        <v>341970834</v>
      </c>
      <c r="I37" s="139">
        <f t="shared" si="10"/>
        <v>341970834</v>
      </c>
      <c r="J37" s="141">
        <f t="shared" si="10"/>
        <v>0</v>
      </c>
      <c r="K37" s="142">
        <f t="shared" si="10"/>
        <v>0</v>
      </c>
    </row>
    <row r="38" spans="1:11" ht="21.75" customHeight="1">
      <c r="A38" s="136" t="s">
        <v>146</v>
      </c>
      <c r="B38" s="137" t="s">
        <v>147</v>
      </c>
      <c r="C38" s="138">
        <f aca="true" t="shared" si="11" ref="C38:K38">SUM(C39:C43)</f>
        <v>88071346</v>
      </c>
      <c r="D38" s="138">
        <f t="shared" si="11"/>
        <v>92560091</v>
      </c>
      <c r="E38" s="138">
        <f t="shared" si="11"/>
        <v>129122434</v>
      </c>
      <c r="F38" s="138">
        <f t="shared" si="11"/>
        <v>129414500</v>
      </c>
      <c r="G38" s="138">
        <f t="shared" si="11"/>
        <v>54427819</v>
      </c>
      <c r="H38" s="138">
        <f t="shared" si="11"/>
        <v>183842319</v>
      </c>
      <c r="I38" s="139">
        <f t="shared" si="11"/>
        <v>183842319</v>
      </c>
      <c r="J38" s="141">
        <f t="shared" si="11"/>
        <v>0</v>
      </c>
      <c r="K38" s="142">
        <f t="shared" si="11"/>
        <v>0</v>
      </c>
    </row>
    <row r="39" spans="1:11" ht="21.75" customHeight="1">
      <c r="A39" s="125" t="s">
        <v>148</v>
      </c>
      <c r="B39" s="126" t="s">
        <v>149</v>
      </c>
      <c r="C39" s="160">
        <v>0</v>
      </c>
      <c r="D39" s="127">
        <v>0</v>
      </c>
      <c r="E39" s="127">
        <v>50000000</v>
      </c>
      <c r="F39" s="127">
        <v>50000000</v>
      </c>
      <c r="G39" s="127">
        <v>0</v>
      </c>
      <c r="H39" s="381">
        <v>50000000</v>
      </c>
      <c r="I39" s="128">
        <v>50000000</v>
      </c>
      <c r="J39" s="129">
        <v>0</v>
      </c>
      <c r="K39" s="130">
        <v>0</v>
      </c>
    </row>
    <row r="40" spans="1:11" ht="21.75" customHeight="1">
      <c r="A40" s="125" t="s">
        <v>150</v>
      </c>
      <c r="B40" s="126" t="s">
        <v>151</v>
      </c>
      <c r="C40" s="147">
        <v>0</v>
      </c>
      <c r="D40" s="127">
        <v>0</v>
      </c>
      <c r="E40" s="127">
        <v>25000000</v>
      </c>
      <c r="F40" s="127">
        <v>25000000</v>
      </c>
      <c r="G40" s="127">
        <v>0</v>
      </c>
      <c r="H40" s="381">
        <v>25000000</v>
      </c>
      <c r="I40" s="128">
        <v>25000000</v>
      </c>
      <c r="J40" s="129">
        <v>0</v>
      </c>
      <c r="K40" s="130">
        <v>0</v>
      </c>
    </row>
    <row r="41" spans="1:11" ht="21.75" customHeight="1">
      <c r="A41" s="125" t="s">
        <v>351</v>
      </c>
      <c r="B41" s="126" t="s">
        <v>352</v>
      </c>
      <c r="C41" s="147"/>
      <c r="D41" s="127"/>
      <c r="E41" s="127">
        <v>0</v>
      </c>
      <c r="F41" s="127">
        <v>0</v>
      </c>
      <c r="G41" s="127">
        <v>54427819</v>
      </c>
      <c r="H41" s="381">
        <v>54427819</v>
      </c>
      <c r="I41" s="128">
        <v>54427819</v>
      </c>
      <c r="J41" s="129"/>
      <c r="K41" s="130"/>
    </row>
    <row r="42" spans="1:11" ht="21.75" customHeight="1">
      <c r="A42" s="125" t="s">
        <v>152</v>
      </c>
      <c r="B42" s="126" t="s">
        <v>153</v>
      </c>
      <c r="C42" s="160">
        <v>88071346</v>
      </c>
      <c r="D42" s="127">
        <v>88071346</v>
      </c>
      <c r="E42" s="127">
        <v>54122434</v>
      </c>
      <c r="F42" s="127">
        <v>54122434</v>
      </c>
      <c r="G42" s="127">
        <v>0</v>
      </c>
      <c r="H42" s="381">
        <v>54122434</v>
      </c>
      <c r="I42" s="128">
        <v>54122434</v>
      </c>
      <c r="J42" s="129">
        <v>0</v>
      </c>
      <c r="K42" s="130">
        <v>0</v>
      </c>
    </row>
    <row r="43" spans="1:11" ht="21.75" customHeight="1">
      <c r="A43" s="125" t="s">
        <v>154</v>
      </c>
      <c r="B43" s="126" t="s">
        <v>155</v>
      </c>
      <c r="C43" s="147">
        <v>0</v>
      </c>
      <c r="D43" s="127">
        <v>4488745</v>
      </c>
      <c r="E43" s="127">
        <v>0</v>
      </c>
      <c r="F43" s="127">
        <v>292066</v>
      </c>
      <c r="G43" s="127">
        <v>0</v>
      </c>
      <c r="H43" s="381">
        <v>292066</v>
      </c>
      <c r="I43" s="128">
        <f>F43</f>
        <v>292066</v>
      </c>
      <c r="J43" s="129">
        <v>0</v>
      </c>
      <c r="K43" s="130">
        <v>0</v>
      </c>
    </row>
    <row r="44" spans="1:11" s="167" customFormat="1" ht="37.5" customHeight="1" thickBot="1">
      <c r="A44" s="161" t="s">
        <v>156</v>
      </c>
      <c r="B44" s="162" t="s">
        <v>157</v>
      </c>
      <c r="C44" s="163" t="e">
        <f aca="true" t="shared" si="12" ref="C44:K44">C37+C38</f>
        <v>#REF!</v>
      </c>
      <c r="D44" s="163" t="e">
        <f t="shared" si="12"/>
        <v>#REF!</v>
      </c>
      <c r="E44" s="163">
        <f t="shared" si="12"/>
        <v>524849038</v>
      </c>
      <c r="F44" s="163">
        <f>F37+F38</f>
        <v>525342104</v>
      </c>
      <c r="G44" s="163">
        <f>G37+G38</f>
        <v>471049</v>
      </c>
      <c r="H44" s="163">
        <f>H37+H38</f>
        <v>525813153</v>
      </c>
      <c r="I44" s="164">
        <f t="shared" si="12"/>
        <v>525813153</v>
      </c>
      <c r="J44" s="165">
        <f t="shared" si="12"/>
        <v>0</v>
      </c>
      <c r="K44" s="166">
        <f t="shared" si="12"/>
        <v>0</v>
      </c>
    </row>
    <row r="45" spans="1:11" ht="15.75" thickTop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</sheetData>
  <sheetProtection/>
  <mergeCells count="18">
    <mergeCell ref="D4:E4"/>
    <mergeCell ref="A5:B5"/>
    <mergeCell ref="C6:C7"/>
    <mergeCell ref="D6:D7"/>
    <mergeCell ref="E6:E7"/>
    <mergeCell ref="B6:B7"/>
    <mergeCell ref="A6:A7"/>
    <mergeCell ref="D5:E5"/>
    <mergeCell ref="F6:F7"/>
    <mergeCell ref="J5:K5"/>
    <mergeCell ref="G6:G7"/>
    <mergeCell ref="H6:H7"/>
    <mergeCell ref="I6:K6"/>
    <mergeCell ref="A1:K1"/>
    <mergeCell ref="A2:K2"/>
    <mergeCell ref="J4:K4"/>
    <mergeCell ref="D3:E3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PageLayoutView="0" workbookViewId="0" topLeftCell="A1">
      <selection activeCell="A4" sqref="A4:B4"/>
    </sheetView>
  </sheetViews>
  <sheetFormatPr defaultColWidth="8.8515625" defaultRowHeight="15"/>
  <cols>
    <col min="1" max="1" width="7.140625" style="104" customWidth="1"/>
    <col min="2" max="2" width="53.28125" style="104" customWidth="1"/>
    <col min="3" max="4" width="16.7109375" style="104" hidden="1" customWidth="1"/>
    <col min="5" max="8" width="16.7109375" style="104" customWidth="1"/>
    <col min="9" max="9" width="13.8515625" style="169" customWidth="1"/>
    <col min="10" max="10" width="11.8515625" style="169" customWidth="1"/>
    <col min="11" max="11" width="10.8515625" style="169" customWidth="1"/>
    <col min="12" max="12" width="8.8515625" style="104" customWidth="1"/>
    <col min="13" max="13" width="11.140625" style="104" bestFit="1" customWidth="1"/>
    <col min="14" max="16384" width="8.8515625" style="104" customWidth="1"/>
  </cols>
  <sheetData>
    <row r="1" spans="1:11" ht="30" customHeight="1">
      <c r="A1" s="811" t="s">
        <v>158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</row>
    <row r="2" spans="1:11" ht="18" customHeight="1">
      <c r="A2" s="812" t="s">
        <v>76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</row>
    <row r="3" spans="1:11" ht="18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9.5" customHeight="1">
      <c r="A4" s="801" t="s">
        <v>621</v>
      </c>
      <c r="B4" s="801"/>
      <c r="C4" s="105"/>
      <c r="D4" s="814"/>
      <c r="E4" s="814"/>
      <c r="F4" s="108"/>
      <c r="G4" s="108"/>
      <c r="H4" s="108"/>
      <c r="I4" s="108"/>
      <c r="J4" s="108"/>
      <c r="K4" s="108"/>
    </row>
    <row r="5" spans="1:11" ht="14.25" customHeight="1" thickBot="1">
      <c r="A5" s="820" t="s">
        <v>159</v>
      </c>
      <c r="B5" s="820"/>
      <c r="C5" s="109"/>
      <c r="D5" s="821"/>
      <c r="E5" s="821"/>
      <c r="F5" s="313"/>
      <c r="G5" s="110"/>
      <c r="H5" s="110"/>
      <c r="I5" s="111"/>
      <c r="J5" s="806" t="s">
        <v>3</v>
      </c>
      <c r="K5" s="806"/>
    </row>
    <row r="6" spans="1:11" ht="14.25" customHeight="1" thickBot="1" thickTop="1">
      <c r="A6" s="818" t="s">
        <v>78</v>
      </c>
      <c r="B6" s="816" t="s">
        <v>79</v>
      </c>
      <c r="C6" s="804" t="s">
        <v>160</v>
      </c>
      <c r="D6" s="804" t="s">
        <v>161</v>
      </c>
      <c r="E6" s="804" t="s">
        <v>7</v>
      </c>
      <c r="F6" s="97"/>
      <c r="G6" s="804" t="s">
        <v>273</v>
      </c>
      <c r="H6" s="804" t="s">
        <v>274</v>
      </c>
      <c r="I6" s="808" t="s">
        <v>81</v>
      </c>
      <c r="J6" s="809"/>
      <c r="K6" s="810"/>
    </row>
    <row r="7" spans="1:11" ht="38.25" customHeight="1" thickBot="1" thickTop="1">
      <c r="A7" s="819"/>
      <c r="B7" s="817"/>
      <c r="C7" s="807"/>
      <c r="D7" s="807"/>
      <c r="E7" s="807"/>
      <c r="F7" s="312" t="s">
        <v>8</v>
      </c>
      <c r="G7" s="807"/>
      <c r="H7" s="807"/>
      <c r="I7" s="113" t="s">
        <v>82</v>
      </c>
      <c r="J7" s="113" t="s">
        <v>83</v>
      </c>
      <c r="K7" s="114" t="s">
        <v>84</v>
      </c>
    </row>
    <row r="8" spans="1:11" ht="12.75" customHeight="1" thickTop="1">
      <c r="A8" s="115" t="s">
        <v>11</v>
      </c>
      <c r="B8" s="116" t="s">
        <v>24</v>
      </c>
      <c r="C8" s="116" t="s">
        <v>33</v>
      </c>
      <c r="D8" s="116" t="s">
        <v>85</v>
      </c>
      <c r="E8" s="116" t="s">
        <v>33</v>
      </c>
      <c r="F8" s="116" t="s">
        <v>85</v>
      </c>
      <c r="G8" s="116" t="s">
        <v>86</v>
      </c>
      <c r="H8" s="116" t="s">
        <v>87</v>
      </c>
      <c r="I8" s="117" t="s">
        <v>88</v>
      </c>
      <c r="J8" s="117" t="s">
        <v>89</v>
      </c>
      <c r="K8" s="118" t="s">
        <v>358</v>
      </c>
    </row>
    <row r="9" spans="1:11" s="170" customFormat="1" ht="21.75" customHeight="1">
      <c r="A9" s="119" t="s">
        <v>162</v>
      </c>
      <c r="B9" s="120" t="s">
        <v>163</v>
      </c>
      <c r="C9" s="121">
        <f aca="true" t="shared" si="0" ref="C9:K9">C10+C16</f>
        <v>47206036</v>
      </c>
      <c r="D9" s="121">
        <f t="shared" si="0"/>
        <v>52908669</v>
      </c>
      <c r="E9" s="121">
        <f t="shared" si="0"/>
        <v>56870226</v>
      </c>
      <c r="F9" s="121">
        <f>F10+F16</f>
        <v>56870226</v>
      </c>
      <c r="G9" s="121">
        <f>G10+G16</f>
        <v>3069049</v>
      </c>
      <c r="H9" s="384">
        <f>H10+H16</f>
        <v>59939275</v>
      </c>
      <c r="I9" s="122">
        <f t="shared" si="0"/>
        <v>59939275</v>
      </c>
      <c r="J9" s="123">
        <f t="shared" si="0"/>
        <v>0</v>
      </c>
      <c r="K9" s="124">
        <f t="shared" si="0"/>
        <v>0</v>
      </c>
    </row>
    <row r="10" spans="1:11" s="171" customFormat="1" ht="21.75" customHeight="1">
      <c r="A10" s="125" t="s">
        <v>164</v>
      </c>
      <c r="B10" s="126" t="s">
        <v>165</v>
      </c>
      <c r="C10" s="127">
        <f aca="true" t="shared" si="1" ref="C10:H10">SUM(C11:C15)</f>
        <v>36766036</v>
      </c>
      <c r="D10" s="127">
        <f t="shared" si="1"/>
        <v>37972242</v>
      </c>
      <c r="E10" s="127">
        <f t="shared" si="1"/>
        <v>42530100</v>
      </c>
      <c r="F10" s="127">
        <f t="shared" si="1"/>
        <v>42530100</v>
      </c>
      <c r="G10" s="127">
        <f t="shared" si="1"/>
        <v>1869049</v>
      </c>
      <c r="H10" s="127">
        <f t="shared" si="1"/>
        <v>44399149</v>
      </c>
      <c r="I10" s="128">
        <v>44399149</v>
      </c>
      <c r="J10" s="129">
        <v>0</v>
      </c>
      <c r="K10" s="130">
        <v>0</v>
      </c>
    </row>
    <row r="11" spans="1:11" s="171" customFormat="1" ht="22.5" customHeight="1" hidden="1">
      <c r="A11" s="125" t="s">
        <v>166</v>
      </c>
      <c r="B11" s="126" t="s">
        <v>167</v>
      </c>
      <c r="C11" s="127">
        <v>33575000</v>
      </c>
      <c r="D11" s="127">
        <v>34069113</v>
      </c>
      <c r="E11" s="127">
        <v>38900000</v>
      </c>
      <c r="F11" s="127">
        <v>38900000</v>
      </c>
      <c r="G11" s="127">
        <f aca="true" t="shared" si="2" ref="G11:G20">H11-F11</f>
        <v>1430007</v>
      </c>
      <c r="H11" s="385">
        <v>40330007</v>
      </c>
      <c r="I11" s="128">
        <v>38900000</v>
      </c>
      <c r="J11" s="129">
        <v>0</v>
      </c>
      <c r="K11" s="130">
        <v>0</v>
      </c>
    </row>
    <row r="12" spans="1:11" s="171" customFormat="1" ht="21.75" customHeight="1" hidden="1">
      <c r="A12" s="125" t="s">
        <v>168</v>
      </c>
      <c r="B12" s="126" t="s">
        <v>169</v>
      </c>
      <c r="C12" s="127">
        <v>2095036</v>
      </c>
      <c r="D12" s="127">
        <v>2129587</v>
      </c>
      <c r="E12" s="127">
        <v>2352100</v>
      </c>
      <c r="F12" s="127">
        <v>2352100</v>
      </c>
      <c r="G12" s="127">
        <f t="shared" si="2"/>
        <v>89042</v>
      </c>
      <c r="H12" s="385">
        <v>2441142</v>
      </c>
      <c r="I12" s="128">
        <v>2352100</v>
      </c>
      <c r="J12" s="129">
        <v>0</v>
      </c>
      <c r="K12" s="130">
        <v>0</v>
      </c>
    </row>
    <row r="13" spans="1:11" s="171" customFormat="1" ht="21.75" customHeight="1" hidden="1">
      <c r="A13" s="125" t="s">
        <v>170</v>
      </c>
      <c r="B13" s="126" t="s">
        <v>171</v>
      </c>
      <c r="C13" s="133">
        <v>36000</v>
      </c>
      <c r="D13" s="127">
        <v>35490</v>
      </c>
      <c r="E13" s="127">
        <v>40000</v>
      </c>
      <c r="F13" s="127">
        <v>40000</v>
      </c>
      <c r="G13" s="127">
        <f t="shared" si="2"/>
        <v>0</v>
      </c>
      <c r="H13" s="385">
        <v>40000</v>
      </c>
      <c r="I13" s="128">
        <v>40000</v>
      </c>
      <c r="J13" s="129">
        <v>0</v>
      </c>
      <c r="K13" s="130">
        <v>0</v>
      </c>
    </row>
    <row r="14" spans="1:11" s="171" customFormat="1" ht="21.75" customHeight="1" hidden="1">
      <c r="A14" s="125" t="s">
        <v>172</v>
      </c>
      <c r="B14" s="126" t="s">
        <v>173</v>
      </c>
      <c r="C14" s="133">
        <v>510000</v>
      </c>
      <c r="D14" s="127">
        <v>456450</v>
      </c>
      <c r="E14" s="127">
        <v>738000</v>
      </c>
      <c r="F14" s="127">
        <v>738000</v>
      </c>
      <c r="G14" s="127">
        <f t="shared" si="2"/>
        <v>-237174</v>
      </c>
      <c r="H14" s="385">
        <v>500826</v>
      </c>
      <c r="I14" s="128">
        <v>738000</v>
      </c>
      <c r="J14" s="129">
        <v>0</v>
      </c>
      <c r="K14" s="130">
        <v>0</v>
      </c>
    </row>
    <row r="15" spans="1:11" s="171" customFormat="1" ht="21.75" customHeight="1" hidden="1">
      <c r="A15" s="125" t="s">
        <v>174</v>
      </c>
      <c r="B15" s="126" t="s">
        <v>175</v>
      </c>
      <c r="C15" s="133">
        <v>550000</v>
      </c>
      <c r="D15" s="127">
        <v>1281602</v>
      </c>
      <c r="E15" s="127">
        <v>500000</v>
      </c>
      <c r="F15" s="127">
        <v>500000</v>
      </c>
      <c r="G15" s="127">
        <f t="shared" si="2"/>
        <v>587174</v>
      </c>
      <c r="H15" s="385">
        <v>1087174</v>
      </c>
      <c r="I15" s="128">
        <v>500000</v>
      </c>
      <c r="J15" s="129">
        <v>0</v>
      </c>
      <c r="K15" s="130">
        <v>0</v>
      </c>
    </row>
    <row r="16" spans="1:19" s="171" customFormat="1" ht="21.75" customHeight="1">
      <c r="A16" s="125" t="s">
        <v>176</v>
      </c>
      <c r="B16" s="126" t="s">
        <v>177</v>
      </c>
      <c r="C16" s="127">
        <f>SUM(C17:C19)</f>
        <v>10440000</v>
      </c>
      <c r="D16" s="127">
        <f>SUM(D17:D19)</f>
        <v>14936427</v>
      </c>
      <c r="E16" s="127">
        <f>SUM(E17:E19)</f>
        <v>14340126</v>
      </c>
      <c r="F16" s="127">
        <f>SUM(F17:F19)</f>
        <v>14340126</v>
      </c>
      <c r="G16" s="127">
        <f t="shared" si="2"/>
        <v>1200000</v>
      </c>
      <c r="H16" s="127">
        <f>SUM(H17:H19)</f>
        <v>15540126</v>
      </c>
      <c r="I16" s="128">
        <v>15540126</v>
      </c>
      <c r="J16" s="129">
        <v>0</v>
      </c>
      <c r="K16" s="130">
        <v>0</v>
      </c>
      <c r="S16" s="314"/>
    </row>
    <row r="17" spans="1:19" s="171" customFormat="1" ht="21.75" customHeight="1" hidden="1">
      <c r="A17" s="125" t="s">
        <v>178</v>
      </c>
      <c r="B17" s="126" t="s">
        <v>179</v>
      </c>
      <c r="C17" s="127">
        <v>7800000</v>
      </c>
      <c r="D17" s="127">
        <v>7718359</v>
      </c>
      <c r="E17" s="127">
        <v>9600000</v>
      </c>
      <c r="F17" s="127">
        <v>9600000</v>
      </c>
      <c r="G17" s="127">
        <f t="shared" si="2"/>
        <v>0</v>
      </c>
      <c r="H17" s="385">
        <v>9600000</v>
      </c>
      <c r="I17" s="128">
        <v>9600000</v>
      </c>
      <c r="J17" s="129">
        <v>0</v>
      </c>
      <c r="K17" s="130">
        <v>0</v>
      </c>
      <c r="S17" s="315"/>
    </row>
    <row r="18" spans="1:19" s="171" customFormat="1" ht="28.5" customHeight="1" hidden="1">
      <c r="A18" s="125" t="s">
        <v>180</v>
      </c>
      <c r="B18" s="126" t="s">
        <v>181</v>
      </c>
      <c r="C18" s="127">
        <v>2140000</v>
      </c>
      <c r="D18" s="127">
        <v>5262863</v>
      </c>
      <c r="E18" s="127">
        <v>3080126</v>
      </c>
      <c r="F18" s="127">
        <v>3080126</v>
      </c>
      <c r="G18" s="127">
        <f t="shared" si="2"/>
        <v>1200000</v>
      </c>
      <c r="H18" s="385">
        <v>4280126</v>
      </c>
      <c r="I18" s="128">
        <v>3080126</v>
      </c>
      <c r="J18" s="129">
        <v>0</v>
      </c>
      <c r="K18" s="130">
        <v>0</v>
      </c>
      <c r="S18" s="316"/>
    </row>
    <row r="19" spans="1:19" s="171" customFormat="1" ht="21.75" customHeight="1" hidden="1">
      <c r="A19" s="125" t="s">
        <v>182</v>
      </c>
      <c r="B19" s="126" t="s">
        <v>183</v>
      </c>
      <c r="C19" s="127">
        <v>500000</v>
      </c>
      <c r="D19" s="127">
        <v>1955205</v>
      </c>
      <c r="E19" s="127">
        <v>1660000</v>
      </c>
      <c r="F19" s="127">
        <v>1660000</v>
      </c>
      <c r="G19" s="127">
        <f t="shared" si="2"/>
        <v>0</v>
      </c>
      <c r="H19" s="385">
        <v>1660000</v>
      </c>
      <c r="I19" s="128">
        <v>1660000</v>
      </c>
      <c r="J19" s="129">
        <v>0</v>
      </c>
      <c r="K19" s="130">
        <v>0</v>
      </c>
      <c r="S19" s="317"/>
    </row>
    <row r="20" spans="1:19" s="170" customFormat="1" ht="34.5" customHeight="1">
      <c r="A20" s="136" t="s">
        <v>184</v>
      </c>
      <c r="B20" s="172" t="s">
        <v>185</v>
      </c>
      <c r="C20" s="138">
        <v>11598180</v>
      </c>
      <c r="D20" s="138">
        <v>10533024</v>
      </c>
      <c r="E20" s="138">
        <v>10675480</v>
      </c>
      <c r="F20" s="138">
        <v>10675480</v>
      </c>
      <c r="G20" s="138">
        <f t="shared" si="2"/>
        <v>700000</v>
      </c>
      <c r="H20" s="388">
        <v>11375480</v>
      </c>
      <c r="I20" s="139">
        <v>11375480</v>
      </c>
      <c r="J20" s="141">
        <v>0</v>
      </c>
      <c r="K20" s="142">
        <v>0</v>
      </c>
      <c r="S20" s="315"/>
    </row>
    <row r="21" spans="1:19" s="170" customFormat="1" ht="21.75" customHeight="1">
      <c r="A21" s="136" t="s">
        <v>186</v>
      </c>
      <c r="B21" s="137" t="s">
        <v>187</v>
      </c>
      <c r="C21" s="159">
        <f aca="true" t="shared" si="3" ref="C21:K21">C22+C25+C28+C35+C36</f>
        <v>42555558</v>
      </c>
      <c r="D21" s="159">
        <f t="shared" si="3"/>
        <v>56666006</v>
      </c>
      <c r="E21" s="159">
        <f t="shared" si="3"/>
        <v>66524323</v>
      </c>
      <c r="F21" s="159">
        <f>F22+F25+F28+F35+F36</f>
        <v>67397106</v>
      </c>
      <c r="G21" s="159">
        <v>-80242</v>
      </c>
      <c r="H21" s="159">
        <f>H22+H25+H28+H35+H36</f>
        <v>67316864</v>
      </c>
      <c r="I21" s="139">
        <f t="shared" si="3"/>
        <v>66266864</v>
      </c>
      <c r="J21" s="139">
        <f t="shared" si="3"/>
        <v>1050000</v>
      </c>
      <c r="K21" s="140">
        <f t="shared" si="3"/>
        <v>0</v>
      </c>
      <c r="S21" s="315"/>
    </row>
    <row r="22" spans="1:19" s="171" customFormat="1" ht="21.75" customHeight="1">
      <c r="A22" s="125" t="s">
        <v>188</v>
      </c>
      <c r="B22" s="126" t="s">
        <v>189</v>
      </c>
      <c r="C22" s="127">
        <f aca="true" t="shared" si="4" ref="C22:H22">SUM(C23:C24)</f>
        <v>5516627</v>
      </c>
      <c r="D22" s="127">
        <f t="shared" si="4"/>
        <v>8042345</v>
      </c>
      <c r="E22" s="127">
        <f t="shared" si="4"/>
        <v>8335000</v>
      </c>
      <c r="F22" s="127">
        <f t="shared" si="4"/>
        <v>8335000</v>
      </c>
      <c r="G22" s="127">
        <f t="shared" si="4"/>
        <v>-148492</v>
      </c>
      <c r="H22" s="127">
        <f t="shared" si="4"/>
        <v>8186508</v>
      </c>
      <c r="I22" s="128">
        <v>8186508</v>
      </c>
      <c r="J22" s="129">
        <v>0</v>
      </c>
      <c r="K22" s="130">
        <v>0</v>
      </c>
      <c r="S22" s="318"/>
    </row>
    <row r="23" spans="1:11" s="171" customFormat="1" ht="21.75" customHeight="1" hidden="1">
      <c r="A23" s="125" t="s">
        <v>190</v>
      </c>
      <c r="B23" s="126" t="s">
        <v>191</v>
      </c>
      <c r="C23" s="127">
        <v>900000</v>
      </c>
      <c r="D23" s="127">
        <v>926459</v>
      </c>
      <c r="E23" s="127">
        <v>860000</v>
      </c>
      <c r="F23" s="127">
        <v>860000</v>
      </c>
      <c r="G23" s="127">
        <f>H23-F23</f>
        <v>0</v>
      </c>
      <c r="H23" s="385">
        <v>860000</v>
      </c>
      <c r="I23" s="128">
        <v>860000</v>
      </c>
      <c r="J23" s="129">
        <v>0</v>
      </c>
      <c r="K23" s="130">
        <v>0</v>
      </c>
    </row>
    <row r="24" spans="1:11" s="171" customFormat="1" ht="21.75" customHeight="1" hidden="1">
      <c r="A24" s="125" t="s">
        <v>192</v>
      </c>
      <c r="B24" s="126" t="s">
        <v>193</v>
      </c>
      <c r="C24" s="127">
        <v>4616627</v>
      </c>
      <c r="D24" s="127">
        <v>7115886</v>
      </c>
      <c r="E24" s="127">
        <v>7475000</v>
      </c>
      <c r="F24" s="127">
        <v>7475000</v>
      </c>
      <c r="G24" s="127">
        <f aca="true" t="shared" si="5" ref="G24:G35">H24-F24</f>
        <v>-148492</v>
      </c>
      <c r="H24" s="385">
        <v>7326508</v>
      </c>
      <c r="I24" s="128">
        <v>7475000</v>
      </c>
      <c r="J24" s="129">
        <v>0</v>
      </c>
      <c r="K24" s="130">
        <v>0</v>
      </c>
    </row>
    <row r="25" spans="1:11" s="171" customFormat="1" ht="21.75" customHeight="1">
      <c r="A25" s="125" t="s">
        <v>194</v>
      </c>
      <c r="B25" s="126" t="s">
        <v>195</v>
      </c>
      <c r="C25" s="127">
        <f aca="true" t="shared" si="6" ref="C25:H25">SUM(C26:C27)</f>
        <v>605000</v>
      </c>
      <c r="D25" s="127">
        <f t="shared" si="6"/>
        <v>771788</v>
      </c>
      <c r="E25" s="127">
        <f t="shared" si="6"/>
        <v>795000</v>
      </c>
      <c r="F25" s="127">
        <f t="shared" si="6"/>
        <v>795000</v>
      </c>
      <c r="G25" s="127">
        <f t="shared" si="6"/>
        <v>58650</v>
      </c>
      <c r="H25" s="127">
        <f t="shared" si="6"/>
        <v>853650</v>
      </c>
      <c r="I25" s="128">
        <v>853650</v>
      </c>
      <c r="J25" s="129">
        <v>0</v>
      </c>
      <c r="K25" s="130">
        <v>0</v>
      </c>
    </row>
    <row r="26" spans="1:11" s="171" customFormat="1" ht="21.75" customHeight="1" hidden="1">
      <c r="A26" s="125" t="s">
        <v>196</v>
      </c>
      <c r="B26" s="126" t="s">
        <v>197</v>
      </c>
      <c r="C26" s="127">
        <v>140000</v>
      </c>
      <c r="D26" s="127">
        <v>310670</v>
      </c>
      <c r="E26" s="127">
        <v>285000</v>
      </c>
      <c r="F26" s="127">
        <v>285000</v>
      </c>
      <c r="G26" s="127">
        <f t="shared" si="5"/>
        <v>58650</v>
      </c>
      <c r="H26" s="385">
        <v>343650</v>
      </c>
      <c r="I26" s="128">
        <v>285000</v>
      </c>
      <c r="J26" s="129">
        <v>0</v>
      </c>
      <c r="K26" s="130">
        <v>0</v>
      </c>
    </row>
    <row r="27" spans="1:11" s="171" customFormat="1" ht="21.75" customHeight="1" hidden="1">
      <c r="A27" s="125" t="s">
        <v>198</v>
      </c>
      <c r="B27" s="126" t="s">
        <v>199</v>
      </c>
      <c r="C27" s="127">
        <v>465000</v>
      </c>
      <c r="D27" s="127">
        <v>461118</v>
      </c>
      <c r="E27" s="127">
        <v>510000</v>
      </c>
      <c r="F27" s="127">
        <v>510000</v>
      </c>
      <c r="G27" s="127">
        <f t="shared" si="5"/>
        <v>0</v>
      </c>
      <c r="H27" s="385">
        <v>510000</v>
      </c>
      <c r="I27" s="128">
        <v>510000</v>
      </c>
      <c r="J27" s="129">
        <v>0</v>
      </c>
      <c r="K27" s="130">
        <v>0</v>
      </c>
    </row>
    <row r="28" spans="1:11" s="171" customFormat="1" ht="22.5" customHeight="1">
      <c r="A28" s="125" t="s">
        <v>200</v>
      </c>
      <c r="B28" s="126" t="s">
        <v>201</v>
      </c>
      <c r="C28" s="127">
        <f>SUM(C29:C34)</f>
        <v>26230331</v>
      </c>
      <c r="D28" s="127">
        <f>SUM(D29:D34)</f>
        <v>36766766</v>
      </c>
      <c r="E28" s="127">
        <f>SUM(E29:E34)</f>
        <v>43418329</v>
      </c>
      <c r="F28" s="127">
        <f>SUM(F29:F34)</f>
        <v>43218329</v>
      </c>
      <c r="G28" s="127">
        <v>9600</v>
      </c>
      <c r="H28" s="127">
        <f>SUM(H29:H34)</f>
        <v>43227929</v>
      </c>
      <c r="I28" s="128">
        <v>43227929</v>
      </c>
      <c r="J28" s="129">
        <v>0</v>
      </c>
      <c r="K28" s="130">
        <v>0</v>
      </c>
    </row>
    <row r="29" spans="1:11" s="171" customFormat="1" ht="21.75" customHeight="1">
      <c r="A29" s="125" t="s">
        <v>202</v>
      </c>
      <c r="B29" s="132" t="s">
        <v>203</v>
      </c>
      <c r="C29" s="127">
        <v>7575000</v>
      </c>
      <c r="D29" s="127">
        <v>6450406</v>
      </c>
      <c r="E29" s="127">
        <v>7130000</v>
      </c>
      <c r="F29" s="127">
        <v>7130000</v>
      </c>
      <c r="G29" s="127">
        <f t="shared" si="5"/>
        <v>0</v>
      </c>
      <c r="H29" s="385">
        <v>7130000</v>
      </c>
      <c r="I29" s="128">
        <v>7130000</v>
      </c>
      <c r="J29" s="129">
        <v>0</v>
      </c>
      <c r="K29" s="130">
        <v>0</v>
      </c>
    </row>
    <row r="30" spans="1:11" s="171" customFormat="1" ht="21.75" customHeight="1">
      <c r="A30" s="125" t="s">
        <v>204</v>
      </c>
      <c r="B30" s="132" t="s">
        <v>205</v>
      </c>
      <c r="C30" s="127">
        <v>430000</v>
      </c>
      <c r="D30" s="127">
        <v>448675</v>
      </c>
      <c r="E30" s="127">
        <v>400000</v>
      </c>
      <c r="F30" s="127">
        <v>400000</v>
      </c>
      <c r="G30" s="127">
        <f t="shared" si="5"/>
        <v>10000</v>
      </c>
      <c r="H30" s="385">
        <v>410000</v>
      </c>
      <c r="I30" s="128">
        <v>410000</v>
      </c>
      <c r="J30" s="129">
        <v>0</v>
      </c>
      <c r="K30" s="130">
        <v>0</v>
      </c>
    </row>
    <row r="31" spans="1:11" s="171" customFormat="1" ht="21.75" customHeight="1">
      <c r="A31" s="125" t="s">
        <v>206</v>
      </c>
      <c r="B31" s="126" t="s">
        <v>207</v>
      </c>
      <c r="C31" s="127">
        <v>1760000</v>
      </c>
      <c r="D31" s="127">
        <v>2523702</v>
      </c>
      <c r="E31" s="127">
        <v>1980000</v>
      </c>
      <c r="F31" s="127">
        <v>1980000</v>
      </c>
      <c r="G31" s="127">
        <f>H31-F31</f>
        <v>-400</v>
      </c>
      <c r="H31" s="385">
        <v>1979600</v>
      </c>
      <c r="I31" s="128">
        <v>1979600</v>
      </c>
      <c r="J31" s="129">
        <v>0</v>
      </c>
      <c r="K31" s="130">
        <v>0</v>
      </c>
    </row>
    <row r="32" spans="1:11" s="171" customFormat="1" ht="21.75" customHeight="1">
      <c r="A32" s="125" t="s">
        <v>208</v>
      </c>
      <c r="B32" s="126" t="s">
        <v>209</v>
      </c>
      <c r="C32" s="127">
        <v>705000</v>
      </c>
      <c r="D32" s="127">
        <v>571556</v>
      </c>
      <c r="E32" s="127">
        <v>705000</v>
      </c>
      <c r="F32" s="127">
        <v>705000</v>
      </c>
      <c r="G32" s="127">
        <f t="shared" si="5"/>
        <v>0</v>
      </c>
      <c r="H32" s="385">
        <v>705000</v>
      </c>
      <c r="I32" s="128">
        <v>705000</v>
      </c>
      <c r="J32" s="129">
        <v>0</v>
      </c>
      <c r="K32" s="130">
        <v>0</v>
      </c>
    </row>
    <row r="33" spans="1:11" s="171" customFormat="1" ht="21.75" customHeight="1">
      <c r="A33" s="125" t="s">
        <v>210</v>
      </c>
      <c r="B33" s="126" t="s">
        <v>211</v>
      </c>
      <c r="C33" s="127">
        <v>10020331</v>
      </c>
      <c r="D33" s="127">
        <v>19468393</v>
      </c>
      <c r="E33" s="127">
        <v>24983828</v>
      </c>
      <c r="F33" s="127">
        <v>24983828</v>
      </c>
      <c r="G33" s="127">
        <f t="shared" si="5"/>
        <v>0</v>
      </c>
      <c r="H33" s="385">
        <v>24983828</v>
      </c>
      <c r="I33" s="128">
        <v>24983828</v>
      </c>
      <c r="J33" s="129">
        <v>0</v>
      </c>
      <c r="K33" s="130">
        <v>0</v>
      </c>
    </row>
    <row r="34" spans="1:11" s="171" customFormat="1" ht="21.75" customHeight="1">
      <c r="A34" s="125" t="s">
        <v>212</v>
      </c>
      <c r="B34" s="126" t="s">
        <v>213</v>
      </c>
      <c r="C34" s="127">
        <v>5740000</v>
      </c>
      <c r="D34" s="127">
        <v>7304034</v>
      </c>
      <c r="E34" s="127">
        <v>8219501</v>
      </c>
      <c r="F34" s="127">
        <f>E34+G34</f>
        <v>8019501</v>
      </c>
      <c r="G34" s="127">
        <f t="shared" si="5"/>
        <v>0</v>
      </c>
      <c r="H34" s="385">
        <v>8019501</v>
      </c>
      <c r="I34" s="128">
        <f>F34</f>
        <v>8019501</v>
      </c>
      <c r="J34" s="129">
        <v>0</v>
      </c>
      <c r="K34" s="130">
        <v>0</v>
      </c>
    </row>
    <row r="35" spans="1:11" s="171" customFormat="1" ht="21.75" customHeight="1">
      <c r="A35" s="173" t="s">
        <v>214</v>
      </c>
      <c r="B35" s="174" t="s">
        <v>215</v>
      </c>
      <c r="C35" s="147">
        <v>500000</v>
      </c>
      <c r="D35" s="147">
        <v>676782</v>
      </c>
      <c r="E35" s="147">
        <v>500000</v>
      </c>
      <c r="F35" s="147">
        <v>500000</v>
      </c>
      <c r="G35" s="127">
        <f t="shared" si="5"/>
        <v>0</v>
      </c>
      <c r="H35" s="385">
        <v>500000</v>
      </c>
      <c r="I35" s="148">
        <v>500000</v>
      </c>
      <c r="J35" s="149">
        <v>0</v>
      </c>
      <c r="K35" s="150">
        <v>0</v>
      </c>
    </row>
    <row r="36" spans="1:11" s="171" customFormat="1" ht="21.75" customHeight="1">
      <c r="A36" s="125" t="s">
        <v>216</v>
      </c>
      <c r="B36" s="126" t="s">
        <v>217</v>
      </c>
      <c r="C36" s="127">
        <f aca="true" t="shared" si="7" ref="C36:K36">SUM(C37:C39)</f>
        <v>9703600</v>
      </c>
      <c r="D36" s="127">
        <f t="shared" si="7"/>
        <v>10408325</v>
      </c>
      <c r="E36" s="127">
        <f t="shared" si="7"/>
        <v>13475994</v>
      </c>
      <c r="F36" s="127">
        <f>SUM(F37:F39)</f>
        <v>14548777</v>
      </c>
      <c r="G36" s="127">
        <f>H36-F36</f>
        <v>0</v>
      </c>
      <c r="H36" s="385">
        <v>14548777</v>
      </c>
      <c r="I36" s="128">
        <v>13498777</v>
      </c>
      <c r="J36" s="128">
        <f t="shared" si="7"/>
        <v>1050000</v>
      </c>
      <c r="K36" s="175">
        <f t="shared" si="7"/>
        <v>0</v>
      </c>
    </row>
    <row r="37" spans="1:11" s="171" customFormat="1" ht="21.75" customHeight="1" hidden="1">
      <c r="A37" s="125" t="s">
        <v>218</v>
      </c>
      <c r="B37" s="126" t="s">
        <v>219</v>
      </c>
      <c r="C37" s="176">
        <v>7553600</v>
      </c>
      <c r="D37" s="176">
        <v>7627783</v>
      </c>
      <c r="E37" s="127">
        <v>11745994</v>
      </c>
      <c r="F37" s="127">
        <v>11713777</v>
      </c>
      <c r="G37" s="127">
        <v>0</v>
      </c>
      <c r="H37" s="385">
        <v>11713777</v>
      </c>
      <c r="I37" s="127">
        <f>F37</f>
        <v>11713777</v>
      </c>
      <c r="J37" s="127">
        <v>0</v>
      </c>
      <c r="K37" s="177">
        <v>0</v>
      </c>
    </row>
    <row r="38" spans="1:11" s="171" customFormat="1" ht="21.75" customHeight="1" hidden="1">
      <c r="A38" s="125" t="s">
        <v>220</v>
      </c>
      <c r="B38" s="126" t="s">
        <v>221</v>
      </c>
      <c r="C38" s="127">
        <v>100000</v>
      </c>
      <c r="D38" s="176">
        <v>750000</v>
      </c>
      <c r="E38" s="127">
        <v>0</v>
      </c>
      <c r="F38" s="127">
        <v>1055000</v>
      </c>
      <c r="G38" s="127">
        <v>0</v>
      </c>
      <c r="H38" s="385">
        <v>1055000</v>
      </c>
      <c r="I38" s="128">
        <f>F38</f>
        <v>1055000</v>
      </c>
      <c r="J38" s="129">
        <v>0</v>
      </c>
      <c r="K38" s="130">
        <v>0</v>
      </c>
    </row>
    <row r="39" spans="1:11" s="171" customFormat="1" ht="21.75" customHeight="1" hidden="1">
      <c r="A39" s="125" t="s">
        <v>222</v>
      </c>
      <c r="B39" s="126" t="s">
        <v>223</v>
      </c>
      <c r="C39" s="127">
        <v>2050000</v>
      </c>
      <c r="D39" s="176">
        <v>2030542</v>
      </c>
      <c r="E39" s="176">
        <v>1730000</v>
      </c>
      <c r="F39" s="127">
        <v>1780000</v>
      </c>
      <c r="G39" s="389" t="s">
        <v>355</v>
      </c>
      <c r="H39" s="385">
        <v>1780000</v>
      </c>
      <c r="I39" s="178">
        <f>F39-J39</f>
        <v>730000</v>
      </c>
      <c r="J39" s="179">
        <f>3*350000</f>
        <v>1050000</v>
      </c>
      <c r="K39" s="180"/>
    </row>
    <row r="40" spans="1:11" s="170" customFormat="1" ht="21" customHeight="1">
      <c r="A40" s="136" t="s">
        <v>224</v>
      </c>
      <c r="B40" s="137" t="s">
        <v>225</v>
      </c>
      <c r="C40" s="138">
        <f aca="true" t="shared" si="8" ref="C40:K40">SUM(C41:C42)</f>
        <v>6315000</v>
      </c>
      <c r="D40" s="138">
        <f t="shared" si="8"/>
        <v>4217690</v>
      </c>
      <c r="E40" s="138">
        <f t="shared" si="8"/>
        <v>5275000</v>
      </c>
      <c r="F40" s="138">
        <f>SUM(F41:F42)</f>
        <v>5275000</v>
      </c>
      <c r="G40" s="138">
        <f>SUM(G41:G42)</f>
        <v>0</v>
      </c>
      <c r="H40" s="138">
        <f>SUM(H41:H42)</f>
        <v>5275000</v>
      </c>
      <c r="I40" s="139">
        <f t="shared" si="8"/>
        <v>5275000</v>
      </c>
      <c r="J40" s="141">
        <f t="shared" si="8"/>
        <v>0</v>
      </c>
      <c r="K40" s="142">
        <f t="shared" si="8"/>
        <v>0</v>
      </c>
    </row>
    <row r="41" spans="1:11" s="170" customFormat="1" ht="21.75" customHeight="1">
      <c r="A41" s="125" t="s">
        <v>226</v>
      </c>
      <c r="B41" s="126" t="s">
        <v>227</v>
      </c>
      <c r="C41" s="127">
        <v>315000</v>
      </c>
      <c r="D41" s="127">
        <v>272500</v>
      </c>
      <c r="E41" s="127">
        <v>275000</v>
      </c>
      <c r="F41" s="127">
        <v>275000</v>
      </c>
      <c r="G41" s="127">
        <v>0</v>
      </c>
      <c r="H41" s="386">
        <v>275000</v>
      </c>
      <c r="I41" s="128">
        <v>275000</v>
      </c>
      <c r="J41" s="129">
        <v>0</v>
      </c>
      <c r="K41" s="130">
        <v>0</v>
      </c>
    </row>
    <row r="42" spans="1:11" s="170" customFormat="1" ht="24" customHeight="1">
      <c r="A42" s="125" t="s">
        <v>228</v>
      </c>
      <c r="B42" s="126" t="s">
        <v>229</v>
      </c>
      <c r="C42" s="127">
        <v>6000000</v>
      </c>
      <c r="D42" s="127">
        <v>3945190</v>
      </c>
      <c r="E42" s="127">
        <v>5000000</v>
      </c>
      <c r="F42" s="127">
        <v>5000000</v>
      </c>
      <c r="G42" s="127">
        <v>0</v>
      </c>
      <c r="H42" s="386">
        <v>5000000</v>
      </c>
      <c r="I42" s="128">
        <v>5000000</v>
      </c>
      <c r="J42" s="129">
        <v>0</v>
      </c>
      <c r="K42" s="130">
        <v>0</v>
      </c>
    </row>
    <row r="43" spans="1:11" s="170" customFormat="1" ht="21.75" customHeight="1">
      <c r="A43" s="136" t="s">
        <v>230</v>
      </c>
      <c r="B43" s="137" t="s">
        <v>231</v>
      </c>
      <c r="C43" s="159">
        <f aca="true" t="shared" si="9" ref="C43:K43">SUM(C44:C49)</f>
        <v>110559819</v>
      </c>
      <c r="D43" s="159">
        <f t="shared" si="9"/>
        <v>59553893</v>
      </c>
      <c r="E43" s="159">
        <f t="shared" si="9"/>
        <v>62271254</v>
      </c>
      <c r="F43" s="159">
        <f>SUM(F44:F49)</f>
        <v>62229772</v>
      </c>
      <c r="G43" s="159">
        <f>SUM(G44:G49)</f>
        <v>870242</v>
      </c>
      <c r="H43" s="159">
        <f>SUM(H44:H49)</f>
        <v>62231213</v>
      </c>
      <c r="I43" s="139">
        <f t="shared" si="9"/>
        <v>58211213</v>
      </c>
      <c r="J43" s="141">
        <f t="shared" si="9"/>
        <v>4020000</v>
      </c>
      <c r="K43" s="142">
        <f t="shared" si="9"/>
        <v>0</v>
      </c>
    </row>
    <row r="44" spans="1:11" s="170" customFormat="1" ht="26.25" customHeight="1">
      <c r="A44" s="125" t="s">
        <v>232</v>
      </c>
      <c r="B44" s="126" t="s">
        <v>233</v>
      </c>
      <c r="C44" s="127">
        <v>433401</v>
      </c>
      <c r="D44" s="127">
        <v>433401</v>
      </c>
      <c r="E44" s="127">
        <v>1281825</v>
      </c>
      <c r="F44" s="127">
        <v>1456592</v>
      </c>
      <c r="G44" s="127">
        <f>H44-F44</f>
        <v>1041</v>
      </c>
      <c r="H44" s="386">
        <v>1457633</v>
      </c>
      <c r="I44" s="128">
        <v>1457633</v>
      </c>
      <c r="J44" s="129">
        <v>0</v>
      </c>
      <c r="K44" s="130">
        <v>0</v>
      </c>
    </row>
    <row r="45" spans="1:11" s="170" customFormat="1" ht="26.25" customHeight="1">
      <c r="A45" s="125" t="s">
        <v>356</v>
      </c>
      <c r="B45" s="126" t="s">
        <v>357</v>
      </c>
      <c r="C45" s="127"/>
      <c r="D45" s="127"/>
      <c r="E45" s="127">
        <v>0</v>
      </c>
      <c r="F45" s="127">
        <v>0</v>
      </c>
      <c r="G45" s="127">
        <v>400</v>
      </c>
      <c r="H45" s="386">
        <v>400</v>
      </c>
      <c r="I45" s="128">
        <v>400</v>
      </c>
      <c r="J45" s="129"/>
      <c r="K45" s="130"/>
    </row>
    <row r="46" spans="1:11" s="170" customFormat="1" ht="21.75" customHeight="1">
      <c r="A46" s="125" t="s">
        <v>234</v>
      </c>
      <c r="B46" s="126" t="s">
        <v>235</v>
      </c>
      <c r="C46" s="127">
        <v>47503395</v>
      </c>
      <c r="D46" s="127">
        <v>50584554</v>
      </c>
      <c r="E46" s="127">
        <v>47492866</v>
      </c>
      <c r="F46" s="127">
        <f>E46+G46</f>
        <v>48361667</v>
      </c>
      <c r="G46" s="127">
        <v>868801</v>
      </c>
      <c r="H46" s="386">
        <v>48361667</v>
      </c>
      <c r="I46" s="128">
        <v>48161667</v>
      </c>
      <c r="J46" s="129">
        <v>200000</v>
      </c>
      <c r="K46" s="130">
        <v>0</v>
      </c>
    </row>
    <row r="47" spans="1:11" s="170" customFormat="1" ht="30.75" customHeight="1">
      <c r="A47" s="125" t="s">
        <v>236</v>
      </c>
      <c r="B47" s="126" t="s">
        <v>237</v>
      </c>
      <c r="C47" s="127">
        <v>50000</v>
      </c>
      <c r="D47" s="127">
        <v>100000</v>
      </c>
      <c r="E47" s="127">
        <v>50000</v>
      </c>
      <c r="F47" s="127">
        <v>100000</v>
      </c>
      <c r="G47" s="127">
        <f>H47-F47</f>
        <v>0</v>
      </c>
      <c r="H47" s="386">
        <v>100000</v>
      </c>
      <c r="I47" s="128">
        <f>F47-J47</f>
        <v>100000</v>
      </c>
      <c r="J47" s="129">
        <v>0</v>
      </c>
      <c r="K47" s="130">
        <v>0</v>
      </c>
    </row>
    <row r="48" spans="1:11" s="170" customFormat="1" ht="21.75" customHeight="1">
      <c r="A48" s="125" t="s">
        <v>238</v>
      </c>
      <c r="B48" s="126" t="s">
        <v>239</v>
      </c>
      <c r="C48" s="127">
        <v>4693429</v>
      </c>
      <c r="D48" s="127">
        <v>8435938</v>
      </c>
      <c r="E48" s="127">
        <v>3870580</v>
      </c>
      <c r="F48" s="127">
        <f>E48+G48</f>
        <v>3870580</v>
      </c>
      <c r="G48" s="127">
        <v>0</v>
      </c>
      <c r="H48" s="386">
        <v>3870580</v>
      </c>
      <c r="I48" s="128">
        <f>F48-J48</f>
        <v>50580</v>
      </c>
      <c r="J48" s="129">
        <f>420000+3400000</f>
        <v>3820000</v>
      </c>
      <c r="K48" s="130">
        <v>0</v>
      </c>
    </row>
    <row r="49" spans="1:11" s="170" customFormat="1" ht="21.75" customHeight="1">
      <c r="A49" s="125" t="s">
        <v>240</v>
      </c>
      <c r="B49" s="126" t="s">
        <v>241</v>
      </c>
      <c r="C49" s="127">
        <v>57879594</v>
      </c>
      <c r="D49" s="127">
        <v>0</v>
      </c>
      <c r="E49" s="127">
        <v>9575983</v>
      </c>
      <c r="F49" s="127">
        <v>8440933</v>
      </c>
      <c r="G49" s="127">
        <f>H49-F49</f>
        <v>0</v>
      </c>
      <c r="H49" s="386">
        <v>8440933</v>
      </c>
      <c r="I49" s="128">
        <f>F49-J49</f>
        <v>8440933</v>
      </c>
      <c r="J49" s="129">
        <v>0</v>
      </c>
      <c r="K49" s="130">
        <v>0</v>
      </c>
    </row>
    <row r="50" spans="1:11" s="170" customFormat="1" ht="21.75" customHeight="1">
      <c r="A50" s="136" t="s">
        <v>242</v>
      </c>
      <c r="B50" s="137" t="s">
        <v>243</v>
      </c>
      <c r="C50" s="159">
        <f aca="true" t="shared" si="10" ref="C50:I50">SUM(C51:C54)</f>
        <v>38100000</v>
      </c>
      <c r="D50" s="159">
        <f t="shared" si="10"/>
        <v>39058972</v>
      </c>
      <c r="E50" s="159">
        <f t="shared" si="10"/>
        <v>4350000</v>
      </c>
      <c r="F50" s="159">
        <f>SUM(F51:F54)</f>
        <v>4588500</v>
      </c>
      <c r="G50" s="159">
        <f>SUM(G51:G54)</f>
        <v>0</v>
      </c>
      <c r="H50" s="159">
        <f>SUM(H51:H54)</f>
        <v>4588500</v>
      </c>
      <c r="I50" s="139">
        <f t="shared" si="10"/>
        <v>4588500</v>
      </c>
      <c r="J50" s="141">
        <v>0</v>
      </c>
      <c r="K50" s="142">
        <v>0</v>
      </c>
    </row>
    <row r="51" spans="1:11" s="170" customFormat="1" ht="21.75" customHeight="1" hidden="1">
      <c r="A51" s="125" t="s">
        <v>244</v>
      </c>
      <c r="B51" s="126" t="s">
        <v>245</v>
      </c>
      <c r="C51" s="127">
        <v>27559055</v>
      </c>
      <c r="D51" s="127">
        <v>7628620</v>
      </c>
      <c r="E51" s="127">
        <v>0</v>
      </c>
      <c r="F51" s="127">
        <f>E51+G51</f>
        <v>200000</v>
      </c>
      <c r="G51" s="127">
        <f>H51-F51</f>
        <v>0</v>
      </c>
      <c r="H51" s="386">
        <v>200000</v>
      </c>
      <c r="I51" s="128">
        <f>F51</f>
        <v>200000</v>
      </c>
      <c r="J51" s="129">
        <v>0</v>
      </c>
      <c r="K51" s="130">
        <v>0</v>
      </c>
    </row>
    <row r="52" spans="1:11" s="170" customFormat="1" ht="21.75" customHeight="1" hidden="1">
      <c r="A52" s="125" t="s">
        <v>353</v>
      </c>
      <c r="B52" s="126" t="s">
        <v>354</v>
      </c>
      <c r="C52" s="147"/>
      <c r="D52" s="147"/>
      <c r="E52" s="147">
        <v>0</v>
      </c>
      <c r="F52" s="127">
        <v>0</v>
      </c>
      <c r="G52" s="147">
        <v>150000</v>
      </c>
      <c r="H52" s="386">
        <v>150000</v>
      </c>
      <c r="I52" s="128">
        <v>150000</v>
      </c>
      <c r="J52" s="149"/>
      <c r="K52" s="150"/>
    </row>
    <row r="53" spans="1:11" s="171" customFormat="1" ht="21.75" customHeight="1" hidden="1">
      <c r="A53" s="125" t="s">
        <v>246</v>
      </c>
      <c r="B53" s="126" t="s">
        <v>247</v>
      </c>
      <c r="C53" s="147">
        <v>2441180</v>
      </c>
      <c r="D53" s="147">
        <v>23882615</v>
      </c>
      <c r="E53" s="147">
        <v>3427953</v>
      </c>
      <c r="F53" s="127">
        <f>E53+G53</f>
        <v>3277953</v>
      </c>
      <c r="G53" s="147">
        <v>-150000</v>
      </c>
      <c r="H53" s="385">
        <v>3277953</v>
      </c>
      <c r="I53" s="128">
        <f>F53</f>
        <v>3277953</v>
      </c>
      <c r="J53" s="149">
        <v>0</v>
      </c>
      <c r="K53" s="150">
        <v>0</v>
      </c>
    </row>
    <row r="54" spans="1:11" s="170" customFormat="1" ht="21.75" customHeight="1" hidden="1">
      <c r="A54" s="125" t="s">
        <v>248</v>
      </c>
      <c r="B54" s="126" t="s">
        <v>249</v>
      </c>
      <c r="C54" s="127">
        <v>8099765</v>
      </c>
      <c r="D54" s="127">
        <v>7547737</v>
      </c>
      <c r="E54" s="127">
        <v>922047</v>
      </c>
      <c r="F54" s="127">
        <v>960547</v>
      </c>
      <c r="G54" s="127">
        <v>0</v>
      </c>
      <c r="H54" s="386">
        <v>960547</v>
      </c>
      <c r="I54" s="128">
        <f>F54</f>
        <v>960547</v>
      </c>
      <c r="J54" s="129">
        <v>0</v>
      </c>
      <c r="K54" s="130">
        <v>0</v>
      </c>
    </row>
    <row r="55" spans="1:11" s="170" customFormat="1" ht="21.75" customHeight="1">
      <c r="A55" s="136" t="s">
        <v>250</v>
      </c>
      <c r="B55" s="137" t="s">
        <v>251</v>
      </c>
      <c r="C55" s="159">
        <f aca="true" t="shared" si="11" ref="C55:H55">SUM(C56:C57)</f>
        <v>95154097</v>
      </c>
      <c r="D55" s="159">
        <f t="shared" si="11"/>
        <v>5628763</v>
      </c>
      <c r="E55" s="159">
        <f t="shared" si="11"/>
        <v>209473000</v>
      </c>
      <c r="F55" s="159">
        <f t="shared" si="11"/>
        <v>209473000</v>
      </c>
      <c r="G55" s="159">
        <f t="shared" si="11"/>
        <v>-5540000</v>
      </c>
      <c r="H55" s="388">
        <f t="shared" si="11"/>
        <v>203933000</v>
      </c>
      <c r="I55" s="139">
        <v>203933000</v>
      </c>
      <c r="J55" s="141">
        <v>0</v>
      </c>
      <c r="K55" s="142">
        <v>0</v>
      </c>
    </row>
    <row r="56" spans="1:11" s="170" customFormat="1" ht="21.75" customHeight="1" hidden="1">
      <c r="A56" s="125" t="s">
        <v>252</v>
      </c>
      <c r="B56" s="126" t="s">
        <v>253</v>
      </c>
      <c r="C56" s="127">
        <v>74924194</v>
      </c>
      <c r="D56" s="127">
        <v>4523698</v>
      </c>
      <c r="E56" s="127">
        <v>164939370</v>
      </c>
      <c r="F56" s="127">
        <v>164939370</v>
      </c>
      <c r="G56" s="127">
        <f>H56-F56</f>
        <v>-4362205</v>
      </c>
      <c r="H56" s="388">
        <v>160577165</v>
      </c>
      <c r="I56" s="128">
        <v>164939370</v>
      </c>
      <c r="J56" s="129">
        <v>0</v>
      </c>
      <c r="K56" s="130">
        <v>0</v>
      </c>
    </row>
    <row r="57" spans="1:11" s="170" customFormat="1" ht="21.75" customHeight="1" hidden="1">
      <c r="A57" s="125" t="s">
        <v>254</v>
      </c>
      <c r="B57" s="126" t="s">
        <v>255</v>
      </c>
      <c r="C57" s="127">
        <v>20229903</v>
      </c>
      <c r="D57" s="127">
        <v>1105065</v>
      </c>
      <c r="E57" s="127">
        <v>44533630</v>
      </c>
      <c r="F57" s="127">
        <v>44533630</v>
      </c>
      <c r="G57" s="127">
        <f>H57-F57</f>
        <v>-1177795</v>
      </c>
      <c r="H57" s="388">
        <v>43355835</v>
      </c>
      <c r="I57" s="128">
        <v>44533630</v>
      </c>
      <c r="J57" s="129">
        <v>0</v>
      </c>
      <c r="K57" s="130">
        <v>0</v>
      </c>
    </row>
    <row r="58" spans="1:11" s="170" customFormat="1" ht="21.75" customHeight="1">
      <c r="A58" s="136" t="s">
        <v>256</v>
      </c>
      <c r="B58" s="137" t="s">
        <v>257</v>
      </c>
      <c r="C58" s="138">
        <f>C59</f>
        <v>550000</v>
      </c>
      <c r="D58" s="138">
        <f>D59</f>
        <v>39131351</v>
      </c>
      <c r="E58" s="138">
        <f>E59</f>
        <v>500000</v>
      </c>
      <c r="F58" s="138">
        <f>F59</f>
        <v>500000</v>
      </c>
      <c r="G58" s="138">
        <f>G59</f>
        <v>0</v>
      </c>
      <c r="H58" s="388">
        <v>500000</v>
      </c>
      <c r="I58" s="139">
        <f>E58-J58</f>
        <v>500000</v>
      </c>
      <c r="J58" s="141">
        <v>0</v>
      </c>
      <c r="K58" s="142">
        <v>0</v>
      </c>
    </row>
    <row r="59" spans="1:11" s="170" customFormat="1" ht="21.75" customHeight="1" hidden="1">
      <c r="A59" s="125" t="s">
        <v>258</v>
      </c>
      <c r="B59" s="126" t="s">
        <v>259</v>
      </c>
      <c r="C59" s="127">
        <v>550000</v>
      </c>
      <c r="D59" s="127">
        <v>39131351</v>
      </c>
      <c r="E59" s="127">
        <v>500000</v>
      </c>
      <c r="F59" s="127">
        <v>500000</v>
      </c>
      <c r="G59" s="127">
        <v>0</v>
      </c>
      <c r="H59" s="386"/>
      <c r="I59" s="128">
        <v>500000</v>
      </c>
      <c r="J59" s="129">
        <v>0</v>
      </c>
      <c r="K59" s="130">
        <v>0</v>
      </c>
    </row>
    <row r="60" spans="1:11" s="184" customFormat="1" ht="36" customHeight="1">
      <c r="A60" s="181" t="s">
        <v>260</v>
      </c>
      <c r="B60" s="182" t="s">
        <v>261</v>
      </c>
      <c r="C60" s="183">
        <f aca="true" t="shared" si="12" ref="C60:K60">C9+C20+C21+C40+C43+C50+C55+C58</f>
        <v>352038690</v>
      </c>
      <c r="D60" s="183">
        <f t="shared" si="12"/>
        <v>267698368</v>
      </c>
      <c r="E60" s="183">
        <f t="shared" si="12"/>
        <v>415939283</v>
      </c>
      <c r="F60" s="183">
        <f>F9+F20+F21+F40+F43+F50+F55+F58</f>
        <v>416140283</v>
      </c>
      <c r="G60" s="183">
        <f>G9+G20+G21+G43+G55</f>
        <v>-980951</v>
      </c>
      <c r="H60" s="183">
        <f>H9+H20+H21+H40+H43+H50+H55+H58</f>
        <v>415159332</v>
      </c>
      <c r="I60" s="139">
        <v>410089332</v>
      </c>
      <c r="J60" s="141">
        <f t="shared" si="12"/>
        <v>5070000</v>
      </c>
      <c r="K60" s="142">
        <f t="shared" si="12"/>
        <v>0</v>
      </c>
    </row>
    <row r="61" spans="1:11" s="171" customFormat="1" ht="21.75" customHeight="1">
      <c r="A61" s="181" t="s">
        <v>262</v>
      </c>
      <c r="B61" s="182" t="s">
        <v>263</v>
      </c>
      <c r="C61" s="159">
        <f aca="true" t="shared" si="13" ref="C61:K61">SUM(C62:C64)</f>
        <v>77576158</v>
      </c>
      <c r="D61" s="159">
        <f t="shared" si="13"/>
        <v>76950071</v>
      </c>
      <c r="E61" s="159">
        <f t="shared" si="13"/>
        <v>108909755</v>
      </c>
      <c r="F61" s="159">
        <f>SUM(F62:F64)</f>
        <v>109201821</v>
      </c>
      <c r="G61" s="159">
        <f t="shared" si="13"/>
        <v>1452000</v>
      </c>
      <c r="H61" s="159">
        <f>SUM(H62:H64)</f>
        <v>110653821</v>
      </c>
      <c r="I61" s="139">
        <f>SUM(I62:I64)</f>
        <v>110653821</v>
      </c>
      <c r="J61" s="141">
        <f t="shared" si="13"/>
        <v>0</v>
      </c>
      <c r="K61" s="142">
        <f t="shared" si="13"/>
        <v>0</v>
      </c>
    </row>
    <row r="62" spans="1:11" s="171" customFormat="1" ht="21.75" customHeight="1">
      <c r="A62" s="125" t="s">
        <v>264</v>
      </c>
      <c r="B62" s="126" t="s">
        <v>265</v>
      </c>
      <c r="C62" s="127">
        <v>0</v>
      </c>
      <c r="D62" s="127">
        <v>0</v>
      </c>
      <c r="E62" s="127">
        <v>25000000</v>
      </c>
      <c r="F62" s="127">
        <v>25000000</v>
      </c>
      <c r="G62" s="127">
        <v>0</v>
      </c>
      <c r="H62" s="385">
        <v>25000000</v>
      </c>
      <c r="I62" s="128">
        <f>F62</f>
        <v>25000000</v>
      </c>
      <c r="J62" s="129">
        <v>0</v>
      </c>
      <c r="K62" s="130">
        <v>0</v>
      </c>
    </row>
    <row r="63" spans="1:11" s="171" customFormat="1" ht="21.75" customHeight="1">
      <c r="A63" s="125" t="s">
        <v>266</v>
      </c>
      <c r="B63" s="126" t="s">
        <v>267</v>
      </c>
      <c r="C63" s="127">
        <v>4276181</v>
      </c>
      <c r="D63" s="127">
        <v>4276181</v>
      </c>
      <c r="E63" s="127">
        <v>4488745</v>
      </c>
      <c r="F63" s="127">
        <v>4780811</v>
      </c>
      <c r="G63" s="127">
        <v>0</v>
      </c>
      <c r="H63" s="385">
        <v>4780811</v>
      </c>
      <c r="I63" s="128">
        <f>F63</f>
        <v>4780811</v>
      </c>
      <c r="J63" s="129">
        <v>0</v>
      </c>
      <c r="K63" s="130">
        <v>0</v>
      </c>
    </row>
    <row r="64" spans="1:11" s="184" customFormat="1" ht="30.75" customHeight="1">
      <c r="A64" s="125" t="s">
        <v>268</v>
      </c>
      <c r="B64" s="126" t="s">
        <v>269</v>
      </c>
      <c r="C64" s="127">
        <v>73299977</v>
      </c>
      <c r="D64" s="127">
        <v>72673890</v>
      </c>
      <c r="E64" s="127">
        <v>79421010</v>
      </c>
      <c r="F64" s="127">
        <v>79421010</v>
      </c>
      <c r="G64" s="127">
        <f>H64-F64</f>
        <v>1452000</v>
      </c>
      <c r="H64" s="387">
        <v>80873010</v>
      </c>
      <c r="I64" s="128">
        <v>80873010</v>
      </c>
      <c r="J64" s="129">
        <v>0</v>
      </c>
      <c r="K64" s="130">
        <v>0</v>
      </c>
    </row>
    <row r="65" spans="1:13" ht="30" thickBot="1">
      <c r="A65" s="185" t="s">
        <v>270</v>
      </c>
      <c r="B65" s="186" t="s">
        <v>271</v>
      </c>
      <c r="C65" s="187">
        <f aca="true" t="shared" si="14" ref="C65:K65">C60+C61</f>
        <v>429614848</v>
      </c>
      <c r="D65" s="187">
        <f t="shared" si="14"/>
        <v>344648439</v>
      </c>
      <c r="E65" s="187">
        <f t="shared" si="14"/>
        <v>524849038</v>
      </c>
      <c r="F65" s="187">
        <f>F60+F61</f>
        <v>525342104</v>
      </c>
      <c r="G65" s="187">
        <f>G60+G61</f>
        <v>471049</v>
      </c>
      <c r="H65" s="187">
        <f>H60+H61</f>
        <v>525813153</v>
      </c>
      <c r="I65" s="187">
        <v>520743153</v>
      </c>
      <c r="J65" s="165">
        <f t="shared" si="14"/>
        <v>5070000</v>
      </c>
      <c r="K65" s="166">
        <f t="shared" si="14"/>
        <v>0</v>
      </c>
      <c r="M65" s="188"/>
    </row>
    <row r="66" spans="1:2" ht="15" thickTop="1">
      <c r="A66" s="189"/>
      <c r="B66" s="189"/>
    </row>
  </sheetData>
  <sheetProtection/>
  <mergeCells count="15">
    <mergeCell ref="A5:B5"/>
    <mergeCell ref="D5:E5"/>
    <mergeCell ref="A4:B4"/>
    <mergeCell ref="G6:G7"/>
    <mergeCell ref="A6:A7"/>
    <mergeCell ref="A1:K1"/>
    <mergeCell ref="A2:K2"/>
    <mergeCell ref="I6:K6"/>
    <mergeCell ref="J5:K5"/>
    <mergeCell ref="C6:C7"/>
    <mergeCell ref="D6:D7"/>
    <mergeCell ref="E6:E7"/>
    <mergeCell ref="B6:B7"/>
    <mergeCell ref="D4:E4"/>
    <mergeCell ref="H6:H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7" sqref="A7:B7"/>
    </sheetView>
  </sheetViews>
  <sheetFormatPr defaultColWidth="9.140625" defaultRowHeight="15"/>
  <cols>
    <col min="1" max="1" width="9.140625" style="191" customWidth="1"/>
    <col min="2" max="2" width="46.28125" style="191" customWidth="1"/>
    <col min="3" max="5" width="15.28125" style="191" customWidth="1"/>
    <col min="6" max="6" width="13.8515625" style="191" customWidth="1"/>
    <col min="7" max="7" width="12.8515625" style="191" customWidth="1"/>
    <col min="8" max="8" width="12.421875" style="191" customWidth="1"/>
    <col min="9" max="16384" width="9.140625" style="102" customWidth="1"/>
  </cols>
  <sheetData>
    <row r="1" spans="1:6" ht="12.75">
      <c r="A1" s="190"/>
      <c r="B1" s="190"/>
      <c r="C1" s="190"/>
      <c r="D1" s="190"/>
      <c r="F1" s="190"/>
    </row>
    <row r="2" spans="1:8" s="103" customFormat="1" ht="12.75" customHeight="1">
      <c r="A2" s="822" t="s">
        <v>275</v>
      </c>
      <c r="B2" s="822"/>
      <c r="C2" s="822"/>
      <c r="D2" s="822"/>
      <c r="E2" s="822"/>
      <c r="F2" s="822"/>
      <c r="G2" s="822"/>
      <c r="H2" s="822"/>
    </row>
    <row r="3" spans="1:8" s="103" customFormat="1" ht="12.75" customHeight="1">
      <c r="A3" s="822"/>
      <c r="B3" s="822"/>
      <c r="C3" s="822"/>
      <c r="D3" s="822"/>
      <c r="E3" s="822"/>
      <c r="F3" s="822"/>
      <c r="G3" s="822"/>
      <c r="H3" s="822"/>
    </row>
    <row r="4" spans="1:8" s="103" customFormat="1" ht="20.25">
      <c r="A4" s="822" t="s">
        <v>76</v>
      </c>
      <c r="B4" s="822"/>
      <c r="C4" s="822"/>
      <c r="D4" s="822"/>
      <c r="E4" s="822"/>
      <c r="F4" s="822"/>
      <c r="G4" s="822"/>
      <c r="H4" s="822"/>
    </row>
    <row r="5" spans="1:8" s="103" customFormat="1" ht="20.25">
      <c r="A5" s="192"/>
      <c r="B5" s="192"/>
      <c r="C5" s="192"/>
      <c r="D5" s="192"/>
      <c r="E5" s="192"/>
      <c r="F5" s="192"/>
      <c r="G5" s="192"/>
      <c r="H5" s="192"/>
    </row>
    <row r="6" spans="1:8" ht="20.25">
      <c r="A6" s="801" t="s">
        <v>622</v>
      </c>
      <c r="B6" s="801"/>
      <c r="C6" s="193"/>
      <c r="D6" s="193"/>
      <c r="E6" s="194"/>
      <c r="F6" s="193"/>
      <c r="G6" s="194"/>
      <c r="H6" s="195"/>
    </row>
    <row r="7" spans="1:8" ht="21" customHeight="1" thickBot="1">
      <c r="A7" s="801" t="s">
        <v>276</v>
      </c>
      <c r="B7" s="801"/>
      <c r="C7" s="196"/>
      <c r="D7" s="196"/>
      <c r="E7" s="197"/>
      <c r="F7" s="196"/>
      <c r="G7" s="830" t="s">
        <v>3</v>
      </c>
      <c r="H7" s="830"/>
    </row>
    <row r="8" spans="1:8" ht="19.5" customHeight="1">
      <c r="A8" s="825" t="s">
        <v>78</v>
      </c>
      <c r="B8" s="823" t="s">
        <v>277</v>
      </c>
      <c r="C8" s="823" t="s">
        <v>304</v>
      </c>
      <c r="D8" s="827" t="s">
        <v>305</v>
      </c>
      <c r="E8" s="823" t="s">
        <v>274</v>
      </c>
      <c r="F8" s="823" t="s">
        <v>278</v>
      </c>
      <c r="G8" s="823"/>
      <c r="H8" s="824"/>
    </row>
    <row r="9" spans="1:8" ht="45" customHeight="1" thickBot="1">
      <c r="A9" s="826"/>
      <c r="B9" s="829"/>
      <c r="C9" s="829"/>
      <c r="D9" s="828"/>
      <c r="E9" s="829"/>
      <c r="F9" s="198" t="s">
        <v>82</v>
      </c>
      <c r="G9" s="198" t="s">
        <v>83</v>
      </c>
      <c r="H9" s="199" t="s">
        <v>84</v>
      </c>
    </row>
    <row r="10" spans="1:8" ht="15" customHeight="1">
      <c r="A10" s="200" t="s">
        <v>11</v>
      </c>
      <c r="B10" s="201" t="s">
        <v>24</v>
      </c>
      <c r="C10" s="201" t="s">
        <v>33</v>
      </c>
      <c r="D10" s="201" t="s">
        <v>86</v>
      </c>
      <c r="E10" s="201" t="s">
        <v>87</v>
      </c>
      <c r="F10" s="202" t="s">
        <v>88</v>
      </c>
      <c r="G10" s="201" t="s">
        <v>89</v>
      </c>
      <c r="H10" s="203" t="s">
        <v>358</v>
      </c>
    </row>
    <row r="11" spans="1:8" ht="15" customHeight="1">
      <c r="A11" s="204" t="s">
        <v>90</v>
      </c>
      <c r="B11" s="205" t="s">
        <v>279</v>
      </c>
      <c r="C11" s="206">
        <f>C12</f>
        <v>12223327</v>
      </c>
      <c r="D11" s="206">
        <f>D12</f>
        <v>3903221</v>
      </c>
      <c r="E11" s="206">
        <f>E12</f>
        <v>16126548</v>
      </c>
      <c r="F11" s="206">
        <f>F12</f>
        <v>16126548</v>
      </c>
      <c r="G11" s="206">
        <v>0</v>
      </c>
      <c r="H11" s="207">
        <v>0</v>
      </c>
    </row>
    <row r="12" spans="1:8" ht="15" customHeight="1">
      <c r="A12" s="208" t="s">
        <v>104</v>
      </c>
      <c r="B12" s="209" t="s">
        <v>280</v>
      </c>
      <c r="C12" s="210">
        <v>12223327</v>
      </c>
      <c r="D12" s="210">
        <f>E12-C12</f>
        <v>3903221</v>
      </c>
      <c r="E12" s="210">
        <v>16126548</v>
      </c>
      <c r="F12" s="210">
        <f>E12</f>
        <v>16126548</v>
      </c>
      <c r="G12" s="210">
        <v>0</v>
      </c>
      <c r="H12" s="211">
        <v>0</v>
      </c>
    </row>
    <row r="13" spans="1:8" ht="15" customHeight="1">
      <c r="A13" s="204" t="s">
        <v>120</v>
      </c>
      <c r="B13" s="205" t="s">
        <v>121</v>
      </c>
      <c r="C13" s="206">
        <f>SUM(C14:C19)</f>
        <v>19081000</v>
      </c>
      <c r="D13" s="212">
        <f>SUM(D14:D19)</f>
        <v>0</v>
      </c>
      <c r="E13" s="212">
        <f>SUM(E14:E19)</f>
        <v>19081000</v>
      </c>
      <c r="F13" s="206">
        <f>SUM(F14:F19)</f>
        <v>19081000</v>
      </c>
      <c r="G13" s="212">
        <v>0</v>
      </c>
      <c r="H13" s="207">
        <v>0</v>
      </c>
    </row>
    <row r="14" spans="1:8" ht="15" customHeight="1">
      <c r="A14" s="213" t="s">
        <v>122</v>
      </c>
      <c r="B14" s="214" t="s">
        <v>123</v>
      </c>
      <c r="C14" s="210">
        <v>8500000</v>
      </c>
      <c r="D14" s="215">
        <f aca="true" t="shared" si="0" ref="D14:D19">E14-C14</f>
        <v>0</v>
      </c>
      <c r="E14" s="210">
        <v>8500000</v>
      </c>
      <c r="F14" s="210">
        <f aca="true" t="shared" si="1" ref="F14:F19">E14</f>
        <v>8500000</v>
      </c>
      <c r="G14" s="210">
        <v>0</v>
      </c>
      <c r="H14" s="211">
        <v>0</v>
      </c>
    </row>
    <row r="15" spans="1:8" ht="15" customHeight="1">
      <c r="A15" s="213" t="s">
        <v>281</v>
      </c>
      <c r="B15" s="214" t="s">
        <v>125</v>
      </c>
      <c r="C15" s="210">
        <v>20000</v>
      </c>
      <c r="D15" s="215">
        <f t="shared" si="0"/>
        <v>0</v>
      </c>
      <c r="E15" s="210">
        <v>20000</v>
      </c>
      <c r="F15" s="210">
        <f t="shared" si="1"/>
        <v>20000</v>
      </c>
      <c r="G15" s="210">
        <v>0</v>
      </c>
      <c r="H15" s="211">
        <v>0</v>
      </c>
    </row>
    <row r="16" spans="1:8" ht="15" customHeight="1">
      <c r="A16" s="213" t="s">
        <v>128</v>
      </c>
      <c r="B16" s="214" t="s">
        <v>282</v>
      </c>
      <c r="C16" s="210">
        <v>6500000</v>
      </c>
      <c r="D16" s="215">
        <f t="shared" si="0"/>
        <v>0</v>
      </c>
      <c r="E16" s="210">
        <v>6500000</v>
      </c>
      <c r="F16" s="210">
        <f t="shared" si="1"/>
        <v>6500000</v>
      </c>
      <c r="G16" s="210">
        <v>0</v>
      </c>
      <c r="H16" s="211">
        <v>0</v>
      </c>
    </row>
    <row r="17" spans="1:8" ht="15" customHeight="1">
      <c r="A17" s="213" t="s">
        <v>283</v>
      </c>
      <c r="B17" s="214" t="s">
        <v>284</v>
      </c>
      <c r="C17" s="210">
        <v>4050000</v>
      </c>
      <c r="D17" s="215">
        <f t="shared" si="0"/>
        <v>0</v>
      </c>
      <c r="E17" s="210">
        <v>4050000</v>
      </c>
      <c r="F17" s="210">
        <f t="shared" si="1"/>
        <v>4050000</v>
      </c>
      <c r="G17" s="210">
        <v>0</v>
      </c>
      <c r="H17" s="211">
        <v>0</v>
      </c>
    </row>
    <row r="18" spans="1:8" ht="15" customHeight="1">
      <c r="A18" s="213" t="s">
        <v>130</v>
      </c>
      <c r="B18" s="214" t="s">
        <v>131</v>
      </c>
      <c r="C18" s="210">
        <v>1000</v>
      </c>
      <c r="D18" s="215">
        <f t="shared" si="0"/>
        <v>0</v>
      </c>
      <c r="E18" s="210">
        <v>1000</v>
      </c>
      <c r="F18" s="210">
        <f t="shared" si="1"/>
        <v>1000</v>
      </c>
      <c r="G18" s="210">
        <v>0</v>
      </c>
      <c r="H18" s="211">
        <v>0</v>
      </c>
    </row>
    <row r="19" spans="1:8" ht="15" customHeight="1">
      <c r="A19" s="213" t="s">
        <v>132</v>
      </c>
      <c r="B19" s="214" t="s">
        <v>133</v>
      </c>
      <c r="C19" s="210">
        <v>10000</v>
      </c>
      <c r="D19" s="215">
        <f t="shared" si="0"/>
        <v>0</v>
      </c>
      <c r="E19" s="210">
        <v>10000</v>
      </c>
      <c r="F19" s="210">
        <f t="shared" si="1"/>
        <v>10000</v>
      </c>
      <c r="G19" s="210">
        <v>0</v>
      </c>
      <c r="H19" s="211">
        <v>0</v>
      </c>
    </row>
    <row r="20" spans="1:8" ht="15" customHeight="1">
      <c r="A20" s="204" t="s">
        <v>134</v>
      </c>
      <c r="B20" s="205" t="s">
        <v>135</v>
      </c>
      <c r="C20" s="206">
        <f>C21</f>
        <v>0</v>
      </c>
      <c r="D20" s="206">
        <v>0</v>
      </c>
      <c r="E20" s="206">
        <f>E21</f>
        <v>0</v>
      </c>
      <c r="F20" s="206">
        <f>F21</f>
        <v>0</v>
      </c>
      <c r="G20" s="206">
        <v>0</v>
      </c>
      <c r="H20" s="207">
        <v>0</v>
      </c>
    </row>
    <row r="21" spans="1:8" ht="15" customHeight="1">
      <c r="A21" s="208" t="s">
        <v>285</v>
      </c>
      <c r="B21" s="209" t="s">
        <v>286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1">
        <v>0</v>
      </c>
    </row>
    <row r="22" spans="1:8" ht="15" customHeight="1">
      <c r="A22" s="216" t="s">
        <v>287</v>
      </c>
      <c r="B22" s="217" t="s">
        <v>145</v>
      </c>
      <c r="C22" s="218">
        <f>C11+C13+C20</f>
        <v>31304327</v>
      </c>
      <c r="D22" s="218">
        <f>D11+D13+D20</f>
        <v>3903221</v>
      </c>
      <c r="E22" s="218">
        <f>E11+E13+E20</f>
        <v>35207548</v>
      </c>
      <c r="F22" s="218">
        <f>F11+F13+F20</f>
        <v>35207548</v>
      </c>
      <c r="G22" s="218">
        <v>0</v>
      </c>
      <c r="H22" s="219">
        <f>H11+H13+H20</f>
        <v>0</v>
      </c>
    </row>
    <row r="23" spans="1:8" ht="15" customHeight="1">
      <c r="A23" s="216"/>
      <c r="B23" s="217"/>
      <c r="C23" s="220"/>
      <c r="D23" s="218"/>
      <c r="E23" s="220"/>
      <c r="F23" s="220"/>
      <c r="G23" s="220"/>
      <c r="H23" s="221"/>
    </row>
    <row r="24" spans="1:8" ht="15" customHeight="1">
      <c r="A24" s="204" t="s">
        <v>146</v>
      </c>
      <c r="B24" s="205" t="s">
        <v>147</v>
      </c>
      <c r="C24" s="222">
        <f>SUM(C25:C26)</f>
        <v>70222222</v>
      </c>
      <c r="D24" s="212">
        <f>SUM(D25:D26)</f>
        <v>1332000</v>
      </c>
      <c r="E24" s="222">
        <f>SUM(E25:E26)</f>
        <v>71554222</v>
      </c>
      <c r="F24" s="222">
        <f>SUM(F25:F26)</f>
        <v>71554222</v>
      </c>
      <c r="G24" s="222">
        <v>0</v>
      </c>
      <c r="H24" s="223">
        <v>0</v>
      </c>
    </row>
    <row r="25" spans="1:8" ht="15" customHeight="1">
      <c r="A25" s="213" t="s">
        <v>152</v>
      </c>
      <c r="B25" s="214" t="s">
        <v>153</v>
      </c>
      <c r="C25" s="210">
        <v>445712</v>
      </c>
      <c r="D25" s="215">
        <f>E25-C25</f>
        <v>0</v>
      </c>
      <c r="E25" s="210">
        <v>445712</v>
      </c>
      <c r="F25" s="210">
        <v>445712</v>
      </c>
      <c r="G25" s="210">
        <v>0</v>
      </c>
      <c r="H25" s="211">
        <v>0</v>
      </c>
    </row>
    <row r="26" spans="1:8" ht="15" customHeight="1">
      <c r="A26" s="208" t="s">
        <v>288</v>
      </c>
      <c r="B26" s="209" t="s">
        <v>289</v>
      </c>
      <c r="C26" s="210">
        <v>69776510</v>
      </c>
      <c r="D26" s="224">
        <f>E26-C26</f>
        <v>1332000</v>
      </c>
      <c r="E26" s="210">
        <v>71108510</v>
      </c>
      <c r="F26" s="210">
        <f>E26</f>
        <v>71108510</v>
      </c>
      <c r="G26" s="210">
        <v>0</v>
      </c>
      <c r="H26" s="211">
        <v>0</v>
      </c>
    </row>
    <row r="27" spans="1:8" ht="15" customHeight="1">
      <c r="A27" s="208"/>
      <c r="B27" s="209"/>
      <c r="C27" s="210"/>
      <c r="D27" s="224"/>
      <c r="E27" s="210"/>
      <c r="F27" s="210"/>
      <c r="G27" s="210"/>
      <c r="H27" s="211"/>
    </row>
    <row r="28" spans="1:8" ht="15" customHeight="1" thickBot="1">
      <c r="A28" s="225" t="s">
        <v>290</v>
      </c>
      <c r="B28" s="226" t="s">
        <v>157</v>
      </c>
      <c r="C28" s="228">
        <f>C22+C24</f>
        <v>101526549</v>
      </c>
      <c r="D28" s="227">
        <f>D24+D22</f>
        <v>5235221</v>
      </c>
      <c r="E28" s="228">
        <f>E22+E24</f>
        <v>106761770</v>
      </c>
      <c r="F28" s="228">
        <f>F22+F24</f>
        <v>106761770</v>
      </c>
      <c r="G28" s="228">
        <f>G22+G24</f>
        <v>0</v>
      </c>
      <c r="H28" s="229">
        <f>H22+H24</f>
        <v>0</v>
      </c>
    </row>
    <row r="29" spans="1:8" ht="15" customHeight="1" thickTop="1">
      <c r="A29" s="230"/>
      <c r="B29" s="230"/>
      <c r="C29" s="231"/>
      <c r="D29" s="231"/>
      <c r="E29" s="232"/>
      <c r="F29" s="231"/>
      <c r="G29" s="232"/>
      <c r="H29" s="232"/>
    </row>
    <row r="30" spans="1:8" ht="15" customHeight="1" thickBot="1">
      <c r="A30" s="233"/>
      <c r="B30" s="234"/>
      <c r="C30" s="235"/>
      <c r="D30" s="235"/>
      <c r="E30" s="236"/>
      <c r="F30" s="235"/>
      <c r="G30" s="236"/>
      <c r="H30" s="236"/>
    </row>
    <row r="31" spans="1:8" ht="19.5" customHeight="1" thickTop="1">
      <c r="A31" s="825" t="s">
        <v>78</v>
      </c>
      <c r="B31" s="823" t="s">
        <v>291</v>
      </c>
      <c r="C31" s="823" t="s">
        <v>304</v>
      </c>
      <c r="D31" s="827" t="s">
        <v>305</v>
      </c>
      <c r="E31" s="823" t="s">
        <v>274</v>
      </c>
      <c r="F31" s="823" t="s">
        <v>278</v>
      </c>
      <c r="G31" s="823"/>
      <c r="H31" s="824"/>
    </row>
    <row r="32" spans="1:8" ht="45" customHeight="1" thickBot="1">
      <c r="A32" s="826"/>
      <c r="B32" s="829"/>
      <c r="C32" s="829"/>
      <c r="D32" s="828"/>
      <c r="E32" s="829"/>
      <c r="F32" s="198" t="s">
        <v>82</v>
      </c>
      <c r="G32" s="198" t="s">
        <v>83</v>
      </c>
      <c r="H32" s="199" t="s">
        <v>84</v>
      </c>
    </row>
    <row r="33" spans="1:8" ht="15" customHeight="1" thickTop="1">
      <c r="A33" s="237" t="s">
        <v>11</v>
      </c>
      <c r="B33" s="238" t="s">
        <v>24</v>
      </c>
      <c r="C33" s="239" t="s">
        <v>33</v>
      </c>
      <c r="D33" s="239" t="s">
        <v>86</v>
      </c>
      <c r="E33" s="239" t="s">
        <v>87</v>
      </c>
      <c r="F33" s="240" t="s">
        <v>88</v>
      </c>
      <c r="G33" s="239" t="s">
        <v>89</v>
      </c>
      <c r="H33" s="241" t="s">
        <v>358</v>
      </c>
    </row>
    <row r="34" spans="1:8" ht="15" customHeight="1">
      <c r="A34" s="204" t="s">
        <v>162</v>
      </c>
      <c r="B34" s="205" t="s">
        <v>163</v>
      </c>
      <c r="C34" s="242">
        <f>SUM(C35:C36)</f>
        <v>57315000</v>
      </c>
      <c r="D34" s="242">
        <f>SUM(D35:D36)</f>
        <v>1989919</v>
      </c>
      <c r="E34" s="242">
        <f>SUM(E35:E36)</f>
        <v>59304919</v>
      </c>
      <c r="F34" s="243">
        <f>SUM(F35:F36)</f>
        <v>59304919</v>
      </c>
      <c r="G34" s="242">
        <f>SUM(G35:G36)</f>
        <v>0</v>
      </c>
      <c r="H34" s="244">
        <v>0</v>
      </c>
    </row>
    <row r="35" spans="1:8" ht="15" customHeight="1">
      <c r="A35" s="213" t="s">
        <v>164</v>
      </c>
      <c r="B35" s="214" t="s">
        <v>165</v>
      </c>
      <c r="C35" s="245">
        <v>57265000</v>
      </c>
      <c r="D35" s="245">
        <f>E35-C35</f>
        <v>-145281</v>
      </c>
      <c r="E35" s="246">
        <v>57119719</v>
      </c>
      <c r="F35" s="246">
        <f>E35</f>
        <v>57119719</v>
      </c>
      <c r="G35" s="246">
        <v>0</v>
      </c>
      <c r="H35" s="247">
        <v>0</v>
      </c>
    </row>
    <row r="36" spans="1:8" ht="15" customHeight="1">
      <c r="A36" s="213" t="s">
        <v>176</v>
      </c>
      <c r="B36" s="214" t="s">
        <v>177</v>
      </c>
      <c r="C36" s="245">
        <v>50000</v>
      </c>
      <c r="D36" s="245">
        <f>E36-C36</f>
        <v>2135200</v>
      </c>
      <c r="E36" s="246">
        <v>2185200</v>
      </c>
      <c r="F36" s="246">
        <f>E36</f>
        <v>2185200</v>
      </c>
      <c r="G36" s="246">
        <v>0</v>
      </c>
      <c r="H36" s="247">
        <v>0</v>
      </c>
    </row>
    <row r="37" spans="1:8" ht="30.75" customHeight="1">
      <c r="A37" s="204" t="s">
        <v>184</v>
      </c>
      <c r="B37" s="248" t="s">
        <v>185</v>
      </c>
      <c r="C37" s="249">
        <v>10700000</v>
      </c>
      <c r="D37" s="249">
        <f>E37-C37</f>
        <v>2100000</v>
      </c>
      <c r="E37" s="250">
        <v>12800000</v>
      </c>
      <c r="F37" s="250">
        <f>E37</f>
        <v>12800000</v>
      </c>
      <c r="G37" s="250">
        <v>0</v>
      </c>
      <c r="H37" s="251">
        <v>0</v>
      </c>
    </row>
    <row r="38" spans="1:8" ht="15" customHeight="1">
      <c r="A38" s="204" t="s">
        <v>186</v>
      </c>
      <c r="B38" s="205" t="s">
        <v>187</v>
      </c>
      <c r="C38" s="242">
        <f>SUM(C39:C43)</f>
        <v>33383549</v>
      </c>
      <c r="D38" s="242">
        <f>SUM(D39:D43)</f>
        <v>850217</v>
      </c>
      <c r="E38" s="250">
        <f>SUM(E39:E43)</f>
        <v>34233766</v>
      </c>
      <c r="F38" s="250">
        <f>SUM(F39:F43)</f>
        <v>34233766</v>
      </c>
      <c r="G38" s="250">
        <v>0</v>
      </c>
      <c r="H38" s="251">
        <v>0</v>
      </c>
    </row>
    <row r="39" spans="1:8" ht="15" customHeight="1">
      <c r="A39" s="213" t="s">
        <v>188</v>
      </c>
      <c r="B39" s="214" t="s">
        <v>189</v>
      </c>
      <c r="C39" s="245">
        <v>19823549</v>
      </c>
      <c r="D39" s="245">
        <f>E39-C39</f>
        <v>202472</v>
      </c>
      <c r="E39" s="246">
        <v>20026021</v>
      </c>
      <c r="F39" s="246">
        <f>E39</f>
        <v>20026021</v>
      </c>
      <c r="G39" s="246">
        <v>0</v>
      </c>
      <c r="H39" s="247">
        <v>0</v>
      </c>
    </row>
    <row r="40" spans="1:8" ht="15" customHeight="1">
      <c r="A40" s="213" t="s">
        <v>194</v>
      </c>
      <c r="B40" s="214" t="s">
        <v>195</v>
      </c>
      <c r="C40" s="245">
        <v>990000</v>
      </c>
      <c r="D40" s="245">
        <f>E40-C40</f>
        <v>20000</v>
      </c>
      <c r="E40" s="246">
        <v>1010000</v>
      </c>
      <c r="F40" s="246">
        <f>E40</f>
        <v>1010000</v>
      </c>
      <c r="G40" s="246">
        <v>0</v>
      </c>
      <c r="H40" s="247">
        <v>0</v>
      </c>
    </row>
    <row r="41" spans="1:8" ht="15" customHeight="1">
      <c r="A41" s="213" t="s">
        <v>200</v>
      </c>
      <c r="B41" s="214" t="s">
        <v>201</v>
      </c>
      <c r="C41" s="245">
        <v>5650000</v>
      </c>
      <c r="D41" s="245">
        <f>E41-C41</f>
        <v>272745</v>
      </c>
      <c r="E41" s="246">
        <v>5922745</v>
      </c>
      <c r="F41" s="246">
        <f>E41</f>
        <v>5922745</v>
      </c>
      <c r="G41" s="246">
        <v>0</v>
      </c>
      <c r="H41" s="247">
        <v>0</v>
      </c>
    </row>
    <row r="42" spans="1:8" ht="15" customHeight="1">
      <c r="A42" s="213" t="s">
        <v>214</v>
      </c>
      <c r="B42" s="214" t="s">
        <v>215</v>
      </c>
      <c r="C42" s="245">
        <v>650000</v>
      </c>
      <c r="D42" s="245">
        <f>E42-C42</f>
        <v>0</v>
      </c>
      <c r="E42" s="246">
        <v>650000</v>
      </c>
      <c r="F42" s="246">
        <f>E42</f>
        <v>650000</v>
      </c>
      <c r="G42" s="246">
        <v>0</v>
      </c>
      <c r="H42" s="247">
        <v>0</v>
      </c>
    </row>
    <row r="43" spans="1:8" ht="15" customHeight="1">
      <c r="A43" s="213" t="s">
        <v>216</v>
      </c>
      <c r="B43" s="214" t="s">
        <v>217</v>
      </c>
      <c r="C43" s="245">
        <v>6270000</v>
      </c>
      <c r="D43" s="245">
        <f>E43-C43</f>
        <v>355000</v>
      </c>
      <c r="E43" s="246">
        <v>6625000</v>
      </c>
      <c r="F43" s="246">
        <f>E43</f>
        <v>6625000</v>
      </c>
      <c r="G43" s="246">
        <v>0</v>
      </c>
      <c r="H43" s="247">
        <v>0</v>
      </c>
    </row>
    <row r="44" spans="1:8" ht="15" customHeight="1">
      <c r="A44" s="252" t="s">
        <v>230</v>
      </c>
      <c r="B44" s="253" t="s">
        <v>231</v>
      </c>
      <c r="C44" s="254">
        <f>C46</f>
        <v>0</v>
      </c>
      <c r="D44" s="254">
        <f>SUM(D45:D46)</f>
        <v>120081</v>
      </c>
      <c r="E44" s="254">
        <f>SUM(E45:E46)</f>
        <v>120081</v>
      </c>
      <c r="F44" s="250">
        <f>F45+F46</f>
        <v>120081</v>
      </c>
      <c r="G44" s="254">
        <v>0</v>
      </c>
      <c r="H44" s="251">
        <v>0</v>
      </c>
    </row>
    <row r="45" spans="1:8" ht="15" customHeight="1">
      <c r="A45" s="213" t="s">
        <v>234</v>
      </c>
      <c r="B45" s="214" t="s">
        <v>359</v>
      </c>
      <c r="C45" s="254">
        <v>0</v>
      </c>
      <c r="D45" s="245">
        <f>E45-C45</f>
        <v>12246</v>
      </c>
      <c r="E45" s="245">
        <v>12246</v>
      </c>
      <c r="F45" s="772">
        <f>E45</f>
        <v>12246</v>
      </c>
      <c r="G45" s="254"/>
      <c r="H45" s="251"/>
    </row>
    <row r="46" spans="1:8" ht="15" customHeight="1">
      <c r="A46" s="213" t="s">
        <v>238</v>
      </c>
      <c r="B46" s="214" t="s">
        <v>239</v>
      </c>
      <c r="C46" s="245">
        <v>0</v>
      </c>
      <c r="D46" s="245">
        <f>E46-C46</f>
        <v>107835</v>
      </c>
      <c r="E46" s="246">
        <v>107835</v>
      </c>
      <c r="F46" s="772">
        <f>E46</f>
        <v>107835</v>
      </c>
      <c r="G46" s="246">
        <v>0</v>
      </c>
      <c r="H46" s="247">
        <v>0</v>
      </c>
    </row>
    <row r="47" spans="1:8" ht="15" customHeight="1">
      <c r="A47" s="252" t="s">
        <v>292</v>
      </c>
      <c r="B47" s="253" t="s">
        <v>243</v>
      </c>
      <c r="C47" s="254">
        <f>SUM(C48:C49)</f>
        <v>128000</v>
      </c>
      <c r="D47" s="254">
        <f>SUM(D48:D49)</f>
        <v>175004</v>
      </c>
      <c r="E47" s="254">
        <f>SUM(E48:E49)</f>
        <v>303004</v>
      </c>
      <c r="F47" s="254">
        <f>SUM(F48:F49)</f>
        <v>303004</v>
      </c>
      <c r="G47" s="254">
        <v>0</v>
      </c>
      <c r="H47" s="255">
        <v>0</v>
      </c>
    </row>
    <row r="48" spans="1:8" ht="15" customHeight="1">
      <c r="A48" s="213" t="s">
        <v>246</v>
      </c>
      <c r="B48" s="214" t="s">
        <v>293</v>
      </c>
      <c r="C48" s="245">
        <v>100000</v>
      </c>
      <c r="D48" s="245">
        <f>E48-C48</f>
        <v>149880</v>
      </c>
      <c r="E48" s="246">
        <v>249880</v>
      </c>
      <c r="F48" s="246">
        <f>E48</f>
        <v>249880</v>
      </c>
      <c r="G48" s="246">
        <v>0</v>
      </c>
      <c r="H48" s="247">
        <v>0</v>
      </c>
    </row>
    <row r="49" spans="1:8" ht="15" customHeight="1">
      <c r="A49" s="213" t="s">
        <v>248</v>
      </c>
      <c r="B49" s="214" t="s">
        <v>294</v>
      </c>
      <c r="C49" s="245">
        <v>28000</v>
      </c>
      <c r="D49" s="245">
        <f>E49-C49</f>
        <v>25124</v>
      </c>
      <c r="E49" s="246">
        <v>53124</v>
      </c>
      <c r="F49" s="246">
        <f>E49</f>
        <v>53124</v>
      </c>
      <c r="G49" s="246">
        <v>0</v>
      </c>
      <c r="H49" s="247">
        <v>0</v>
      </c>
    </row>
    <row r="50" spans="1:8" ht="15" customHeight="1" thickBot="1">
      <c r="A50" s="225" t="s">
        <v>295</v>
      </c>
      <c r="B50" s="226" t="s">
        <v>271</v>
      </c>
      <c r="C50" s="256">
        <f aca="true" t="shared" si="2" ref="C50:H50">C34+C37+C38+C47+C44</f>
        <v>101526549</v>
      </c>
      <c r="D50" s="256">
        <f>D47+D44+D38+D37+D34</f>
        <v>5235221</v>
      </c>
      <c r="E50" s="256">
        <f t="shared" si="2"/>
        <v>106761770</v>
      </c>
      <c r="F50" s="228">
        <f t="shared" si="2"/>
        <v>106761770</v>
      </c>
      <c r="G50" s="256">
        <f t="shared" si="2"/>
        <v>0</v>
      </c>
      <c r="H50" s="229">
        <f t="shared" si="2"/>
        <v>0</v>
      </c>
    </row>
    <row r="51" spans="1:8" ht="16.5" thickTop="1">
      <c r="A51" s="230"/>
      <c r="B51" s="230"/>
      <c r="C51" s="230"/>
      <c r="D51" s="230"/>
      <c r="E51" s="257"/>
      <c r="F51" s="102"/>
      <c r="G51" s="102"/>
      <c r="H51" s="102"/>
    </row>
    <row r="52" spans="1:8" ht="16.5" thickBot="1">
      <c r="A52" s="258"/>
      <c r="B52" s="259"/>
      <c r="C52" s="259"/>
      <c r="D52" s="259"/>
      <c r="E52" s="259"/>
      <c r="F52" s="102"/>
      <c r="G52" s="102"/>
      <c r="H52" s="102"/>
    </row>
    <row r="53" spans="1:8" ht="15" thickBot="1">
      <c r="A53" s="260" t="s">
        <v>296</v>
      </c>
      <c r="B53" s="261"/>
      <c r="C53" s="391">
        <v>18</v>
      </c>
      <c r="D53" s="391">
        <v>0</v>
      </c>
      <c r="E53" s="392">
        <v>18</v>
      </c>
      <c r="F53" s="102"/>
      <c r="G53" s="102"/>
      <c r="H53" s="102"/>
    </row>
    <row r="54" spans="1:8" ht="15" thickBot="1">
      <c r="A54" s="260" t="s">
        <v>297</v>
      </c>
      <c r="B54" s="261"/>
      <c r="C54" s="391">
        <v>0</v>
      </c>
      <c r="D54" s="391">
        <v>0</v>
      </c>
      <c r="E54" s="392">
        <v>0</v>
      </c>
      <c r="F54" s="102"/>
      <c r="G54" s="102"/>
      <c r="H54" s="102"/>
    </row>
    <row r="55" spans="6:8" ht="12.75">
      <c r="F55" s="102"/>
      <c r="G55" s="102"/>
      <c r="H55" s="102"/>
    </row>
    <row r="56" spans="6:8" ht="12.75">
      <c r="F56" s="102"/>
      <c r="G56" s="102"/>
      <c r="H56" s="102"/>
    </row>
  </sheetData>
  <sheetProtection/>
  <mergeCells count="17">
    <mergeCell ref="A31:A32"/>
    <mergeCell ref="B31:B32"/>
    <mergeCell ref="C31:C32"/>
    <mergeCell ref="G7:H7"/>
    <mergeCell ref="C8:C9"/>
    <mergeCell ref="E8:E9"/>
    <mergeCell ref="B8:B9"/>
    <mergeCell ref="E31:E32"/>
    <mergeCell ref="D31:D32"/>
    <mergeCell ref="F31:H31"/>
    <mergeCell ref="A2:H3"/>
    <mergeCell ref="A4:H4"/>
    <mergeCell ref="F8:H8"/>
    <mergeCell ref="A6:B6"/>
    <mergeCell ref="A8:A9"/>
    <mergeCell ref="D8:D9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1" width="9.140625" style="191" customWidth="1"/>
    <col min="2" max="2" width="52.57421875" style="191" customWidth="1"/>
    <col min="3" max="4" width="16.7109375" style="191" hidden="1" customWidth="1"/>
    <col min="5" max="5" width="15.7109375" style="191" customWidth="1"/>
    <col min="6" max="6" width="14.57421875" style="191" customWidth="1"/>
    <col min="7" max="7" width="14.421875" style="191" customWidth="1"/>
    <col min="8" max="8" width="14.00390625" style="191" customWidth="1"/>
    <col min="9" max="9" width="14.421875" style="191" customWidth="1"/>
    <col min="10" max="10" width="13.7109375" style="191" customWidth="1"/>
    <col min="11" max="11" width="17.57421875" style="191" customWidth="1"/>
    <col min="12" max="16384" width="9.140625" style="104" customWidth="1"/>
  </cols>
  <sheetData>
    <row r="1" spans="1:3" ht="12.75">
      <c r="A1" s="190"/>
      <c r="B1" s="190"/>
      <c r="C1" s="190"/>
    </row>
    <row r="2" spans="1:11" s="171" customFormat="1" ht="20.25" customHeight="1">
      <c r="A2" s="822" t="s">
        <v>298</v>
      </c>
      <c r="B2" s="822"/>
      <c r="C2" s="822"/>
      <c r="D2" s="822"/>
      <c r="E2" s="822"/>
      <c r="F2" s="822"/>
      <c r="G2" s="822"/>
      <c r="H2" s="822"/>
      <c r="I2" s="822"/>
      <c r="J2" s="822"/>
      <c r="K2" s="258"/>
    </row>
    <row r="3" spans="1:11" s="171" customFormat="1" ht="20.25" customHeight="1">
      <c r="A3" s="822"/>
      <c r="B3" s="822"/>
      <c r="C3" s="822"/>
      <c r="D3" s="822"/>
      <c r="E3" s="822"/>
      <c r="F3" s="822"/>
      <c r="G3" s="822"/>
      <c r="H3" s="822"/>
      <c r="I3" s="822"/>
      <c r="J3" s="822"/>
      <c r="K3" s="258"/>
    </row>
    <row r="4" spans="1:11" s="171" customFormat="1" ht="20.25">
      <c r="A4" s="822" t="s">
        <v>76</v>
      </c>
      <c r="B4" s="822"/>
      <c r="C4" s="822"/>
      <c r="D4" s="822"/>
      <c r="E4" s="822"/>
      <c r="F4" s="822"/>
      <c r="G4" s="822"/>
      <c r="H4" s="822"/>
      <c r="I4" s="822"/>
      <c r="J4" s="822"/>
      <c r="K4" s="258"/>
    </row>
    <row r="5" spans="1:11" s="171" customFormat="1" ht="20.25">
      <c r="A5" s="801" t="s">
        <v>626</v>
      </c>
      <c r="B5" s="801"/>
      <c r="C5" s="192"/>
      <c r="D5" s="192"/>
      <c r="E5" s="192"/>
      <c r="F5" s="192"/>
      <c r="G5" s="192"/>
      <c r="H5" s="192"/>
      <c r="I5" s="192"/>
      <c r="J5" s="192"/>
      <c r="K5" s="258"/>
    </row>
    <row r="6" spans="1:10" ht="21" customHeight="1" thickBot="1">
      <c r="A6" s="801" t="s">
        <v>299</v>
      </c>
      <c r="B6" s="801"/>
      <c r="C6" s="196"/>
      <c r="D6" s="830"/>
      <c r="E6" s="830"/>
      <c r="F6" s="197"/>
      <c r="G6" s="197"/>
      <c r="H6" s="197"/>
      <c r="I6" s="197"/>
      <c r="J6" s="197" t="s">
        <v>3</v>
      </c>
    </row>
    <row r="7" spans="1:10" ht="21" customHeight="1">
      <c r="A7" s="836" t="s">
        <v>78</v>
      </c>
      <c r="B7" s="831" t="s">
        <v>277</v>
      </c>
      <c r="C7" s="262"/>
      <c r="D7" s="263"/>
      <c r="E7" s="831" t="s">
        <v>7</v>
      </c>
      <c r="F7" s="831" t="s">
        <v>273</v>
      </c>
      <c r="G7" s="831" t="s">
        <v>274</v>
      </c>
      <c r="H7" s="833" t="s">
        <v>278</v>
      </c>
      <c r="I7" s="834"/>
      <c r="J7" s="835"/>
    </row>
    <row r="8" spans="1:11" ht="45" customHeight="1" thickBot="1">
      <c r="A8" s="837"/>
      <c r="B8" s="832"/>
      <c r="C8" s="264" t="s">
        <v>300</v>
      </c>
      <c r="D8" s="264" t="s">
        <v>301</v>
      </c>
      <c r="E8" s="832"/>
      <c r="F8" s="832"/>
      <c r="G8" s="832"/>
      <c r="H8" s="264" t="s">
        <v>82</v>
      </c>
      <c r="I8" s="264" t="s">
        <v>83</v>
      </c>
      <c r="J8" s="265" t="s">
        <v>84</v>
      </c>
      <c r="K8" s="104"/>
    </row>
    <row r="9" spans="1:11" ht="15" customHeight="1">
      <c r="A9" s="266" t="s">
        <v>11</v>
      </c>
      <c r="B9" s="267" t="s">
        <v>24</v>
      </c>
      <c r="C9" s="267" t="s">
        <v>33</v>
      </c>
      <c r="D9" s="267" t="s">
        <v>85</v>
      </c>
      <c r="E9" s="267" t="s">
        <v>33</v>
      </c>
      <c r="F9" s="267" t="s">
        <v>85</v>
      </c>
      <c r="G9" s="267" t="s">
        <v>86</v>
      </c>
      <c r="H9" s="267" t="s">
        <v>87</v>
      </c>
      <c r="I9" s="267" t="s">
        <v>88</v>
      </c>
      <c r="J9" s="268" t="s">
        <v>89</v>
      </c>
      <c r="K9" s="104"/>
    </row>
    <row r="10" spans="1:10" ht="19.5" customHeight="1">
      <c r="A10" s="269" t="s">
        <v>120</v>
      </c>
      <c r="B10" s="270" t="s">
        <v>121</v>
      </c>
      <c r="C10" s="271">
        <f>SUM(C11:C11)</f>
        <v>8300000</v>
      </c>
      <c r="D10" s="271">
        <f>SUM(D11:D11)</f>
        <v>7278483</v>
      </c>
      <c r="E10" s="272">
        <f>SUM(E11:E11)</f>
        <v>5000</v>
      </c>
      <c r="F10" s="272">
        <f>SUM(F11:F11)</f>
        <v>2000</v>
      </c>
      <c r="G10" s="250">
        <f>G11</f>
        <v>7000</v>
      </c>
      <c r="H10" s="272">
        <f>SUM(H11:H11)</f>
        <v>7000</v>
      </c>
      <c r="I10" s="272">
        <v>0</v>
      </c>
      <c r="J10" s="273">
        <v>0</v>
      </c>
    </row>
    <row r="11" spans="1:10" ht="16.5" customHeight="1">
      <c r="A11" s="274" t="s">
        <v>132</v>
      </c>
      <c r="B11" s="126" t="s">
        <v>133</v>
      </c>
      <c r="C11" s="275">
        <v>8300000</v>
      </c>
      <c r="D11" s="276">
        <v>7278483</v>
      </c>
      <c r="E11" s="276">
        <v>5000</v>
      </c>
      <c r="F11" s="276">
        <f>G11-E11</f>
        <v>2000</v>
      </c>
      <c r="G11" s="246">
        <v>7000</v>
      </c>
      <c r="H11" s="276">
        <f>G11</f>
        <v>7000</v>
      </c>
      <c r="I11" s="276">
        <v>0</v>
      </c>
      <c r="J11" s="277">
        <v>0</v>
      </c>
    </row>
    <row r="12" spans="1:10" ht="15" customHeight="1">
      <c r="A12" s="278" t="s">
        <v>287</v>
      </c>
      <c r="B12" s="137" t="s">
        <v>145</v>
      </c>
      <c r="C12" s="279" t="e">
        <f>#REF!+C10+#REF!</f>
        <v>#REF!</v>
      </c>
      <c r="D12" s="279" t="e">
        <f>#REF!+D10+#REF!</f>
        <v>#REF!</v>
      </c>
      <c r="E12" s="279">
        <f>E10</f>
        <v>5000</v>
      </c>
      <c r="F12" s="279">
        <f>F10</f>
        <v>2000</v>
      </c>
      <c r="G12" s="394">
        <f>G10</f>
        <v>7000</v>
      </c>
      <c r="H12" s="279">
        <f>H10</f>
        <v>7000</v>
      </c>
      <c r="I12" s="279">
        <v>0</v>
      </c>
      <c r="J12" s="280">
        <v>0</v>
      </c>
    </row>
    <row r="13" spans="1:10" ht="15" customHeight="1">
      <c r="A13" s="269" t="s">
        <v>146</v>
      </c>
      <c r="B13" s="270" t="s">
        <v>147</v>
      </c>
      <c r="C13" s="271">
        <f>SUM(C15:C15)</f>
        <v>66914644</v>
      </c>
      <c r="D13" s="281">
        <f>SUM(D15:D15)</f>
        <v>66919069</v>
      </c>
      <c r="E13" s="281">
        <f>SUM(E14:E15)</f>
        <v>9755213</v>
      </c>
      <c r="F13" s="281">
        <f>SUM(F15:F15)</f>
        <v>120000</v>
      </c>
      <c r="G13" s="394">
        <f>SUM(G14:G15)</f>
        <v>9875213</v>
      </c>
      <c r="H13" s="281">
        <f>SUM(H14:H15)</f>
        <v>9875213</v>
      </c>
      <c r="I13" s="281">
        <v>0</v>
      </c>
      <c r="J13" s="282">
        <v>0</v>
      </c>
    </row>
    <row r="14" spans="1:10" ht="15" customHeight="1">
      <c r="A14" s="283" t="s">
        <v>152</v>
      </c>
      <c r="B14" s="209" t="s">
        <v>153</v>
      </c>
      <c r="C14" s="284">
        <v>66914644</v>
      </c>
      <c r="D14" s="276">
        <v>66919069</v>
      </c>
      <c r="E14" s="276">
        <v>110713</v>
      </c>
      <c r="F14" s="276">
        <v>0</v>
      </c>
      <c r="G14" s="246">
        <v>110713</v>
      </c>
      <c r="H14" s="276">
        <f>G14</f>
        <v>110713</v>
      </c>
      <c r="I14" s="276">
        <v>0</v>
      </c>
      <c r="J14" s="277">
        <v>0</v>
      </c>
    </row>
    <row r="15" spans="1:10" ht="15" customHeight="1">
      <c r="A15" s="283" t="s">
        <v>288</v>
      </c>
      <c r="B15" s="209" t="s">
        <v>289</v>
      </c>
      <c r="C15" s="284">
        <v>66914644</v>
      </c>
      <c r="D15" s="276">
        <v>66919069</v>
      </c>
      <c r="E15" s="276">
        <v>9644500</v>
      </c>
      <c r="F15" s="276">
        <f>G15-E15</f>
        <v>120000</v>
      </c>
      <c r="G15" s="246">
        <v>9764500</v>
      </c>
      <c r="H15" s="276">
        <f>G15</f>
        <v>9764500</v>
      </c>
      <c r="I15" s="276">
        <v>0</v>
      </c>
      <c r="J15" s="277">
        <v>0</v>
      </c>
    </row>
    <row r="16" spans="1:10" ht="15" customHeight="1" thickBot="1">
      <c r="A16" s="285" t="s">
        <v>290</v>
      </c>
      <c r="B16" s="286" t="s">
        <v>157</v>
      </c>
      <c r="C16" s="287" t="e">
        <f>C13+C12</f>
        <v>#REF!</v>
      </c>
      <c r="D16" s="288" t="e">
        <f aca="true" t="shared" si="0" ref="D16:J16">D12+D13</f>
        <v>#REF!</v>
      </c>
      <c r="E16" s="288">
        <f>E12+E13</f>
        <v>9760213</v>
      </c>
      <c r="F16" s="288">
        <f t="shared" si="0"/>
        <v>122000</v>
      </c>
      <c r="G16" s="393">
        <f t="shared" si="0"/>
        <v>9882213</v>
      </c>
      <c r="H16" s="288">
        <f t="shared" si="0"/>
        <v>9882213</v>
      </c>
      <c r="I16" s="288">
        <f t="shared" si="0"/>
        <v>0</v>
      </c>
      <c r="J16" s="289">
        <f t="shared" si="0"/>
        <v>0</v>
      </c>
    </row>
    <row r="17" spans="1:11" ht="15" customHeight="1">
      <c r="A17" s="290"/>
      <c r="B17" s="290"/>
      <c r="C17" s="291"/>
      <c r="D17" s="232"/>
      <c r="E17" s="232"/>
      <c r="F17" s="232"/>
      <c r="G17" s="232"/>
      <c r="H17" s="232"/>
      <c r="I17" s="232"/>
      <c r="J17" s="232"/>
      <c r="K17" s="104"/>
    </row>
    <row r="18" spans="1:11" ht="15" customHeight="1" thickBot="1">
      <c r="A18" s="233"/>
      <c r="B18" s="234"/>
      <c r="C18" s="235"/>
      <c r="D18" s="236"/>
      <c r="E18" s="236"/>
      <c r="F18" s="236"/>
      <c r="G18" s="236"/>
      <c r="H18" s="236"/>
      <c r="I18" s="236"/>
      <c r="J18" s="236"/>
      <c r="K18" s="104"/>
    </row>
    <row r="19" spans="1:10" ht="21" customHeight="1" thickTop="1">
      <c r="A19" s="836" t="s">
        <v>78</v>
      </c>
      <c r="B19" s="831" t="s">
        <v>291</v>
      </c>
      <c r="C19" s="262"/>
      <c r="D19" s="263"/>
      <c r="E19" s="831" t="s">
        <v>7</v>
      </c>
      <c r="F19" s="831" t="s">
        <v>273</v>
      </c>
      <c r="G19" s="831" t="s">
        <v>274</v>
      </c>
      <c r="H19" s="833" t="s">
        <v>278</v>
      </c>
      <c r="I19" s="834"/>
      <c r="J19" s="835"/>
    </row>
    <row r="20" spans="1:11" ht="45" customHeight="1" thickBot="1">
      <c r="A20" s="837"/>
      <c r="B20" s="832"/>
      <c r="C20" s="264" t="s">
        <v>300</v>
      </c>
      <c r="D20" s="264" t="s">
        <v>301</v>
      </c>
      <c r="E20" s="832"/>
      <c r="F20" s="832"/>
      <c r="G20" s="832"/>
      <c r="H20" s="264" t="s">
        <v>82</v>
      </c>
      <c r="I20" s="264" t="s">
        <v>83</v>
      </c>
      <c r="J20" s="265" t="s">
        <v>84</v>
      </c>
      <c r="K20" s="104"/>
    </row>
    <row r="21" spans="1:10" ht="15" customHeight="1" thickTop="1">
      <c r="A21" s="115" t="s">
        <v>11</v>
      </c>
      <c r="B21" s="116" t="s">
        <v>24</v>
      </c>
      <c r="C21" s="292" t="s">
        <v>33</v>
      </c>
      <c r="D21" s="292" t="s">
        <v>85</v>
      </c>
      <c r="E21" s="292" t="s">
        <v>33</v>
      </c>
      <c r="F21" s="292" t="s">
        <v>85</v>
      </c>
      <c r="G21" s="292" t="s">
        <v>86</v>
      </c>
      <c r="H21" s="292" t="s">
        <v>87</v>
      </c>
      <c r="I21" s="292" t="s">
        <v>88</v>
      </c>
      <c r="J21" s="292" t="s">
        <v>89</v>
      </c>
    </row>
    <row r="22" spans="1:10" ht="15" customHeight="1">
      <c r="A22" s="293" t="s">
        <v>162</v>
      </c>
      <c r="B22" s="270" t="s">
        <v>163</v>
      </c>
      <c r="C22" s="294">
        <f>SUM(C23:C23)</f>
        <v>46560245</v>
      </c>
      <c r="D22" s="294">
        <f>SUM(D23:D23)</f>
        <v>47741858</v>
      </c>
      <c r="E22" s="295">
        <f>SUM(E23:E24)</f>
        <v>6793245</v>
      </c>
      <c r="F22" s="295">
        <f>SUM(F23:F24)</f>
        <v>-83245</v>
      </c>
      <c r="G22" s="295">
        <f>SUM(G23:G24)</f>
        <v>6710000</v>
      </c>
      <c r="H22" s="295">
        <f>SUM(H23:H24)</f>
        <v>6710000</v>
      </c>
      <c r="I22" s="295">
        <v>0</v>
      </c>
      <c r="J22" s="295">
        <f>SUM(J23:J24)</f>
        <v>0</v>
      </c>
    </row>
    <row r="23" spans="1:10" ht="15" customHeight="1">
      <c r="A23" s="125" t="s">
        <v>164</v>
      </c>
      <c r="B23" s="126" t="s">
        <v>165</v>
      </c>
      <c r="C23" s="296">
        <v>46560245</v>
      </c>
      <c r="D23" s="246">
        <v>47741858</v>
      </c>
      <c r="E23" s="246">
        <v>6783245</v>
      </c>
      <c r="F23" s="246">
        <f>G23-E23</f>
        <v>-83245</v>
      </c>
      <c r="G23" s="246">
        <v>6700000</v>
      </c>
      <c r="H23" s="246">
        <f>G23</f>
        <v>6700000</v>
      </c>
      <c r="I23" s="246">
        <v>0</v>
      </c>
      <c r="J23" s="246">
        <v>0</v>
      </c>
    </row>
    <row r="24" spans="1:10" ht="15" customHeight="1">
      <c r="A24" s="125" t="s">
        <v>176</v>
      </c>
      <c r="B24" s="126" t="s">
        <v>177</v>
      </c>
      <c r="C24" s="296">
        <v>46560245</v>
      </c>
      <c r="D24" s="246">
        <v>47741858</v>
      </c>
      <c r="E24" s="246">
        <v>10000</v>
      </c>
      <c r="F24" s="246">
        <f>G24-E24</f>
        <v>0</v>
      </c>
      <c r="G24" s="246">
        <v>10000</v>
      </c>
      <c r="H24" s="246">
        <f>G24</f>
        <v>10000</v>
      </c>
      <c r="I24" s="246">
        <v>0</v>
      </c>
      <c r="J24" s="246">
        <v>0</v>
      </c>
    </row>
    <row r="25" spans="1:10" ht="30.75" customHeight="1">
      <c r="A25" s="293" t="s">
        <v>184</v>
      </c>
      <c r="B25" s="297" t="s">
        <v>185</v>
      </c>
      <c r="C25" s="298">
        <v>10838079</v>
      </c>
      <c r="D25" s="250">
        <v>10716052</v>
      </c>
      <c r="E25" s="250">
        <v>1400000</v>
      </c>
      <c r="F25" s="250">
        <f>G25-E25</f>
        <v>0</v>
      </c>
      <c r="G25" s="250">
        <v>1400000</v>
      </c>
      <c r="H25" s="773">
        <f>G25</f>
        <v>1400000</v>
      </c>
      <c r="I25" s="250">
        <v>0</v>
      </c>
      <c r="J25" s="250">
        <v>0</v>
      </c>
    </row>
    <row r="26" spans="1:10" ht="15" customHeight="1">
      <c r="A26" s="293" t="s">
        <v>186</v>
      </c>
      <c r="B26" s="270" t="s">
        <v>187</v>
      </c>
      <c r="C26" s="294">
        <f aca="true" t="shared" si="1" ref="C26:H26">SUM(C27:C31)</f>
        <v>31920000</v>
      </c>
      <c r="D26" s="250">
        <f t="shared" si="1"/>
        <v>29393152</v>
      </c>
      <c r="E26" s="250">
        <f>SUM(E27:E31)</f>
        <v>1365000</v>
      </c>
      <c r="F26" s="250">
        <f t="shared" si="1"/>
        <v>205245</v>
      </c>
      <c r="G26" s="250">
        <f t="shared" si="1"/>
        <v>1570245</v>
      </c>
      <c r="H26" s="250">
        <f t="shared" si="1"/>
        <v>1570245</v>
      </c>
      <c r="I26" s="250">
        <v>0</v>
      </c>
      <c r="J26" s="250">
        <v>0</v>
      </c>
    </row>
    <row r="27" spans="1:10" ht="15" customHeight="1">
      <c r="A27" s="125" t="s">
        <v>188</v>
      </c>
      <c r="B27" s="126" t="s">
        <v>189</v>
      </c>
      <c r="C27" s="296">
        <v>18790000</v>
      </c>
      <c r="D27" s="246">
        <v>18211785</v>
      </c>
      <c r="E27" s="246">
        <v>400000</v>
      </c>
      <c r="F27" s="246">
        <f>G27-E27</f>
        <v>-184136</v>
      </c>
      <c r="G27" s="246">
        <v>215864</v>
      </c>
      <c r="H27" s="246">
        <f>G27</f>
        <v>215864</v>
      </c>
      <c r="I27" s="246">
        <v>0</v>
      </c>
      <c r="J27" s="246">
        <v>0</v>
      </c>
    </row>
    <row r="28" spans="1:10" ht="15" customHeight="1">
      <c r="A28" s="125" t="s">
        <v>194</v>
      </c>
      <c r="B28" s="126" t="s">
        <v>195</v>
      </c>
      <c r="C28" s="296">
        <v>1360000</v>
      </c>
      <c r="D28" s="246">
        <v>1167083</v>
      </c>
      <c r="E28" s="246">
        <v>90000</v>
      </c>
      <c r="F28" s="246">
        <f>G28-E28</f>
        <v>-2619</v>
      </c>
      <c r="G28" s="246">
        <v>87381</v>
      </c>
      <c r="H28" s="246">
        <f>G28</f>
        <v>87381</v>
      </c>
      <c r="I28" s="246">
        <v>0</v>
      </c>
      <c r="J28" s="246">
        <v>0</v>
      </c>
    </row>
    <row r="29" spans="1:10" ht="15" customHeight="1">
      <c r="A29" s="125" t="s">
        <v>200</v>
      </c>
      <c r="B29" s="126" t="s">
        <v>201</v>
      </c>
      <c r="C29" s="296">
        <v>5390000</v>
      </c>
      <c r="D29" s="246">
        <v>5302314</v>
      </c>
      <c r="E29" s="246">
        <v>570000</v>
      </c>
      <c r="F29" s="246">
        <f>G29-E29</f>
        <v>-175000</v>
      </c>
      <c r="G29" s="246">
        <v>395000</v>
      </c>
      <c r="H29" s="246">
        <f>G29</f>
        <v>395000</v>
      </c>
      <c r="I29" s="246">
        <v>0</v>
      </c>
      <c r="J29" s="246">
        <v>0</v>
      </c>
    </row>
    <row r="30" spans="1:10" ht="15" customHeight="1">
      <c r="A30" s="125" t="s">
        <v>214</v>
      </c>
      <c r="B30" s="126" t="s">
        <v>215</v>
      </c>
      <c r="C30" s="296">
        <v>600000</v>
      </c>
      <c r="D30" s="246">
        <v>547444</v>
      </c>
      <c r="E30" s="246">
        <v>25000</v>
      </c>
      <c r="F30" s="246">
        <f>G30-E30</f>
        <v>207000</v>
      </c>
      <c r="G30" s="246">
        <v>232000</v>
      </c>
      <c r="H30" s="246">
        <f>G30</f>
        <v>232000</v>
      </c>
      <c r="I30" s="246">
        <v>0</v>
      </c>
      <c r="J30" s="246">
        <v>0</v>
      </c>
    </row>
    <row r="31" spans="1:10" ht="15" customHeight="1">
      <c r="A31" s="125" t="s">
        <v>216</v>
      </c>
      <c r="B31" s="126" t="s">
        <v>217</v>
      </c>
      <c r="C31" s="296">
        <v>5780000</v>
      </c>
      <c r="D31" s="246">
        <v>4164526</v>
      </c>
      <c r="E31" s="246">
        <v>280000</v>
      </c>
      <c r="F31" s="246">
        <f>G31-E31</f>
        <v>360000</v>
      </c>
      <c r="G31" s="246">
        <v>640000</v>
      </c>
      <c r="H31" s="246">
        <f>G31</f>
        <v>640000</v>
      </c>
      <c r="I31" s="246">
        <v>0</v>
      </c>
      <c r="J31" s="246">
        <v>0</v>
      </c>
    </row>
    <row r="32" spans="1:10" ht="15" customHeight="1">
      <c r="A32" s="299" t="s">
        <v>302</v>
      </c>
      <c r="B32" s="300" t="s">
        <v>231</v>
      </c>
      <c r="C32" s="301">
        <f>SUM(C33:C34)</f>
        <v>686200</v>
      </c>
      <c r="D32" s="301">
        <f>SUM(D33:D34)</f>
        <v>1335253</v>
      </c>
      <c r="E32" s="301">
        <f>E33</f>
        <v>137968</v>
      </c>
      <c r="F32" s="301">
        <f>F33</f>
        <v>0</v>
      </c>
      <c r="G32" s="301">
        <f>G33</f>
        <v>137968</v>
      </c>
      <c r="H32" s="301">
        <f>H33</f>
        <v>137968</v>
      </c>
      <c r="I32" s="301">
        <v>0</v>
      </c>
      <c r="J32" s="301">
        <f>J33</f>
        <v>0</v>
      </c>
    </row>
    <row r="33" spans="1:10" ht="15" customHeight="1">
      <c r="A33" s="125" t="s">
        <v>234</v>
      </c>
      <c r="B33" s="126" t="s">
        <v>303</v>
      </c>
      <c r="C33" s="296">
        <v>200000</v>
      </c>
      <c r="D33" s="246">
        <v>572951</v>
      </c>
      <c r="E33" s="246">
        <v>137968</v>
      </c>
      <c r="F33" s="302">
        <v>0</v>
      </c>
      <c r="G33" s="246">
        <v>137968</v>
      </c>
      <c r="H33" s="246">
        <v>137968</v>
      </c>
      <c r="I33" s="302">
        <v>0</v>
      </c>
      <c r="J33" s="246">
        <v>0</v>
      </c>
    </row>
    <row r="34" spans="1:10" ht="15" customHeight="1">
      <c r="A34" s="299" t="s">
        <v>292</v>
      </c>
      <c r="B34" s="300" t="s">
        <v>243</v>
      </c>
      <c r="C34" s="301">
        <f aca="true" t="shared" si="2" ref="C34:J34">SUM(C35:C36)</f>
        <v>486200</v>
      </c>
      <c r="D34" s="301">
        <f t="shared" si="2"/>
        <v>762302</v>
      </c>
      <c r="E34" s="301">
        <f t="shared" si="2"/>
        <v>64000</v>
      </c>
      <c r="F34" s="303">
        <f t="shared" si="2"/>
        <v>0</v>
      </c>
      <c r="G34" s="301">
        <f t="shared" si="2"/>
        <v>64000</v>
      </c>
      <c r="H34" s="301">
        <f t="shared" si="2"/>
        <v>64000</v>
      </c>
      <c r="I34" s="303">
        <f t="shared" si="2"/>
        <v>0</v>
      </c>
      <c r="J34" s="301">
        <f t="shared" si="2"/>
        <v>0</v>
      </c>
    </row>
    <row r="35" spans="1:10" ht="15" customHeight="1">
      <c r="A35" s="125" t="s">
        <v>246</v>
      </c>
      <c r="B35" s="126" t="s">
        <v>293</v>
      </c>
      <c r="C35" s="296">
        <v>200000</v>
      </c>
      <c r="D35" s="246">
        <v>572951</v>
      </c>
      <c r="E35" s="246">
        <v>50000</v>
      </c>
      <c r="F35" s="302">
        <v>0</v>
      </c>
      <c r="G35" s="246">
        <v>50000</v>
      </c>
      <c r="H35" s="246">
        <v>50000</v>
      </c>
      <c r="I35" s="302">
        <v>0</v>
      </c>
      <c r="J35" s="246">
        <v>0</v>
      </c>
    </row>
    <row r="36" spans="1:10" ht="15" customHeight="1">
      <c r="A36" s="125" t="s">
        <v>248</v>
      </c>
      <c r="B36" s="126" t="s">
        <v>294</v>
      </c>
      <c r="C36" s="296">
        <v>286200</v>
      </c>
      <c r="D36" s="246">
        <v>189351</v>
      </c>
      <c r="E36" s="246">
        <v>14000</v>
      </c>
      <c r="F36" s="302">
        <v>0</v>
      </c>
      <c r="G36" s="246">
        <v>14000</v>
      </c>
      <c r="H36" s="246">
        <v>14000</v>
      </c>
      <c r="I36" s="302">
        <v>0</v>
      </c>
      <c r="J36" s="246">
        <v>0</v>
      </c>
    </row>
    <row r="37" spans="1:10" ht="15" customHeight="1" thickBot="1">
      <c r="A37" s="161" t="s">
        <v>295</v>
      </c>
      <c r="B37" s="162" t="s">
        <v>271</v>
      </c>
      <c r="C37" s="304" t="e">
        <f>C22+C25+C26+#REF!</f>
        <v>#REF!</v>
      </c>
      <c r="D37" s="305" t="e">
        <f>D22++#REF!+D25+D26</f>
        <v>#REF!</v>
      </c>
      <c r="E37" s="305">
        <f aca="true" t="shared" si="3" ref="E37:J37">E22+E25+E26+E32+E34</f>
        <v>9760213</v>
      </c>
      <c r="F37" s="305">
        <f t="shared" si="3"/>
        <v>122000</v>
      </c>
      <c r="G37" s="305">
        <f t="shared" si="3"/>
        <v>9882213</v>
      </c>
      <c r="H37" s="305">
        <f t="shared" si="3"/>
        <v>9882213</v>
      </c>
      <c r="I37" s="305">
        <f t="shared" si="3"/>
        <v>0</v>
      </c>
      <c r="J37" s="305">
        <f t="shared" si="3"/>
        <v>0</v>
      </c>
    </row>
    <row r="38" spans="1:11" ht="16.5" thickTop="1">
      <c r="A38" s="290"/>
      <c r="B38" s="290"/>
      <c r="C38" s="290"/>
      <c r="D38" s="257"/>
      <c r="E38" s="257"/>
      <c r="F38" s="257"/>
      <c r="G38" s="257"/>
      <c r="H38" s="257"/>
      <c r="I38" s="257"/>
      <c r="J38" s="257"/>
      <c r="K38" s="306"/>
    </row>
    <row r="39" spans="1:11" ht="16.5" thickBot="1">
      <c r="A39" s="258"/>
      <c r="B39" s="259"/>
      <c r="C39" s="259"/>
      <c r="D39" s="259"/>
      <c r="F39" s="104"/>
      <c r="H39" s="104"/>
      <c r="J39" s="104"/>
      <c r="K39" s="104"/>
    </row>
    <row r="40" spans="1:11" ht="15" thickBot="1">
      <c r="A40" s="307" t="s">
        <v>296</v>
      </c>
      <c r="B40" s="308"/>
      <c r="C40" s="309"/>
      <c r="D40" s="309"/>
      <c r="E40" s="310">
        <v>2.5</v>
      </c>
      <c r="F40" s="395">
        <v>0</v>
      </c>
      <c r="G40" s="397">
        <v>2.5</v>
      </c>
      <c r="H40" s="104"/>
      <c r="I40" s="104"/>
      <c r="J40" s="104"/>
      <c r="K40" s="104"/>
    </row>
    <row r="41" spans="1:7" s="191" customFormat="1" ht="15" thickBot="1">
      <c r="A41" s="307" t="s">
        <v>297</v>
      </c>
      <c r="B41" s="308"/>
      <c r="C41" s="309"/>
      <c r="D41" s="309"/>
      <c r="E41" s="311">
        <v>0</v>
      </c>
      <c r="F41" s="396">
        <v>0</v>
      </c>
      <c r="G41" s="398">
        <v>0</v>
      </c>
    </row>
    <row r="42" spans="10:11" ht="12.75">
      <c r="J42" s="104"/>
      <c r="K42" s="104"/>
    </row>
    <row r="43" spans="10:11" ht="12.75">
      <c r="J43" s="104"/>
      <c r="K43" s="104"/>
    </row>
    <row r="44" ht="12.75">
      <c r="K44" s="104"/>
    </row>
  </sheetData>
  <sheetProtection/>
  <mergeCells count="17">
    <mergeCell ref="A5:B5"/>
    <mergeCell ref="E7:E8"/>
    <mergeCell ref="F7:F8"/>
    <mergeCell ref="A19:A20"/>
    <mergeCell ref="B19:B20"/>
    <mergeCell ref="E19:E20"/>
    <mergeCell ref="F19:F20"/>
    <mergeCell ref="G7:G8"/>
    <mergeCell ref="H19:J19"/>
    <mergeCell ref="G19:G20"/>
    <mergeCell ref="A2:J3"/>
    <mergeCell ref="A4:J4"/>
    <mergeCell ref="H7:J7"/>
    <mergeCell ref="B7:B8"/>
    <mergeCell ref="A7:A8"/>
    <mergeCell ref="A6:B6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view="pageBreakPreview" zoomScale="90" zoomScaleSheetLayoutView="90" zoomScalePageLayoutView="0" workbookViewId="0" topLeftCell="A1">
      <selection activeCell="A5" sqref="A5:A6"/>
    </sheetView>
  </sheetViews>
  <sheetFormatPr defaultColWidth="9.140625" defaultRowHeight="15"/>
  <cols>
    <col min="1" max="1" width="76.7109375" style="372" customWidth="1"/>
    <col min="2" max="2" width="10.7109375" style="372" hidden="1" customWidth="1"/>
    <col min="3" max="3" width="11.28125" style="372" hidden="1" customWidth="1"/>
    <col min="4" max="4" width="15.28125" style="372" hidden="1" customWidth="1"/>
    <col min="5" max="5" width="10.7109375" style="372" hidden="1" customWidth="1"/>
    <col min="6" max="6" width="11.28125" style="372" hidden="1" customWidth="1"/>
    <col min="7" max="7" width="16.28125" style="372" hidden="1" customWidth="1"/>
    <col min="8" max="8" width="10.7109375" style="372" hidden="1" customWidth="1"/>
    <col min="9" max="9" width="11.28125" style="372" hidden="1" customWidth="1"/>
    <col min="10" max="10" width="16.28125" style="372" hidden="1" customWidth="1"/>
    <col min="11" max="11" width="10.7109375" style="372" customWidth="1"/>
    <col min="12" max="12" width="11.28125" style="372" customWidth="1"/>
    <col min="13" max="13" width="16.28125" style="372" customWidth="1"/>
    <col min="14" max="14" width="10.7109375" style="372" hidden="1" customWidth="1"/>
    <col min="15" max="15" width="11.28125" style="372" hidden="1" customWidth="1"/>
    <col min="16" max="16" width="16.28125" style="372" hidden="1" customWidth="1"/>
    <col min="17" max="17" width="16.28125" style="611" hidden="1" customWidth="1"/>
    <col min="18" max="18" width="10.7109375" style="372" hidden="1" customWidth="1"/>
    <col min="19" max="19" width="11.28125" style="372" hidden="1" customWidth="1"/>
    <col min="20" max="20" width="16.28125" style="372" hidden="1" customWidth="1"/>
    <col min="21" max="21" width="16.28125" style="611" hidden="1" customWidth="1"/>
    <col min="22" max="22" width="10.7109375" style="372" customWidth="1"/>
    <col min="23" max="23" width="11.28125" style="372" customWidth="1"/>
    <col min="24" max="24" width="16.28125" style="372" customWidth="1"/>
    <col min="25" max="25" width="16.28125" style="611" hidden="1" customWidth="1"/>
    <col min="26" max="26" width="10.7109375" style="372" customWidth="1"/>
    <col min="27" max="27" width="11.28125" style="372" customWidth="1"/>
    <col min="28" max="28" width="16.28125" style="372" customWidth="1"/>
    <col min="29" max="29" width="16.28125" style="611" hidden="1" customWidth="1"/>
    <col min="30" max="16384" width="9.140625" style="472" customWidth="1"/>
  </cols>
  <sheetData>
    <row r="1" spans="1:29" ht="23.25" customHeight="1">
      <c r="A1" s="841" t="s">
        <v>513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</row>
    <row r="2" spans="1:29" ht="12.75" customHeight="1">
      <c r="A2" s="470"/>
      <c r="B2" s="470"/>
      <c r="C2" s="470"/>
      <c r="D2" s="473"/>
      <c r="E2" s="470"/>
      <c r="F2" s="470"/>
      <c r="G2" s="473"/>
      <c r="H2" s="470"/>
      <c r="I2" s="470"/>
      <c r="J2" s="473"/>
      <c r="K2" s="470"/>
      <c r="L2" s="470"/>
      <c r="M2" s="473"/>
      <c r="N2" s="470"/>
      <c r="O2" s="470"/>
      <c r="P2" s="473"/>
      <c r="Q2" s="474"/>
      <c r="R2" s="470"/>
      <c r="S2" s="470"/>
      <c r="T2" s="473"/>
      <c r="U2" s="474"/>
      <c r="V2" s="470"/>
      <c r="W2" s="470"/>
      <c r="X2" s="473"/>
      <c r="Y2" s="322"/>
      <c r="Z2" s="470"/>
      <c r="AA2" s="470"/>
      <c r="AB2" s="473"/>
      <c r="AC2" s="322"/>
    </row>
    <row r="3" spans="1:29" ht="12.75" customHeight="1">
      <c r="A3" s="801" t="s">
        <v>624</v>
      </c>
      <c r="B3" s="801"/>
      <c r="C3" s="470"/>
      <c r="D3" s="473"/>
      <c r="E3" s="470"/>
      <c r="F3" s="470"/>
      <c r="G3" s="473"/>
      <c r="H3" s="470"/>
      <c r="I3" s="470"/>
      <c r="J3" s="473"/>
      <c r="K3" s="470"/>
      <c r="L3" s="470"/>
      <c r="M3" s="473"/>
      <c r="N3" s="470"/>
      <c r="O3" s="470"/>
      <c r="P3" s="473"/>
      <c r="Q3" s="474"/>
      <c r="R3" s="470"/>
      <c r="S3" s="470"/>
      <c r="T3" s="473"/>
      <c r="U3" s="474"/>
      <c r="V3" s="470"/>
      <c r="W3" s="470"/>
      <c r="X3" s="473"/>
      <c r="Y3" s="322"/>
      <c r="Z3" s="470"/>
      <c r="AA3" s="470"/>
      <c r="AB3" s="473"/>
      <c r="AC3" s="322"/>
    </row>
    <row r="4" spans="1:29" ht="15.75" thickBot="1">
      <c r="A4" s="801" t="s">
        <v>625</v>
      </c>
      <c r="B4" s="801"/>
      <c r="C4" s="850"/>
      <c r="D4" s="850"/>
      <c r="F4" s="850"/>
      <c r="G4" s="850"/>
      <c r="I4" s="850"/>
      <c r="J4" s="850"/>
      <c r="L4" s="845"/>
      <c r="M4" s="845"/>
      <c r="O4" s="845"/>
      <c r="P4" s="845"/>
      <c r="Q4" s="475"/>
      <c r="S4" s="845"/>
      <c r="T4" s="845"/>
      <c r="U4" s="475"/>
      <c r="W4" s="845"/>
      <c r="X4" s="845"/>
      <c r="Y4" s="324"/>
      <c r="AA4" s="845" t="s">
        <v>3</v>
      </c>
      <c r="AB4" s="845"/>
      <c r="AC4" s="324" t="s">
        <v>514</v>
      </c>
    </row>
    <row r="5" spans="1:29" ht="14.25">
      <c r="A5" s="846" t="s">
        <v>515</v>
      </c>
      <c r="B5" s="848" t="s">
        <v>516</v>
      </c>
      <c r="C5" s="843"/>
      <c r="D5" s="849"/>
      <c r="E5" s="848" t="s">
        <v>517</v>
      </c>
      <c r="F5" s="843"/>
      <c r="G5" s="844"/>
      <c r="H5" s="842" t="s">
        <v>518</v>
      </c>
      <c r="I5" s="843"/>
      <c r="J5" s="844"/>
      <c r="K5" s="842" t="s">
        <v>611</v>
      </c>
      <c r="L5" s="843"/>
      <c r="M5" s="844"/>
      <c r="N5" s="842" t="s">
        <v>519</v>
      </c>
      <c r="O5" s="843"/>
      <c r="P5" s="844"/>
      <c r="Q5" s="838" t="s">
        <v>520</v>
      </c>
      <c r="R5" s="842" t="s">
        <v>521</v>
      </c>
      <c r="S5" s="843"/>
      <c r="T5" s="844"/>
      <c r="U5" s="838" t="s">
        <v>522</v>
      </c>
      <c r="V5" s="842" t="s">
        <v>612</v>
      </c>
      <c r="W5" s="843"/>
      <c r="X5" s="844"/>
      <c r="Y5" s="838" t="s">
        <v>523</v>
      </c>
      <c r="Z5" s="842" t="s">
        <v>613</v>
      </c>
      <c r="AA5" s="843"/>
      <c r="AB5" s="844"/>
      <c r="AC5" s="838" t="s">
        <v>524</v>
      </c>
    </row>
    <row r="6" spans="1:29" s="481" customFormat="1" ht="28.5">
      <c r="A6" s="847"/>
      <c r="B6" s="476" t="s">
        <v>525</v>
      </c>
      <c r="C6" s="476" t="s">
        <v>526</v>
      </c>
      <c r="D6" s="477" t="s">
        <v>527</v>
      </c>
      <c r="E6" s="476" t="s">
        <v>525</v>
      </c>
      <c r="F6" s="476" t="s">
        <v>526</v>
      </c>
      <c r="G6" s="478" t="s">
        <v>527</v>
      </c>
      <c r="H6" s="479" t="s">
        <v>525</v>
      </c>
      <c r="I6" s="476" t="s">
        <v>526</v>
      </c>
      <c r="J6" s="478" t="s">
        <v>527</v>
      </c>
      <c r="K6" s="479" t="s">
        <v>525</v>
      </c>
      <c r="L6" s="476" t="s">
        <v>526</v>
      </c>
      <c r="M6" s="480" t="s">
        <v>527</v>
      </c>
      <c r="N6" s="479" t="s">
        <v>525</v>
      </c>
      <c r="O6" s="476" t="s">
        <v>526</v>
      </c>
      <c r="P6" s="480" t="s">
        <v>527</v>
      </c>
      <c r="Q6" s="839"/>
      <c r="R6" s="479" t="s">
        <v>525</v>
      </c>
      <c r="S6" s="476" t="s">
        <v>526</v>
      </c>
      <c r="T6" s="480" t="s">
        <v>527</v>
      </c>
      <c r="U6" s="839"/>
      <c r="V6" s="479" t="s">
        <v>525</v>
      </c>
      <c r="W6" s="476" t="s">
        <v>526</v>
      </c>
      <c r="X6" s="480" t="s">
        <v>527</v>
      </c>
      <c r="Y6" s="839"/>
      <c r="Z6" s="479" t="s">
        <v>525</v>
      </c>
      <c r="AA6" s="476" t="s">
        <v>526</v>
      </c>
      <c r="AB6" s="480" t="s">
        <v>527</v>
      </c>
      <c r="AC6" s="839"/>
    </row>
    <row r="7" spans="1:29" ht="14.25">
      <c r="A7" s="482"/>
      <c r="B7" s="483"/>
      <c r="C7" s="484" t="s">
        <v>528</v>
      </c>
      <c r="D7" s="485" t="s">
        <v>529</v>
      </c>
      <c r="E7" s="483"/>
      <c r="F7" s="484" t="s">
        <v>528</v>
      </c>
      <c r="G7" s="486" t="s">
        <v>529</v>
      </c>
      <c r="H7" s="487"/>
      <c r="I7" s="484" t="s">
        <v>528</v>
      </c>
      <c r="J7" s="486" t="s">
        <v>529</v>
      </c>
      <c r="K7" s="482"/>
      <c r="L7" s="484" t="s">
        <v>528</v>
      </c>
      <c r="M7" s="486" t="s">
        <v>530</v>
      </c>
      <c r="N7" s="482"/>
      <c r="O7" s="484" t="s">
        <v>528</v>
      </c>
      <c r="P7" s="486" t="s">
        <v>529</v>
      </c>
      <c r="Q7" s="840"/>
      <c r="R7" s="482"/>
      <c r="S7" s="484" t="s">
        <v>528</v>
      </c>
      <c r="T7" s="486" t="s">
        <v>529</v>
      </c>
      <c r="U7" s="840"/>
      <c r="V7" s="482"/>
      <c r="W7" s="484" t="s">
        <v>528</v>
      </c>
      <c r="X7" s="486" t="s">
        <v>530</v>
      </c>
      <c r="Y7" s="840"/>
      <c r="Z7" s="482"/>
      <c r="AA7" s="484" t="s">
        <v>528</v>
      </c>
      <c r="AB7" s="486" t="s">
        <v>530</v>
      </c>
      <c r="AC7" s="840"/>
    </row>
    <row r="8" spans="1:29" ht="15">
      <c r="A8" s="488" t="s">
        <v>531</v>
      </c>
      <c r="B8" s="489"/>
      <c r="C8" s="489"/>
      <c r="D8" s="490"/>
      <c r="E8" s="489"/>
      <c r="F8" s="489"/>
      <c r="G8" s="491"/>
      <c r="H8" s="492"/>
      <c r="I8" s="489"/>
      <c r="J8" s="491"/>
      <c r="K8" s="492"/>
      <c r="L8" s="489"/>
      <c r="M8" s="491"/>
      <c r="N8" s="492"/>
      <c r="O8" s="489"/>
      <c r="P8" s="491"/>
      <c r="Q8" s="493"/>
      <c r="R8" s="492"/>
      <c r="S8" s="489"/>
      <c r="T8" s="491"/>
      <c r="U8" s="493"/>
      <c r="V8" s="492"/>
      <c r="W8" s="489"/>
      <c r="X8" s="491"/>
      <c r="Y8" s="493"/>
      <c r="Z8" s="492"/>
      <c r="AA8" s="489"/>
      <c r="AB8" s="491"/>
      <c r="AC8" s="494"/>
    </row>
    <row r="9" spans="1:29" ht="15">
      <c r="A9" s="495" t="s">
        <v>532</v>
      </c>
      <c r="B9" s="496">
        <v>11.14</v>
      </c>
      <c r="C9" s="497">
        <v>4580000</v>
      </c>
      <c r="D9" s="498">
        <f>B9*C9</f>
        <v>51021200</v>
      </c>
      <c r="E9" s="496">
        <v>11.14</v>
      </c>
      <c r="F9" s="497">
        <v>4580000</v>
      </c>
      <c r="G9" s="499">
        <f>E9*F9</f>
        <v>51021200</v>
      </c>
      <c r="H9" s="500">
        <v>11.14</v>
      </c>
      <c r="I9" s="497">
        <v>4580000</v>
      </c>
      <c r="J9" s="499">
        <f>H9*I9</f>
        <v>51021200</v>
      </c>
      <c r="K9" s="500">
        <v>11.14</v>
      </c>
      <c r="L9" s="497">
        <v>4580000</v>
      </c>
      <c r="M9" s="499">
        <f>K9*L9</f>
        <v>51021200</v>
      </c>
      <c r="N9" s="500">
        <v>11.14</v>
      </c>
      <c r="O9" s="497">
        <v>4580000</v>
      </c>
      <c r="P9" s="499">
        <f>N9*O9</f>
        <v>51021200</v>
      </c>
      <c r="Q9" s="501">
        <v>0</v>
      </c>
      <c r="R9" s="500">
        <v>11.14</v>
      </c>
      <c r="S9" s="497">
        <v>4580000</v>
      </c>
      <c r="T9" s="499">
        <f>R9*S9</f>
        <v>51021200</v>
      </c>
      <c r="U9" s="501"/>
      <c r="V9" s="500"/>
      <c r="W9" s="497"/>
      <c r="X9" s="499">
        <f>V9*W9</f>
        <v>0</v>
      </c>
      <c r="Y9" s="501"/>
      <c r="Z9" s="500">
        <v>11.14</v>
      </c>
      <c r="AA9" s="497">
        <v>4580000</v>
      </c>
      <c r="AB9" s="499">
        <f>Z9*AA9</f>
        <v>51021200</v>
      </c>
      <c r="AC9" s="502">
        <f aca="true" t="shared" si="0" ref="AC9:AC26">AB9-X9</f>
        <v>51021200</v>
      </c>
    </row>
    <row r="10" spans="1:29" ht="15.75">
      <c r="A10" s="495" t="s">
        <v>533</v>
      </c>
      <c r="B10" s="496"/>
      <c r="C10" s="497"/>
      <c r="D10" s="503">
        <v>44562190</v>
      </c>
      <c r="E10" s="496"/>
      <c r="F10" s="497"/>
      <c r="G10" s="504">
        <v>41241986</v>
      </c>
      <c r="H10" s="500"/>
      <c r="I10" s="497"/>
      <c r="J10" s="504">
        <v>41241986</v>
      </c>
      <c r="K10" s="500"/>
      <c r="L10" s="497"/>
      <c r="M10" s="504">
        <v>40177294</v>
      </c>
      <c r="N10" s="500"/>
      <c r="O10" s="497"/>
      <c r="P10" s="504">
        <v>44635962</v>
      </c>
      <c r="Q10" s="505"/>
      <c r="R10" s="500"/>
      <c r="S10" s="497"/>
      <c r="T10" s="504">
        <v>44635962</v>
      </c>
      <c r="U10" s="505"/>
      <c r="V10" s="500"/>
      <c r="W10" s="497"/>
      <c r="X10" s="504"/>
      <c r="Y10" s="505"/>
      <c r="Z10" s="500"/>
      <c r="AA10" s="497"/>
      <c r="AB10" s="504">
        <v>40177294</v>
      </c>
      <c r="AC10" s="502">
        <f t="shared" si="0"/>
        <v>40177294</v>
      </c>
    </row>
    <row r="11" spans="1:29" ht="15">
      <c r="A11" s="495" t="s">
        <v>534</v>
      </c>
      <c r="B11" s="497"/>
      <c r="C11" s="497"/>
      <c r="D11" s="498">
        <f>D13+D15+D17+D19</f>
        <v>8546248</v>
      </c>
      <c r="E11" s="497"/>
      <c r="F11" s="497"/>
      <c r="G11" s="499">
        <f>G13+G15+G17+G19</f>
        <v>8482248</v>
      </c>
      <c r="H11" s="506"/>
      <c r="I11" s="497"/>
      <c r="J11" s="499">
        <f>J13+J15+J17+J19</f>
        <v>8482248</v>
      </c>
      <c r="K11" s="506"/>
      <c r="L11" s="497"/>
      <c r="M11" s="499">
        <f>M13+M15+M17+M19</f>
        <v>8482248</v>
      </c>
      <c r="N11" s="506"/>
      <c r="O11" s="497"/>
      <c r="P11" s="499">
        <f>P13+P15+P17+P19</f>
        <v>8482248</v>
      </c>
      <c r="Q11" s="501"/>
      <c r="R11" s="506"/>
      <c r="S11" s="497"/>
      <c r="T11" s="499">
        <f>T13+T15+T17+T19</f>
        <v>8482248</v>
      </c>
      <c r="U11" s="501"/>
      <c r="V11" s="506"/>
      <c r="W11" s="497"/>
      <c r="X11" s="499"/>
      <c r="Y11" s="501"/>
      <c r="Z11" s="506"/>
      <c r="AA11" s="497"/>
      <c r="AB11" s="499">
        <f>AB13+AB15+AB17+AB19</f>
        <v>8482248</v>
      </c>
      <c r="AC11" s="502">
        <f t="shared" si="0"/>
        <v>8482248</v>
      </c>
    </row>
    <row r="12" spans="1:29" ht="15.75">
      <c r="A12" s="495" t="s">
        <v>535</v>
      </c>
      <c r="B12" s="497"/>
      <c r="C12" s="497"/>
      <c r="D12" s="503">
        <v>0</v>
      </c>
      <c r="E12" s="497"/>
      <c r="F12" s="497"/>
      <c r="G12" s="504">
        <v>0</v>
      </c>
      <c r="H12" s="506"/>
      <c r="I12" s="497"/>
      <c r="J12" s="504">
        <v>0</v>
      </c>
      <c r="K12" s="506"/>
      <c r="L12" s="497"/>
      <c r="M12" s="504">
        <v>0</v>
      </c>
      <c r="N12" s="506"/>
      <c r="O12" s="497"/>
      <c r="P12" s="504">
        <v>0</v>
      </c>
      <c r="Q12" s="505"/>
      <c r="R12" s="506"/>
      <c r="S12" s="497"/>
      <c r="T12" s="504">
        <v>0</v>
      </c>
      <c r="U12" s="505"/>
      <c r="V12" s="506"/>
      <c r="W12" s="497"/>
      <c r="X12" s="504">
        <v>0</v>
      </c>
      <c r="Y12" s="505"/>
      <c r="Z12" s="506"/>
      <c r="AA12" s="497"/>
      <c r="AB12" s="504">
        <v>0</v>
      </c>
      <c r="AC12" s="502">
        <f t="shared" si="0"/>
        <v>0</v>
      </c>
    </row>
    <row r="13" spans="1:29" ht="15">
      <c r="A13" s="507" t="s">
        <v>536</v>
      </c>
      <c r="B13" s="508"/>
      <c r="C13" s="509"/>
      <c r="D13" s="510">
        <v>3447580</v>
      </c>
      <c r="E13" s="508"/>
      <c r="F13" s="509"/>
      <c r="G13" s="511">
        <v>3447580</v>
      </c>
      <c r="H13" s="512"/>
      <c r="I13" s="509"/>
      <c r="J13" s="511">
        <v>3447580</v>
      </c>
      <c r="K13" s="512"/>
      <c r="L13" s="509"/>
      <c r="M13" s="511">
        <v>3447580</v>
      </c>
      <c r="N13" s="512"/>
      <c r="O13" s="509"/>
      <c r="P13" s="511">
        <v>3447580</v>
      </c>
      <c r="Q13" s="513"/>
      <c r="R13" s="512"/>
      <c r="S13" s="509"/>
      <c r="T13" s="511">
        <v>3447580</v>
      </c>
      <c r="U13" s="513"/>
      <c r="V13" s="512"/>
      <c r="W13" s="509"/>
      <c r="X13" s="511"/>
      <c r="Y13" s="513"/>
      <c r="Z13" s="512"/>
      <c r="AA13" s="509"/>
      <c r="AB13" s="511">
        <v>3447580</v>
      </c>
      <c r="AC13" s="502">
        <f t="shared" si="0"/>
        <v>3447580</v>
      </c>
    </row>
    <row r="14" spans="1:29" ht="15">
      <c r="A14" s="507" t="s">
        <v>537</v>
      </c>
      <c r="B14" s="508"/>
      <c r="C14" s="509"/>
      <c r="D14" s="510">
        <v>0</v>
      </c>
      <c r="E14" s="508"/>
      <c r="F14" s="509"/>
      <c r="G14" s="511">
        <v>0</v>
      </c>
      <c r="H14" s="512"/>
      <c r="I14" s="509"/>
      <c r="J14" s="511">
        <v>0</v>
      </c>
      <c r="K14" s="512"/>
      <c r="L14" s="509"/>
      <c r="M14" s="511">
        <v>0</v>
      </c>
      <c r="N14" s="512"/>
      <c r="O14" s="509"/>
      <c r="P14" s="511">
        <v>0</v>
      </c>
      <c r="Q14" s="513"/>
      <c r="R14" s="512"/>
      <c r="S14" s="509"/>
      <c r="T14" s="511">
        <v>0</v>
      </c>
      <c r="U14" s="513"/>
      <c r="V14" s="512"/>
      <c r="W14" s="509"/>
      <c r="X14" s="511">
        <v>0</v>
      </c>
      <c r="Y14" s="513"/>
      <c r="Z14" s="512"/>
      <c r="AA14" s="509"/>
      <c r="AB14" s="511">
        <v>0</v>
      </c>
      <c r="AC14" s="502">
        <f t="shared" si="0"/>
        <v>0</v>
      </c>
    </row>
    <row r="15" spans="1:29" ht="15">
      <c r="A15" s="507" t="s">
        <v>538</v>
      </c>
      <c r="B15" s="514"/>
      <c r="C15" s="514"/>
      <c r="D15" s="510">
        <v>2688000</v>
      </c>
      <c r="E15" s="514"/>
      <c r="F15" s="514"/>
      <c r="G15" s="511">
        <v>2624000</v>
      </c>
      <c r="H15" s="515"/>
      <c r="I15" s="514"/>
      <c r="J15" s="511">
        <v>2624000</v>
      </c>
      <c r="K15" s="515"/>
      <c r="L15" s="514"/>
      <c r="M15" s="511">
        <v>2624000</v>
      </c>
      <c r="N15" s="515"/>
      <c r="O15" s="514"/>
      <c r="P15" s="511">
        <v>2624000</v>
      </c>
      <c r="Q15" s="513"/>
      <c r="R15" s="515"/>
      <c r="S15" s="514"/>
      <c r="T15" s="511">
        <v>2624000</v>
      </c>
      <c r="U15" s="513"/>
      <c r="V15" s="515"/>
      <c r="W15" s="514"/>
      <c r="X15" s="511"/>
      <c r="Y15" s="513"/>
      <c r="Z15" s="515"/>
      <c r="AA15" s="514"/>
      <c r="AB15" s="511">
        <v>2624000</v>
      </c>
      <c r="AC15" s="502">
        <f t="shared" si="0"/>
        <v>2624000</v>
      </c>
    </row>
    <row r="16" spans="1:29" ht="15">
      <c r="A16" s="507" t="s">
        <v>539</v>
      </c>
      <c r="B16" s="514"/>
      <c r="C16" s="514"/>
      <c r="D16" s="510">
        <v>0</v>
      </c>
      <c r="E16" s="514"/>
      <c r="F16" s="514"/>
      <c r="G16" s="511">
        <v>0</v>
      </c>
      <c r="H16" s="515"/>
      <c r="I16" s="514"/>
      <c r="J16" s="511">
        <v>0</v>
      </c>
      <c r="K16" s="515"/>
      <c r="L16" s="514"/>
      <c r="M16" s="511">
        <v>0</v>
      </c>
      <c r="N16" s="515"/>
      <c r="O16" s="514"/>
      <c r="P16" s="511">
        <v>0</v>
      </c>
      <c r="Q16" s="513"/>
      <c r="R16" s="515"/>
      <c r="S16" s="514"/>
      <c r="T16" s="511">
        <v>0</v>
      </c>
      <c r="U16" s="513"/>
      <c r="V16" s="515"/>
      <c r="W16" s="514"/>
      <c r="X16" s="511">
        <v>0</v>
      </c>
      <c r="Y16" s="513"/>
      <c r="Z16" s="515"/>
      <c r="AA16" s="514"/>
      <c r="AB16" s="511">
        <v>0</v>
      </c>
      <c r="AC16" s="502">
        <f t="shared" si="0"/>
        <v>0</v>
      </c>
    </row>
    <row r="17" spans="1:29" ht="15">
      <c r="A17" s="507" t="s">
        <v>540</v>
      </c>
      <c r="B17" s="514"/>
      <c r="C17" s="514"/>
      <c r="D17" s="510">
        <v>1184868</v>
      </c>
      <c r="E17" s="514"/>
      <c r="F17" s="514"/>
      <c r="G17" s="511">
        <v>1184868</v>
      </c>
      <c r="H17" s="515"/>
      <c r="I17" s="514"/>
      <c r="J17" s="511">
        <v>1184868</v>
      </c>
      <c r="K17" s="515"/>
      <c r="L17" s="514"/>
      <c r="M17" s="511">
        <v>1184868</v>
      </c>
      <c r="N17" s="515"/>
      <c r="O17" s="514"/>
      <c r="P17" s="511">
        <v>1184868</v>
      </c>
      <c r="Q17" s="513"/>
      <c r="R17" s="515"/>
      <c r="S17" s="514"/>
      <c r="T17" s="511">
        <v>1184868</v>
      </c>
      <c r="U17" s="513"/>
      <c r="V17" s="515"/>
      <c r="W17" s="514"/>
      <c r="X17" s="511"/>
      <c r="Y17" s="513"/>
      <c r="Z17" s="515"/>
      <c r="AA17" s="514"/>
      <c r="AB17" s="511">
        <v>1184868</v>
      </c>
      <c r="AC17" s="502">
        <f t="shared" si="0"/>
        <v>1184868</v>
      </c>
    </row>
    <row r="18" spans="1:29" ht="15">
      <c r="A18" s="507" t="s">
        <v>541</v>
      </c>
      <c r="B18" s="514"/>
      <c r="C18" s="514"/>
      <c r="D18" s="510">
        <v>0</v>
      </c>
      <c r="E18" s="514"/>
      <c r="F18" s="514"/>
      <c r="G18" s="511">
        <v>0</v>
      </c>
      <c r="H18" s="515"/>
      <c r="I18" s="514"/>
      <c r="J18" s="511">
        <v>0</v>
      </c>
      <c r="K18" s="515"/>
      <c r="L18" s="514"/>
      <c r="M18" s="511">
        <v>0</v>
      </c>
      <c r="N18" s="515"/>
      <c r="O18" s="514"/>
      <c r="P18" s="511">
        <v>0</v>
      </c>
      <c r="Q18" s="513"/>
      <c r="R18" s="515"/>
      <c r="S18" s="514"/>
      <c r="T18" s="511">
        <v>0</v>
      </c>
      <c r="U18" s="513"/>
      <c r="V18" s="515"/>
      <c r="W18" s="514"/>
      <c r="X18" s="511">
        <v>0</v>
      </c>
      <c r="Y18" s="513"/>
      <c r="Z18" s="515"/>
      <c r="AA18" s="514"/>
      <c r="AB18" s="511">
        <v>0</v>
      </c>
      <c r="AC18" s="502">
        <f t="shared" si="0"/>
        <v>0</v>
      </c>
    </row>
    <row r="19" spans="1:29" ht="15">
      <c r="A19" s="507" t="s">
        <v>542</v>
      </c>
      <c r="B19" s="514"/>
      <c r="C19" s="514"/>
      <c r="D19" s="510">
        <v>1225800</v>
      </c>
      <c r="E19" s="514"/>
      <c r="F19" s="514"/>
      <c r="G19" s="511">
        <v>1225800</v>
      </c>
      <c r="H19" s="515"/>
      <c r="I19" s="514"/>
      <c r="J19" s="511">
        <v>1225800</v>
      </c>
      <c r="K19" s="515"/>
      <c r="L19" s="514"/>
      <c r="M19" s="511">
        <v>1225800</v>
      </c>
      <c r="N19" s="515"/>
      <c r="O19" s="514"/>
      <c r="P19" s="511">
        <v>1225800</v>
      </c>
      <c r="Q19" s="513"/>
      <c r="R19" s="515"/>
      <c r="S19" s="514"/>
      <c r="T19" s="511">
        <v>1225800</v>
      </c>
      <c r="U19" s="513"/>
      <c r="V19" s="515"/>
      <c r="W19" s="514"/>
      <c r="X19" s="511"/>
      <c r="Y19" s="513"/>
      <c r="Z19" s="515"/>
      <c r="AA19" s="514"/>
      <c r="AB19" s="511">
        <v>1225800</v>
      </c>
      <c r="AC19" s="502">
        <f t="shared" si="0"/>
        <v>1225800</v>
      </c>
    </row>
    <row r="20" spans="1:29" ht="15">
      <c r="A20" s="507" t="s">
        <v>543</v>
      </c>
      <c r="B20" s="514"/>
      <c r="C20" s="514"/>
      <c r="D20" s="510">
        <v>0</v>
      </c>
      <c r="E20" s="514"/>
      <c r="F20" s="514"/>
      <c r="G20" s="511">
        <v>0</v>
      </c>
      <c r="H20" s="515"/>
      <c r="I20" s="514"/>
      <c r="J20" s="511">
        <v>0</v>
      </c>
      <c r="K20" s="515"/>
      <c r="L20" s="514"/>
      <c r="M20" s="511">
        <v>0</v>
      </c>
      <c r="N20" s="515"/>
      <c r="O20" s="514"/>
      <c r="P20" s="511">
        <v>0</v>
      </c>
      <c r="Q20" s="513"/>
      <c r="R20" s="515"/>
      <c r="S20" s="514"/>
      <c r="T20" s="511">
        <v>0</v>
      </c>
      <c r="U20" s="513"/>
      <c r="V20" s="515"/>
      <c r="W20" s="514"/>
      <c r="X20" s="511">
        <v>0</v>
      </c>
      <c r="Y20" s="513"/>
      <c r="Z20" s="515"/>
      <c r="AA20" s="514"/>
      <c r="AB20" s="511">
        <v>0</v>
      </c>
      <c r="AC20" s="502">
        <f t="shared" si="0"/>
        <v>0</v>
      </c>
    </row>
    <row r="21" spans="1:29" ht="15">
      <c r="A21" s="495" t="s">
        <v>544</v>
      </c>
      <c r="B21" s="516"/>
      <c r="C21" s="516"/>
      <c r="D21" s="517">
        <v>3500000</v>
      </c>
      <c r="E21" s="516"/>
      <c r="F21" s="516"/>
      <c r="G21" s="518">
        <v>3500000</v>
      </c>
      <c r="H21" s="519"/>
      <c r="I21" s="516"/>
      <c r="J21" s="518">
        <v>3500000</v>
      </c>
      <c r="K21" s="519"/>
      <c r="L21" s="516"/>
      <c r="M21" s="518">
        <v>3500000</v>
      </c>
      <c r="N21" s="519"/>
      <c r="O21" s="516"/>
      <c r="P21" s="518">
        <v>3500000</v>
      </c>
      <c r="Q21" s="520"/>
      <c r="R21" s="519"/>
      <c r="S21" s="516"/>
      <c r="T21" s="518">
        <v>3500000</v>
      </c>
      <c r="U21" s="520"/>
      <c r="V21" s="519"/>
      <c r="W21" s="516"/>
      <c r="X21" s="518"/>
      <c r="Y21" s="520"/>
      <c r="Z21" s="519"/>
      <c r="AA21" s="516"/>
      <c r="AB21" s="518">
        <v>3500000</v>
      </c>
      <c r="AC21" s="502">
        <f t="shared" si="0"/>
        <v>3500000</v>
      </c>
    </row>
    <row r="22" spans="1:29" ht="14.25" customHeight="1">
      <c r="A22" s="495" t="s">
        <v>545</v>
      </c>
      <c r="B22" s="516"/>
      <c r="C22" s="516"/>
      <c r="D22" s="521">
        <v>0</v>
      </c>
      <c r="E22" s="516"/>
      <c r="F22" s="516"/>
      <c r="G22" s="522">
        <v>0</v>
      </c>
      <c r="H22" s="519"/>
      <c r="I22" s="516"/>
      <c r="J22" s="522">
        <v>0</v>
      </c>
      <c r="K22" s="519"/>
      <c r="L22" s="516"/>
      <c r="M22" s="522">
        <v>0</v>
      </c>
      <c r="N22" s="519"/>
      <c r="O22" s="516"/>
      <c r="P22" s="522">
        <v>0</v>
      </c>
      <c r="Q22" s="523"/>
      <c r="R22" s="519"/>
      <c r="S22" s="516"/>
      <c r="T22" s="522">
        <v>0</v>
      </c>
      <c r="U22" s="523"/>
      <c r="V22" s="519"/>
      <c r="W22" s="516"/>
      <c r="X22" s="522">
        <v>0</v>
      </c>
      <c r="Y22" s="523"/>
      <c r="Z22" s="519"/>
      <c r="AA22" s="516"/>
      <c r="AB22" s="522">
        <v>0</v>
      </c>
      <c r="AC22" s="502">
        <f t="shared" si="0"/>
        <v>0</v>
      </c>
    </row>
    <row r="23" spans="1:29" ht="15">
      <c r="A23" s="495" t="s">
        <v>546</v>
      </c>
      <c r="B23" s="516"/>
      <c r="C23" s="516"/>
      <c r="D23" s="517">
        <v>7650</v>
      </c>
      <c r="E23" s="516"/>
      <c r="F23" s="516"/>
      <c r="G23" s="518">
        <v>7650</v>
      </c>
      <c r="H23" s="519"/>
      <c r="I23" s="516"/>
      <c r="J23" s="518">
        <v>7650</v>
      </c>
      <c r="K23" s="519"/>
      <c r="L23" s="516"/>
      <c r="M23" s="518">
        <v>7650</v>
      </c>
      <c r="N23" s="519"/>
      <c r="O23" s="516"/>
      <c r="P23" s="518">
        <v>7650</v>
      </c>
      <c r="Q23" s="520"/>
      <c r="R23" s="519"/>
      <c r="S23" s="516"/>
      <c r="T23" s="518">
        <v>7650</v>
      </c>
      <c r="U23" s="520"/>
      <c r="V23" s="519"/>
      <c r="W23" s="516"/>
      <c r="X23" s="518"/>
      <c r="Y23" s="520"/>
      <c r="Z23" s="519"/>
      <c r="AA23" s="516"/>
      <c r="AB23" s="518">
        <v>7650</v>
      </c>
      <c r="AC23" s="502">
        <f t="shared" si="0"/>
        <v>7650</v>
      </c>
    </row>
    <row r="24" spans="1:29" ht="14.25" customHeight="1">
      <c r="A24" s="495" t="s">
        <v>547</v>
      </c>
      <c r="B24" s="516"/>
      <c r="C24" s="516"/>
      <c r="D24" s="521">
        <v>0</v>
      </c>
      <c r="E24" s="516"/>
      <c r="F24" s="516"/>
      <c r="G24" s="522">
        <v>0</v>
      </c>
      <c r="H24" s="519"/>
      <c r="I24" s="516"/>
      <c r="J24" s="522">
        <v>0</v>
      </c>
      <c r="K24" s="519"/>
      <c r="L24" s="516"/>
      <c r="M24" s="522">
        <v>0</v>
      </c>
      <c r="N24" s="519"/>
      <c r="O24" s="516"/>
      <c r="P24" s="522">
        <v>0</v>
      </c>
      <c r="Q24" s="523"/>
      <c r="R24" s="519"/>
      <c r="S24" s="516"/>
      <c r="T24" s="522">
        <v>0</v>
      </c>
      <c r="U24" s="523"/>
      <c r="V24" s="519"/>
      <c r="W24" s="516"/>
      <c r="X24" s="522">
        <v>0</v>
      </c>
      <c r="Y24" s="523"/>
      <c r="Z24" s="519"/>
      <c r="AA24" s="516"/>
      <c r="AB24" s="522">
        <v>0</v>
      </c>
      <c r="AC24" s="502">
        <f t="shared" si="0"/>
        <v>0</v>
      </c>
    </row>
    <row r="25" spans="1:29" ht="14.25" customHeight="1">
      <c r="A25" s="495" t="s">
        <v>548</v>
      </c>
      <c r="B25" s="516"/>
      <c r="C25" s="516"/>
      <c r="D25" s="517">
        <v>58900</v>
      </c>
      <c r="E25" s="516"/>
      <c r="F25" s="516"/>
      <c r="G25" s="518">
        <v>18000</v>
      </c>
      <c r="H25" s="519"/>
      <c r="I25" s="516"/>
      <c r="J25" s="518">
        <v>18000</v>
      </c>
      <c r="K25" s="519"/>
      <c r="L25" s="516"/>
      <c r="M25" s="518">
        <v>0</v>
      </c>
      <c r="N25" s="519"/>
      <c r="O25" s="516"/>
      <c r="P25" s="518">
        <v>0</v>
      </c>
      <c r="Q25" s="520"/>
      <c r="R25" s="519"/>
      <c r="S25" s="516"/>
      <c r="T25" s="518">
        <v>0</v>
      </c>
      <c r="U25" s="520"/>
      <c r="V25" s="519"/>
      <c r="W25" s="516"/>
      <c r="X25" s="518">
        <v>0</v>
      </c>
      <c r="Y25" s="520"/>
      <c r="Z25" s="519"/>
      <c r="AA25" s="516"/>
      <c r="AB25" s="518">
        <v>0</v>
      </c>
      <c r="AC25" s="502">
        <f t="shared" si="0"/>
        <v>0</v>
      </c>
    </row>
    <row r="26" spans="1:29" ht="14.25" customHeight="1">
      <c r="A26" s="495" t="s">
        <v>549</v>
      </c>
      <c r="B26" s="516"/>
      <c r="C26" s="516"/>
      <c r="D26" s="521">
        <v>0</v>
      </c>
      <c r="E26" s="516"/>
      <c r="F26" s="516"/>
      <c r="G26" s="522">
        <v>0</v>
      </c>
      <c r="H26" s="519"/>
      <c r="I26" s="516"/>
      <c r="J26" s="522">
        <v>0</v>
      </c>
      <c r="K26" s="519"/>
      <c r="L26" s="516"/>
      <c r="M26" s="522">
        <v>0</v>
      </c>
      <c r="N26" s="519"/>
      <c r="O26" s="516"/>
      <c r="P26" s="522">
        <v>0</v>
      </c>
      <c r="Q26" s="523"/>
      <c r="R26" s="519"/>
      <c r="S26" s="516"/>
      <c r="T26" s="522">
        <v>0</v>
      </c>
      <c r="U26" s="523"/>
      <c r="V26" s="519"/>
      <c r="W26" s="516"/>
      <c r="X26" s="522">
        <v>0</v>
      </c>
      <c r="Y26" s="523"/>
      <c r="Z26" s="519"/>
      <c r="AA26" s="516"/>
      <c r="AB26" s="522">
        <v>0</v>
      </c>
      <c r="AC26" s="502">
        <f t="shared" si="0"/>
        <v>0</v>
      </c>
    </row>
    <row r="27" spans="1:29" ht="14.25" customHeight="1">
      <c r="A27" s="495" t="s">
        <v>550</v>
      </c>
      <c r="B27" s="516"/>
      <c r="C27" s="516"/>
      <c r="D27" s="517">
        <f>D9-D10+D11+D21+D25+D23</f>
        <v>18571808</v>
      </c>
      <c r="E27" s="516"/>
      <c r="F27" s="516"/>
      <c r="G27" s="518">
        <f>G9-G10+G11+G21+G23+G25</f>
        <v>21787112</v>
      </c>
      <c r="H27" s="519"/>
      <c r="I27" s="516"/>
      <c r="J27" s="518">
        <f>J9-J10+J11+J21+J23+J25</f>
        <v>21787112</v>
      </c>
      <c r="K27" s="519"/>
      <c r="L27" s="516"/>
      <c r="M27" s="518">
        <f>M9-M10+M11+M21+M23+M25</f>
        <v>22833804</v>
      </c>
      <c r="N27" s="519"/>
      <c r="O27" s="516"/>
      <c r="P27" s="518">
        <f>P9-P10+P11+P21+P23+P25</f>
        <v>18375136</v>
      </c>
      <c r="Q27" s="520"/>
      <c r="R27" s="519"/>
      <c r="S27" s="516"/>
      <c r="T27" s="518">
        <f>T9-T10+T11+T21+T23+T25</f>
        <v>18375136</v>
      </c>
      <c r="U27" s="520"/>
      <c r="V27" s="519"/>
      <c r="W27" s="516"/>
      <c r="X27" s="518"/>
      <c r="Y27" s="520"/>
      <c r="Z27" s="519"/>
      <c r="AA27" s="516"/>
      <c r="AB27" s="518">
        <f>AB9-AB10+AB11+AB21+AB23+AB25</f>
        <v>22833804</v>
      </c>
      <c r="AC27" s="524"/>
    </row>
    <row r="28" spans="1:29" ht="14.25" customHeight="1">
      <c r="A28" s="495" t="s">
        <v>551</v>
      </c>
      <c r="B28" s="516"/>
      <c r="C28" s="516"/>
      <c r="D28" s="517">
        <v>213233</v>
      </c>
      <c r="E28" s="516"/>
      <c r="F28" s="516"/>
      <c r="G28" s="518">
        <v>0</v>
      </c>
      <c r="H28" s="519"/>
      <c r="I28" s="516"/>
      <c r="J28" s="518">
        <v>0</v>
      </c>
      <c r="K28" s="519"/>
      <c r="L28" s="516"/>
      <c r="M28" s="518">
        <v>0</v>
      </c>
      <c r="N28" s="519"/>
      <c r="O28" s="516"/>
      <c r="P28" s="518">
        <v>169702</v>
      </c>
      <c r="Q28" s="520"/>
      <c r="R28" s="519"/>
      <c r="S28" s="516"/>
      <c r="T28" s="518">
        <v>169702</v>
      </c>
      <c r="U28" s="520"/>
      <c r="V28" s="519"/>
      <c r="W28" s="516"/>
      <c r="X28" s="518"/>
      <c r="Y28" s="520"/>
      <c r="Z28" s="519"/>
      <c r="AA28" s="516"/>
      <c r="AB28" s="518">
        <v>0</v>
      </c>
      <c r="AC28" s="524">
        <f>AB28-X28</f>
        <v>0</v>
      </c>
    </row>
    <row r="29" spans="1:29" ht="15">
      <c r="A29" s="525" t="s">
        <v>552</v>
      </c>
      <c r="B29" s="526"/>
      <c r="C29" s="526"/>
      <c r="D29" s="527">
        <f>D10+D28</f>
        <v>44775423</v>
      </c>
      <c r="E29" s="526"/>
      <c r="F29" s="526"/>
      <c r="G29" s="528">
        <f>G10+G12+G28</f>
        <v>41241986</v>
      </c>
      <c r="H29" s="529"/>
      <c r="I29" s="526"/>
      <c r="J29" s="528">
        <f>J10+J12+J28</f>
        <v>41241986</v>
      </c>
      <c r="K29" s="529"/>
      <c r="L29" s="526"/>
      <c r="M29" s="528">
        <f>M10+M12+M28</f>
        <v>40177294</v>
      </c>
      <c r="N29" s="529"/>
      <c r="O29" s="526"/>
      <c r="P29" s="528">
        <f>P10+P12+P28</f>
        <v>44805664</v>
      </c>
      <c r="Q29" s="530">
        <f>P29-M29</f>
        <v>4628370</v>
      </c>
      <c r="R29" s="529"/>
      <c r="S29" s="526"/>
      <c r="T29" s="528">
        <f>T10+T12+T28</f>
        <v>44805664</v>
      </c>
      <c r="U29" s="530">
        <v>0</v>
      </c>
      <c r="V29" s="529"/>
      <c r="W29" s="526"/>
      <c r="X29" s="528">
        <f>X10+X12+X28</f>
        <v>0</v>
      </c>
      <c r="Y29" s="530">
        <v>0</v>
      </c>
      <c r="Z29" s="529"/>
      <c r="AA29" s="526"/>
      <c r="AB29" s="528">
        <f>AB10+AB12+AB28</f>
        <v>40177294</v>
      </c>
      <c r="AC29" s="531">
        <f>AB29-X29</f>
        <v>40177294</v>
      </c>
    </row>
    <row r="30" spans="1:29" ht="15">
      <c r="A30" s="495" t="s">
        <v>553</v>
      </c>
      <c r="B30" s="497"/>
      <c r="C30" s="497"/>
      <c r="D30" s="498"/>
      <c r="E30" s="497"/>
      <c r="F30" s="497"/>
      <c r="G30" s="499"/>
      <c r="H30" s="506"/>
      <c r="I30" s="497"/>
      <c r="J30" s="499"/>
      <c r="K30" s="506"/>
      <c r="L30" s="497"/>
      <c r="M30" s="499"/>
      <c r="N30" s="506"/>
      <c r="O30" s="497"/>
      <c r="P30" s="499"/>
      <c r="Q30" s="501"/>
      <c r="R30" s="506"/>
      <c r="S30" s="497"/>
      <c r="T30" s="499"/>
      <c r="U30" s="501"/>
      <c r="V30" s="506"/>
      <c r="W30" s="497"/>
      <c r="X30" s="499"/>
      <c r="Y30" s="501"/>
      <c r="Z30" s="506"/>
      <c r="AA30" s="497"/>
      <c r="AB30" s="499"/>
      <c r="AC30" s="524"/>
    </row>
    <row r="31" spans="1:29" ht="15">
      <c r="A31" s="495" t="s">
        <v>554</v>
      </c>
      <c r="B31" s="497"/>
      <c r="C31" s="497"/>
      <c r="D31" s="498"/>
      <c r="E31" s="497"/>
      <c r="F31" s="497"/>
      <c r="G31" s="499"/>
      <c r="H31" s="506"/>
      <c r="I31" s="497"/>
      <c r="J31" s="499"/>
      <c r="K31" s="506"/>
      <c r="L31" s="497"/>
      <c r="M31" s="499"/>
      <c r="N31" s="506"/>
      <c r="O31" s="497"/>
      <c r="P31" s="499"/>
      <c r="Q31" s="501"/>
      <c r="R31" s="506"/>
      <c r="S31" s="497"/>
      <c r="T31" s="499"/>
      <c r="U31" s="501"/>
      <c r="V31" s="506"/>
      <c r="W31" s="497"/>
      <c r="X31" s="499"/>
      <c r="Y31" s="501"/>
      <c r="Z31" s="506"/>
      <c r="AA31" s="497"/>
      <c r="AB31" s="499"/>
      <c r="AC31" s="524"/>
    </row>
    <row r="32" spans="1:29" ht="15">
      <c r="A32" s="507" t="s">
        <v>555</v>
      </c>
      <c r="B32" s="532">
        <v>6.8</v>
      </c>
      <c r="C32" s="533">
        <v>4308000</v>
      </c>
      <c r="D32" s="534">
        <v>29294400</v>
      </c>
      <c r="E32" s="532">
        <v>5.87777</v>
      </c>
      <c r="F32" s="533">
        <v>4469900</v>
      </c>
      <c r="G32" s="535">
        <v>26223413</v>
      </c>
      <c r="H32" s="536">
        <v>6.3</v>
      </c>
      <c r="I32" s="533">
        <v>4469900</v>
      </c>
      <c r="J32" s="535">
        <v>28309366</v>
      </c>
      <c r="K32" s="536">
        <v>6.2</v>
      </c>
      <c r="L32" s="533">
        <v>4419000</v>
      </c>
      <c r="M32" s="535">
        <v>18651733</v>
      </c>
      <c r="N32" s="536">
        <v>6.2</v>
      </c>
      <c r="O32" s="533">
        <v>4419000</v>
      </c>
      <c r="P32" s="535">
        <f>N32*O32*8/12</f>
        <v>18265200</v>
      </c>
      <c r="Q32" s="537">
        <v>0</v>
      </c>
      <c r="R32" s="536">
        <v>6.3</v>
      </c>
      <c r="S32" s="533">
        <v>4419000</v>
      </c>
      <c r="T32" s="535">
        <f>R32*S32*8/12</f>
        <v>18559800</v>
      </c>
      <c r="U32" s="537">
        <f aca="true" t="shared" si="1" ref="U32:U43">T32-P32</f>
        <v>294600</v>
      </c>
      <c r="V32" s="536"/>
      <c r="W32" s="533"/>
      <c r="X32" s="535"/>
      <c r="Y32" s="537">
        <f aca="true" t="shared" si="2" ref="Y32:Y44">X32-M32</f>
        <v>-18651733</v>
      </c>
      <c r="Z32" s="536">
        <v>6.4</v>
      </c>
      <c r="AA32" s="533">
        <v>4371500</v>
      </c>
      <c r="AB32" s="535">
        <f>Z32*AA32*8/12</f>
        <v>18651733.333333332</v>
      </c>
      <c r="AC32" s="502">
        <f aca="true" t="shared" si="3" ref="AC32:AC44">AB32-X32</f>
        <v>18651733.333333332</v>
      </c>
    </row>
    <row r="33" spans="1:29" ht="15">
      <c r="A33" s="538" t="s">
        <v>556</v>
      </c>
      <c r="B33" s="514">
        <v>4</v>
      </c>
      <c r="C33" s="533">
        <v>1800000</v>
      </c>
      <c r="D33" s="534">
        <f>B33*C33</f>
        <v>7200000</v>
      </c>
      <c r="E33" s="514">
        <v>4</v>
      </c>
      <c r="F33" s="533">
        <v>1800000</v>
      </c>
      <c r="G33" s="535">
        <f>E33*F33</f>
        <v>7200000</v>
      </c>
      <c r="H33" s="515">
        <v>4</v>
      </c>
      <c r="I33" s="533">
        <v>1800000</v>
      </c>
      <c r="J33" s="535">
        <f>H33*I33</f>
        <v>7200000</v>
      </c>
      <c r="K33" s="515">
        <v>4</v>
      </c>
      <c r="L33" s="533">
        <v>2205000</v>
      </c>
      <c r="M33" s="535">
        <f>K33*L33*8/12</f>
        <v>5880000</v>
      </c>
      <c r="N33" s="515">
        <v>4</v>
      </c>
      <c r="O33" s="533">
        <v>2205000</v>
      </c>
      <c r="P33" s="535">
        <f>N33*O33*8/12</f>
        <v>5880000</v>
      </c>
      <c r="Q33" s="537">
        <v>0</v>
      </c>
      <c r="R33" s="515">
        <v>4</v>
      </c>
      <c r="S33" s="533">
        <v>2205000</v>
      </c>
      <c r="T33" s="535">
        <f>R33*S33*8/12</f>
        <v>5880000</v>
      </c>
      <c r="U33" s="537">
        <f t="shared" si="1"/>
        <v>0</v>
      </c>
      <c r="V33" s="539"/>
      <c r="W33" s="533"/>
      <c r="X33" s="535"/>
      <c r="Y33" s="537">
        <f t="shared" si="2"/>
        <v>-5880000</v>
      </c>
      <c r="Z33" s="539">
        <v>4</v>
      </c>
      <c r="AA33" s="533">
        <v>2205000</v>
      </c>
      <c r="AB33" s="535">
        <f>Z33*AA33*8/12</f>
        <v>5880000</v>
      </c>
      <c r="AC33" s="502">
        <f t="shared" si="3"/>
        <v>5880000</v>
      </c>
    </row>
    <row r="34" spans="1:29" ht="15" hidden="1">
      <c r="A34" s="507" t="s">
        <v>557</v>
      </c>
      <c r="B34" s="532">
        <v>6.4</v>
      </c>
      <c r="C34" s="533">
        <v>35000</v>
      </c>
      <c r="D34" s="534">
        <f>B34*C34</f>
        <v>224000</v>
      </c>
      <c r="E34" s="532">
        <v>4.8</v>
      </c>
      <c r="F34" s="533">
        <v>38200</v>
      </c>
      <c r="G34" s="535">
        <f>E34*F34</f>
        <v>183360</v>
      </c>
      <c r="H34" s="536">
        <v>6.2</v>
      </c>
      <c r="I34" s="533">
        <v>38200</v>
      </c>
      <c r="J34" s="535">
        <f>H34*I34</f>
        <v>236840</v>
      </c>
      <c r="K34" s="536">
        <v>0</v>
      </c>
      <c r="L34" s="533">
        <v>0</v>
      </c>
      <c r="M34" s="535">
        <f>K34*L34*8/12</f>
        <v>0</v>
      </c>
      <c r="N34" s="536">
        <v>0</v>
      </c>
      <c r="O34" s="533">
        <v>0</v>
      </c>
      <c r="P34" s="535">
        <f>N34*O34*8/12</f>
        <v>0</v>
      </c>
      <c r="Q34" s="537">
        <v>0</v>
      </c>
      <c r="R34" s="536">
        <v>0</v>
      </c>
      <c r="S34" s="533">
        <v>0</v>
      </c>
      <c r="T34" s="535">
        <f>R34*S34*8/12</f>
        <v>0</v>
      </c>
      <c r="U34" s="537">
        <f t="shared" si="1"/>
        <v>0</v>
      </c>
      <c r="V34" s="536"/>
      <c r="W34" s="533"/>
      <c r="X34" s="535"/>
      <c r="Y34" s="537">
        <f t="shared" si="2"/>
        <v>0</v>
      </c>
      <c r="Z34" s="536">
        <v>0</v>
      </c>
      <c r="AA34" s="533">
        <v>0</v>
      </c>
      <c r="AB34" s="535">
        <f>Z34*AA34*8/12</f>
        <v>0</v>
      </c>
      <c r="AC34" s="502">
        <f t="shared" si="3"/>
        <v>0</v>
      </c>
    </row>
    <row r="35" spans="1:29" ht="15">
      <c r="A35" s="540" t="s">
        <v>558</v>
      </c>
      <c r="B35" s="541">
        <v>68.7</v>
      </c>
      <c r="C35" s="541">
        <v>80000</v>
      </c>
      <c r="D35" s="542">
        <v>5493334</v>
      </c>
      <c r="E35" s="541">
        <v>59</v>
      </c>
      <c r="F35" s="541">
        <v>81700</v>
      </c>
      <c r="G35" s="543">
        <f>E35*F35</f>
        <v>4820300</v>
      </c>
      <c r="H35" s="544">
        <v>63.7</v>
      </c>
      <c r="I35" s="541">
        <v>81700</v>
      </c>
      <c r="J35" s="543">
        <v>5201567</v>
      </c>
      <c r="K35" s="544">
        <v>63</v>
      </c>
      <c r="L35" s="541">
        <v>81700</v>
      </c>
      <c r="M35" s="535">
        <v>4155733</v>
      </c>
      <c r="N35" s="544">
        <v>63</v>
      </c>
      <c r="O35" s="541">
        <v>81700</v>
      </c>
      <c r="P35" s="535">
        <f>N35*O35*8/12</f>
        <v>3431400</v>
      </c>
      <c r="Q35" s="545">
        <v>0</v>
      </c>
      <c r="R35" s="544">
        <v>64</v>
      </c>
      <c r="S35" s="541">
        <v>81700</v>
      </c>
      <c r="T35" s="535">
        <f>R35*S35*8/12</f>
        <v>3485866.6666666665</v>
      </c>
      <c r="U35" s="537">
        <f t="shared" si="1"/>
        <v>54466.66666666651</v>
      </c>
      <c r="V35" s="544"/>
      <c r="W35" s="541"/>
      <c r="X35" s="535"/>
      <c r="Y35" s="537">
        <f t="shared" si="2"/>
        <v>-4155733</v>
      </c>
      <c r="Z35" s="544">
        <v>64</v>
      </c>
      <c r="AA35" s="541">
        <v>97400</v>
      </c>
      <c r="AB35" s="535">
        <f>Z35*AA35*8/12</f>
        <v>4155733.3333333335</v>
      </c>
      <c r="AC35" s="502">
        <f t="shared" si="3"/>
        <v>4155733.3333333335</v>
      </c>
    </row>
    <row r="36" spans="1:29" ht="15">
      <c r="A36" s="546" t="s">
        <v>559</v>
      </c>
      <c r="B36" s="547"/>
      <c r="C36" s="547"/>
      <c r="D36" s="548"/>
      <c r="E36" s="547"/>
      <c r="F36" s="547"/>
      <c r="G36" s="549"/>
      <c r="H36" s="550"/>
      <c r="I36" s="547"/>
      <c r="J36" s="549"/>
      <c r="K36" s="550"/>
      <c r="L36" s="547"/>
      <c r="M36" s="549"/>
      <c r="N36" s="550"/>
      <c r="O36" s="547"/>
      <c r="P36" s="549"/>
      <c r="Q36" s="551"/>
      <c r="R36" s="550"/>
      <c r="S36" s="547"/>
      <c r="T36" s="549"/>
      <c r="U36" s="537">
        <f t="shared" si="1"/>
        <v>0</v>
      </c>
      <c r="V36" s="550"/>
      <c r="W36" s="547"/>
      <c r="X36" s="549"/>
      <c r="Y36" s="537">
        <f t="shared" si="2"/>
        <v>0</v>
      </c>
      <c r="Z36" s="550"/>
      <c r="AA36" s="547"/>
      <c r="AB36" s="549"/>
      <c r="AC36" s="502">
        <f t="shared" si="3"/>
        <v>0</v>
      </c>
    </row>
    <row r="37" spans="1:29" ht="15">
      <c r="A37" s="507" t="s">
        <v>555</v>
      </c>
      <c r="B37" s="532">
        <v>6.8</v>
      </c>
      <c r="C37" s="533">
        <v>4308000</v>
      </c>
      <c r="D37" s="534">
        <v>29294400</v>
      </c>
      <c r="E37" s="532">
        <v>5.87777</v>
      </c>
      <c r="F37" s="533">
        <v>4469900</v>
      </c>
      <c r="G37" s="535">
        <v>26223413</v>
      </c>
      <c r="H37" s="536">
        <v>6.3</v>
      </c>
      <c r="I37" s="533">
        <v>4469900</v>
      </c>
      <c r="J37" s="535">
        <v>28309366</v>
      </c>
      <c r="K37" s="536">
        <v>5.3</v>
      </c>
      <c r="L37" s="533">
        <v>4419000</v>
      </c>
      <c r="M37" s="535">
        <v>7868700</v>
      </c>
      <c r="N37" s="536">
        <v>5.3</v>
      </c>
      <c r="O37" s="533">
        <v>4419000</v>
      </c>
      <c r="P37" s="535">
        <f>N37*O37*4/12</f>
        <v>7806900</v>
      </c>
      <c r="Q37" s="537">
        <v>0</v>
      </c>
      <c r="R37" s="536">
        <v>6.4</v>
      </c>
      <c r="S37" s="533">
        <v>4419000</v>
      </c>
      <c r="T37" s="535">
        <f>R37*S37*4/12</f>
        <v>9427200</v>
      </c>
      <c r="U37" s="537">
        <f t="shared" si="1"/>
        <v>1620300</v>
      </c>
      <c r="V37" s="536"/>
      <c r="W37" s="533"/>
      <c r="X37" s="535"/>
      <c r="Y37" s="537">
        <f t="shared" si="2"/>
        <v>-7868700</v>
      </c>
      <c r="Z37" s="536">
        <v>5.4</v>
      </c>
      <c r="AA37" s="533">
        <v>4371500</v>
      </c>
      <c r="AB37" s="535">
        <f>Z37*AA37*4/12</f>
        <v>7868700</v>
      </c>
      <c r="AC37" s="502">
        <f t="shared" si="3"/>
        <v>7868700</v>
      </c>
    </row>
    <row r="38" spans="1:29" ht="15">
      <c r="A38" s="538" t="s">
        <v>556</v>
      </c>
      <c r="B38" s="514">
        <v>4</v>
      </c>
      <c r="C38" s="533">
        <v>1800000</v>
      </c>
      <c r="D38" s="534">
        <f>B38*C38</f>
        <v>7200000</v>
      </c>
      <c r="E38" s="514">
        <v>4</v>
      </c>
      <c r="F38" s="533">
        <v>1800000</v>
      </c>
      <c r="G38" s="535">
        <f aca="true" t="shared" si="4" ref="G38:G43">E38*F38</f>
        <v>7200000</v>
      </c>
      <c r="H38" s="515">
        <v>4</v>
      </c>
      <c r="I38" s="533">
        <v>1800000</v>
      </c>
      <c r="J38" s="535">
        <f>H38*I38</f>
        <v>7200000</v>
      </c>
      <c r="K38" s="515">
        <v>4</v>
      </c>
      <c r="L38" s="533">
        <v>2205000</v>
      </c>
      <c r="M38" s="535">
        <f>K38*L38*4/12</f>
        <v>2940000</v>
      </c>
      <c r="N38" s="515">
        <v>4</v>
      </c>
      <c r="O38" s="533">
        <v>2205000</v>
      </c>
      <c r="P38" s="535">
        <f>N38*O38*4/12</f>
        <v>2940000</v>
      </c>
      <c r="Q38" s="537">
        <v>0</v>
      </c>
      <c r="R38" s="515">
        <v>4</v>
      </c>
      <c r="S38" s="533">
        <v>2205000</v>
      </c>
      <c r="T38" s="535">
        <f>R38*S38*4/12</f>
        <v>2940000</v>
      </c>
      <c r="U38" s="537">
        <f t="shared" si="1"/>
        <v>0</v>
      </c>
      <c r="V38" s="539"/>
      <c r="W38" s="533"/>
      <c r="X38" s="535"/>
      <c r="Y38" s="537">
        <f t="shared" si="2"/>
        <v>-2940000</v>
      </c>
      <c r="Z38" s="539">
        <v>4</v>
      </c>
      <c r="AA38" s="533">
        <v>2205000</v>
      </c>
      <c r="AB38" s="535">
        <f>Z38*AA38*4/12</f>
        <v>2940000</v>
      </c>
      <c r="AC38" s="502">
        <f t="shared" si="3"/>
        <v>2940000</v>
      </c>
    </row>
    <row r="39" spans="1:29" ht="15" hidden="1">
      <c r="A39" s="507" t="s">
        <v>557</v>
      </c>
      <c r="B39" s="532">
        <v>6.4</v>
      </c>
      <c r="C39" s="533">
        <v>35000</v>
      </c>
      <c r="D39" s="534">
        <f>B39*C39</f>
        <v>224000</v>
      </c>
      <c r="E39" s="532">
        <v>4.8</v>
      </c>
      <c r="F39" s="533">
        <v>38200</v>
      </c>
      <c r="G39" s="535">
        <f t="shared" si="4"/>
        <v>183360</v>
      </c>
      <c r="H39" s="536">
        <v>6.2</v>
      </c>
      <c r="I39" s="533">
        <v>38200</v>
      </c>
      <c r="J39" s="535">
        <f>H39*I39</f>
        <v>236840</v>
      </c>
      <c r="K39" s="536">
        <v>0</v>
      </c>
      <c r="L39" s="533">
        <v>0</v>
      </c>
      <c r="M39" s="535">
        <f>K39*L39*4/12</f>
        <v>0</v>
      </c>
      <c r="N39" s="536">
        <v>0</v>
      </c>
      <c r="O39" s="533">
        <v>0</v>
      </c>
      <c r="P39" s="535">
        <f>N39*O39*4/12</f>
        <v>0</v>
      </c>
      <c r="Q39" s="537">
        <v>0</v>
      </c>
      <c r="R39" s="536">
        <v>0</v>
      </c>
      <c r="S39" s="533">
        <v>0</v>
      </c>
      <c r="T39" s="535">
        <f>R39*S39*4/12</f>
        <v>0</v>
      </c>
      <c r="U39" s="537">
        <f t="shared" si="1"/>
        <v>0</v>
      </c>
      <c r="V39" s="536"/>
      <c r="W39" s="533"/>
      <c r="X39" s="535"/>
      <c r="Y39" s="537">
        <f t="shared" si="2"/>
        <v>0</v>
      </c>
      <c r="Z39" s="536">
        <v>0</v>
      </c>
      <c r="AA39" s="533">
        <v>0</v>
      </c>
      <c r="AB39" s="535">
        <f>Z39*AA39*4/12</f>
        <v>0</v>
      </c>
      <c r="AC39" s="502">
        <f t="shared" si="3"/>
        <v>0</v>
      </c>
    </row>
    <row r="40" spans="1:29" ht="15">
      <c r="A40" s="540" t="s">
        <v>558</v>
      </c>
      <c r="B40" s="541">
        <v>68.7</v>
      </c>
      <c r="C40" s="541">
        <v>80000</v>
      </c>
      <c r="D40" s="542">
        <v>5493334</v>
      </c>
      <c r="E40" s="541">
        <v>59</v>
      </c>
      <c r="F40" s="541">
        <v>81700</v>
      </c>
      <c r="G40" s="543">
        <f t="shared" si="4"/>
        <v>4820300</v>
      </c>
      <c r="H40" s="544">
        <v>63.7</v>
      </c>
      <c r="I40" s="541">
        <v>81700</v>
      </c>
      <c r="J40" s="543">
        <v>5201567</v>
      </c>
      <c r="K40" s="544">
        <v>54</v>
      </c>
      <c r="L40" s="541">
        <v>81700</v>
      </c>
      <c r="M40" s="535">
        <v>1720733</v>
      </c>
      <c r="N40" s="544">
        <v>54</v>
      </c>
      <c r="O40" s="541">
        <v>81700</v>
      </c>
      <c r="P40" s="535">
        <f>N40*O40*4/12</f>
        <v>1470600</v>
      </c>
      <c r="Q40" s="545">
        <v>0</v>
      </c>
      <c r="R40" s="544">
        <v>64</v>
      </c>
      <c r="S40" s="541">
        <v>81700</v>
      </c>
      <c r="T40" s="535">
        <f>R40*S40*4/12</f>
        <v>1742933.3333333333</v>
      </c>
      <c r="U40" s="537">
        <f t="shared" si="1"/>
        <v>272333.33333333326</v>
      </c>
      <c r="V40" s="544"/>
      <c r="W40" s="541"/>
      <c r="X40" s="535"/>
      <c r="Y40" s="537">
        <f t="shared" si="2"/>
        <v>-1720733</v>
      </c>
      <c r="Z40" s="544">
        <v>53</v>
      </c>
      <c r="AA40" s="541">
        <v>97400</v>
      </c>
      <c r="AB40" s="535">
        <f>Z40*AA40*4/12</f>
        <v>1720733.3333333333</v>
      </c>
      <c r="AC40" s="502">
        <f t="shared" si="3"/>
        <v>1720733.3333333333</v>
      </c>
    </row>
    <row r="41" spans="1:29" ht="25.5">
      <c r="A41" s="552" t="s">
        <v>560</v>
      </c>
      <c r="B41" s="553">
        <v>1</v>
      </c>
      <c r="C41" s="553">
        <v>352000</v>
      </c>
      <c r="D41" s="554">
        <v>384000</v>
      </c>
      <c r="E41" s="553">
        <v>1</v>
      </c>
      <c r="F41" s="553">
        <v>418900</v>
      </c>
      <c r="G41" s="555">
        <f t="shared" si="4"/>
        <v>418900</v>
      </c>
      <c r="H41" s="556">
        <v>1</v>
      </c>
      <c r="I41" s="553">
        <v>418900</v>
      </c>
      <c r="J41" s="555">
        <f>H41*I41</f>
        <v>418900</v>
      </c>
      <c r="K41" s="556">
        <v>2</v>
      </c>
      <c r="L41" s="553">
        <v>401000</v>
      </c>
      <c r="M41" s="555">
        <v>793400</v>
      </c>
      <c r="N41" s="556">
        <v>1</v>
      </c>
      <c r="O41" s="553">
        <v>401000</v>
      </c>
      <c r="P41" s="555">
        <f>N41*O41</f>
        <v>401000</v>
      </c>
      <c r="Q41" s="557">
        <f>P41-M41</f>
        <v>-392400</v>
      </c>
      <c r="R41" s="556">
        <v>1</v>
      </c>
      <c r="S41" s="553">
        <v>401000</v>
      </c>
      <c r="T41" s="555">
        <v>401000</v>
      </c>
      <c r="U41" s="537">
        <f t="shared" si="1"/>
        <v>0</v>
      </c>
      <c r="V41" s="556"/>
      <c r="W41" s="553"/>
      <c r="X41" s="555"/>
      <c r="Y41" s="537">
        <f t="shared" si="2"/>
        <v>-793400</v>
      </c>
      <c r="Z41" s="556">
        <v>2</v>
      </c>
      <c r="AA41" s="553">
        <v>396700</v>
      </c>
      <c r="AB41" s="555">
        <f>Z41*AA41</f>
        <v>793400</v>
      </c>
      <c r="AC41" s="502">
        <f t="shared" si="3"/>
        <v>793400</v>
      </c>
    </row>
    <row r="42" spans="1:29" ht="25.5">
      <c r="A42" s="552" t="s">
        <v>561</v>
      </c>
      <c r="B42" s="553">
        <v>1</v>
      </c>
      <c r="C42" s="553">
        <v>352000</v>
      </c>
      <c r="D42" s="554">
        <v>384000</v>
      </c>
      <c r="E42" s="553">
        <v>0</v>
      </c>
      <c r="F42" s="553">
        <v>0</v>
      </c>
      <c r="G42" s="555">
        <f t="shared" si="4"/>
        <v>0</v>
      </c>
      <c r="H42" s="556">
        <v>1</v>
      </c>
      <c r="I42" s="553">
        <v>383992</v>
      </c>
      <c r="J42" s="555">
        <f>H42*I42</f>
        <v>383992</v>
      </c>
      <c r="K42" s="556">
        <v>1</v>
      </c>
      <c r="L42" s="553">
        <v>367584</v>
      </c>
      <c r="M42" s="555">
        <v>0</v>
      </c>
      <c r="N42" s="556">
        <v>1</v>
      </c>
      <c r="O42" s="553">
        <v>367584</v>
      </c>
      <c r="P42" s="555">
        <f>N42*O42</f>
        <v>367584</v>
      </c>
      <c r="Q42" s="557">
        <v>0</v>
      </c>
      <c r="R42" s="556">
        <v>1</v>
      </c>
      <c r="S42" s="553">
        <v>367584</v>
      </c>
      <c r="T42" s="555">
        <f>R42*S42</f>
        <v>367584</v>
      </c>
      <c r="U42" s="537">
        <f t="shared" si="1"/>
        <v>0</v>
      </c>
      <c r="V42" s="556"/>
      <c r="W42" s="553"/>
      <c r="X42" s="555"/>
      <c r="Y42" s="537">
        <f t="shared" si="2"/>
        <v>0</v>
      </c>
      <c r="Z42" s="556">
        <v>0</v>
      </c>
      <c r="AA42" s="553">
        <v>363642</v>
      </c>
      <c r="AB42" s="555">
        <f>Z42*AA42</f>
        <v>0</v>
      </c>
      <c r="AC42" s="502">
        <f t="shared" si="3"/>
        <v>0</v>
      </c>
    </row>
    <row r="43" spans="1:29" ht="25.5">
      <c r="A43" s="552" t="s">
        <v>562</v>
      </c>
      <c r="B43" s="553">
        <v>1</v>
      </c>
      <c r="C43" s="553">
        <v>352000</v>
      </c>
      <c r="D43" s="554">
        <v>384000</v>
      </c>
      <c r="E43" s="553">
        <v>0</v>
      </c>
      <c r="F43" s="553">
        <v>0</v>
      </c>
      <c r="G43" s="555">
        <f t="shared" si="4"/>
        <v>0</v>
      </c>
      <c r="H43" s="556">
        <v>0</v>
      </c>
      <c r="I43" s="553">
        <v>0</v>
      </c>
      <c r="J43" s="555">
        <f>H43*I43</f>
        <v>0</v>
      </c>
      <c r="K43" s="556">
        <v>1</v>
      </c>
      <c r="L43" s="553">
        <v>1341084</v>
      </c>
      <c r="M43" s="555">
        <v>1447300</v>
      </c>
      <c r="N43" s="556">
        <v>1</v>
      </c>
      <c r="O43" s="553">
        <v>1341084</v>
      </c>
      <c r="P43" s="555">
        <f>N43*O43</f>
        <v>1341084</v>
      </c>
      <c r="Q43" s="557">
        <v>0</v>
      </c>
      <c r="R43" s="556">
        <v>1</v>
      </c>
      <c r="S43" s="553">
        <v>1341084</v>
      </c>
      <c r="T43" s="555">
        <f>R43*S43</f>
        <v>1341084</v>
      </c>
      <c r="U43" s="537">
        <f t="shared" si="1"/>
        <v>0</v>
      </c>
      <c r="V43" s="556"/>
      <c r="W43" s="553"/>
      <c r="X43" s="555"/>
      <c r="Y43" s="537">
        <f t="shared" si="2"/>
        <v>-1447300</v>
      </c>
      <c r="Z43" s="556">
        <v>1</v>
      </c>
      <c r="AA43" s="553">
        <v>1447300</v>
      </c>
      <c r="AB43" s="555">
        <f>Z43*AA43</f>
        <v>1447300</v>
      </c>
      <c r="AC43" s="502">
        <f t="shared" si="3"/>
        <v>1447300</v>
      </c>
    </row>
    <row r="44" spans="1:29" ht="15">
      <c r="A44" s="558" t="s">
        <v>563</v>
      </c>
      <c r="B44" s="559"/>
      <c r="C44" s="559"/>
      <c r="D44" s="559">
        <f>SUM(D32:D43)</f>
        <v>85575468</v>
      </c>
      <c r="E44" s="559"/>
      <c r="F44" s="559"/>
      <c r="G44" s="560">
        <f>SUM(G32:G43)</f>
        <v>77273046</v>
      </c>
      <c r="H44" s="561"/>
      <c r="I44" s="559"/>
      <c r="J44" s="560">
        <f>SUM(J32:J43)</f>
        <v>82698438</v>
      </c>
      <c r="K44" s="561"/>
      <c r="L44" s="559"/>
      <c r="M44" s="560">
        <f>SUM(M32:M43)</f>
        <v>43457599</v>
      </c>
      <c r="N44" s="561"/>
      <c r="O44" s="559"/>
      <c r="P44" s="560">
        <f>SUM(P32:P43)</f>
        <v>41903768</v>
      </c>
      <c r="Q44" s="562">
        <f>P44-M44</f>
        <v>-1553831</v>
      </c>
      <c r="R44" s="561"/>
      <c r="S44" s="559"/>
      <c r="T44" s="560">
        <f>SUM(T32:T43)</f>
        <v>44145468.00000001</v>
      </c>
      <c r="U44" s="562">
        <f>SUM(U32:U43)</f>
        <v>2241700</v>
      </c>
      <c r="V44" s="561"/>
      <c r="W44" s="559"/>
      <c r="X44" s="560">
        <f>SUM(X32:X43)</f>
        <v>0</v>
      </c>
      <c r="Y44" s="563">
        <f t="shared" si="2"/>
        <v>-43457599</v>
      </c>
      <c r="Z44" s="561"/>
      <c r="AA44" s="559"/>
      <c r="AB44" s="560">
        <f>SUM(AB32:AB43)-1</f>
        <v>43457599</v>
      </c>
      <c r="AC44" s="564">
        <f t="shared" si="3"/>
        <v>43457599</v>
      </c>
    </row>
    <row r="45" spans="1:29" ht="15">
      <c r="A45" s="565" t="s">
        <v>564</v>
      </c>
      <c r="B45" s="566"/>
      <c r="C45" s="566"/>
      <c r="D45" s="566"/>
      <c r="E45" s="566"/>
      <c r="F45" s="566"/>
      <c r="G45" s="567"/>
      <c r="H45" s="568"/>
      <c r="I45" s="566"/>
      <c r="J45" s="567"/>
      <c r="K45" s="568"/>
      <c r="L45" s="566"/>
      <c r="M45" s="567"/>
      <c r="N45" s="568"/>
      <c r="O45" s="566"/>
      <c r="P45" s="567"/>
      <c r="Q45" s="569"/>
      <c r="R45" s="568"/>
      <c r="S45" s="566"/>
      <c r="T45" s="567"/>
      <c r="U45" s="569"/>
      <c r="V45" s="568"/>
      <c r="W45" s="566"/>
      <c r="X45" s="567"/>
      <c r="Y45" s="537"/>
      <c r="Z45" s="568"/>
      <c r="AA45" s="566"/>
      <c r="AB45" s="567"/>
      <c r="AC45" s="570"/>
    </row>
    <row r="46" spans="1:29" ht="15" hidden="1">
      <c r="A46" s="507" t="s">
        <v>565</v>
      </c>
      <c r="B46" s="554"/>
      <c r="C46" s="554"/>
      <c r="D46" s="554"/>
      <c r="E46" s="554"/>
      <c r="F46" s="554"/>
      <c r="G46" s="555"/>
      <c r="H46" s="571"/>
      <c r="I46" s="554"/>
      <c r="J46" s="555"/>
      <c r="K46" s="571"/>
      <c r="L46" s="554"/>
      <c r="M46" s="555"/>
      <c r="N46" s="571"/>
      <c r="O46" s="554"/>
      <c r="P46" s="555"/>
      <c r="Q46" s="557"/>
      <c r="R46" s="571"/>
      <c r="S46" s="554"/>
      <c r="T46" s="555"/>
      <c r="U46" s="557"/>
      <c r="V46" s="571"/>
      <c r="W46" s="554"/>
      <c r="X46" s="555"/>
      <c r="Y46" s="537">
        <f aca="true" t="shared" si="5" ref="Y46:Y53">X46-M46</f>
        <v>0</v>
      </c>
      <c r="Z46" s="571"/>
      <c r="AA46" s="554"/>
      <c r="AB46" s="555"/>
      <c r="AC46" s="572"/>
    </row>
    <row r="47" spans="1:29" ht="15">
      <c r="A47" s="507" t="s">
        <v>566</v>
      </c>
      <c r="B47" s="573">
        <v>2</v>
      </c>
      <c r="C47" s="574">
        <v>3000000</v>
      </c>
      <c r="D47" s="574">
        <f>B47*C47</f>
        <v>6000000</v>
      </c>
      <c r="E47" s="573">
        <v>2</v>
      </c>
      <c r="F47" s="574">
        <v>3000000</v>
      </c>
      <c r="G47" s="575">
        <f>E47*F47</f>
        <v>6000000</v>
      </c>
      <c r="H47" s="576">
        <v>2</v>
      </c>
      <c r="I47" s="574">
        <v>3000000</v>
      </c>
      <c r="J47" s="575">
        <f>H47*I47</f>
        <v>6000000</v>
      </c>
      <c r="K47" s="577">
        <v>2</v>
      </c>
      <c r="L47" s="574">
        <v>3400000</v>
      </c>
      <c r="M47" s="575">
        <f>K47*L47</f>
        <v>6800000</v>
      </c>
      <c r="N47" s="577">
        <v>2</v>
      </c>
      <c r="O47" s="574">
        <v>3400000</v>
      </c>
      <c r="P47" s="575">
        <f>N47*O47</f>
        <v>6800000</v>
      </c>
      <c r="Q47" s="578">
        <v>0</v>
      </c>
      <c r="R47" s="577">
        <v>2</v>
      </c>
      <c r="S47" s="574">
        <v>3400000</v>
      </c>
      <c r="T47" s="575">
        <f>R47*S47</f>
        <v>6800000</v>
      </c>
      <c r="U47" s="578">
        <f aca="true" t="shared" si="6" ref="U47:U53">T47-P47</f>
        <v>0</v>
      </c>
      <c r="V47" s="577"/>
      <c r="W47" s="574"/>
      <c r="X47" s="575"/>
      <c r="Y47" s="537">
        <f t="shared" si="5"/>
        <v>-6800000</v>
      </c>
      <c r="Z47" s="577">
        <v>2</v>
      </c>
      <c r="AA47" s="574">
        <v>3400000</v>
      </c>
      <c r="AB47" s="575">
        <f>Z47*AA47</f>
        <v>6800000</v>
      </c>
      <c r="AC47" s="579">
        <f aca="true" t="shared" si="7" ref="AC47:AC53">AB47-X47</f>
        <v>6800000</v>
      </c>
    </row>
    <row r="48" spans="1:29" ht="15">
      <c r="A48" s="507" t="s">
        <v>567</v>
      </c>
      <c r="B48" s="573">
        <v>4</v>
      </c>
      <c r="C48" s="574">
        <v>55360</v>
      </c>
      <c r="D48" s="574">
        <f>B48*C48</f>
        <v>221440</v>
      </c>
      <c r="E48" s="573">
        <v>4</v>
      </c>
      <c r="F48" s="574">
        <v>55360</v>
      </c>
      <c r="G48" s="575">
        <f>E48*F48</f>
        <v>221440</v>
      </c>
      <c r="H48" s="576">
        <v>1</v>
      </c>
      <c r="I48" s="574">
        <v>55360</v>
      </c>
      <c r="J48" s="575">
        <f>H48*I48</f>
        <v>55360</v>
      </c>
      <c r="K48" s="577">
        <v>2</v>
      </c>
      <c r="L48" s="574">
        <v>55360</v>
      </c>
      <c r="M48" s="575">
        <v>55360</v>
      </c>
      <c r="N48" s="577">
        <v>2</v>
      </c>
      <c r="O48" s="574">
        <v>55360</v>
      </c>
      <c r="P48" s="575">
        <f>N48*O48</f>
        <v>110720</v>
      </c>
      <c r="Q48" s="580">
        <v>0</v>
      </c>
      <c r="R48" s="577">
        <v>2</v>
      </c>
      <c r="S48" s="574">
        <v>55360</v>
      </c>
      <c r="T48" s="575">
        <f>R48*S48</f>
        <v>110720</v>
      </c>
      <c r="U48" s="578">
        <f t="shared" si="6"/>
        <v>0</v>
      </c>
      <c r="V48" s="577"/>
      <c r="W48" s="574"/>
      <c r="X48" s="575"/>
      <c r="Y48" s="537">
        <f t="shared" si="5"/>
        <v>-55360</v>
      </c>
      <c r="Z48" s="577">
        <v>1</v>
      </c>
      <c r="AA48" s="574">
        <v>55360</v>
      </c>
      <c r="AB48" s="575">
        <f>Z48*AA48</f>
        <v>55360</v>
      </c>
      <c r="AC48" s="579">
        <f t="shared" si="7"/>
        <v>55360</v>
      </c>
    </row>
    <row r="49" spans="1:29" ht="15.75" customHeight="1">
      <c r="A49" s="581" t="s">
        <v>568</v>
      </c>
      <c r="B49" s="582">
        <v>6.01</v>
      </c>
      <c r="C49" s="574">
        <v>1632000</v>
      </c>
      <c r="D49" s="574">
        <f>B49*C49</f>
        <v>9808320</v>
      </c>
      <c r="E49" s="582">
        <v>6.2</v>
      </c>
      <c r="F49" s="574">
        <v>1632000</v>
      </c>
      <c r="G49" s="575">
        <f>E49*F49</f>
        <v>10118400</v>
      </c>
      <c r="H49" s="583">
        <v>5.85</v>
      </c>
      <c r="I49" s="574">
        <v>1632000</v>
      </c>
      <c r="J49" s="575">
        <f>H49*I49</f>
        <v>9547200</v>
      </c>
      <c r="K49" s="583">
        <v>6.25</v>
      </c>
      <c r="L49" s="574">
        <v>1900000</v>
      </c>
      <c r="M49" s="575">
        <v>12654000</v>
      </c>
      <c r="N49" s="583">
        <v>6.25</v>
      </c>
      <c r="O49" s="574">
        <v>1900000</v>
      </c>
      <c r="P49" s="575">
        <f>N49*O49</f>
        <v>11875000</v>
      </c>
      <c r="Q49" s="584">
        <v>0</v>
      </c>
      <c r="R49" s="583">
        <v>6.29</v>
      </c>
      <c r="S49" s="574">
        <v>1900000</v>
      </c>
      <c r="T49" s="575">
        <f>R49*S49</f>
        <v>11951000</v>
      </c>
      <c r="U49" s="578">
        <f t="shared" si="6"/>
        <v>76000</v>
      </c>
      <c r="V49" s="583"/>
      <c r="W49" s="574"/>
      <c r="X49" s="575"/>
      <c r="Y49" s="537">
        <f t="shared" si="5"/>
        <v>-12654000</v>
      </c>
      <c r="Z49" s="583">
        <v>6.66</v>
      </c>
      <c r="AA49" s="574">
        <v>1900000</v>
      </c>
      <c r="AB49" s="575">
        <f>Z49*AA49</f>
        <v>12654000</v>
      </c>
      <c r="AC49" s="579">
        <f t="shared" si="7"/>
        <v>12654000</v>
      </c>
    </row>
    <row r="50" spans="1:29" ht="15">
      <c r="A50" s="581" t="s">
        <v>569</v>
      </c>
      <c r="B50" s="582"/>
      <c r="C50" s="585"/>
      <c r="D50" s="553">
        <v>8968984</v>
      </c>
      <c r="E50" s="582"/>
      <c r="F50" s="585"/>
      <c r="G50" s="586">
        <v>8588426</v>
      </c>
      <c r="H50" s="583"/>
      <c r="I50" s="585"/>
      <c r="J50" s="586">
        <v>8588426</v>
      </c>
      <c r="K50" s="583"/>
      <c r="L50" s="585"/>
      <c r="M50" s="586">
        <v>12347916</v>
      </c>
      <c r="N50" s="583"/>
      <c r="O50" s="585"/>
      <c r="P50" s="586">
        <v>12979254</v>
      </c>
      <c r="Q50" s="587">
        <f>P50-M50</f>
        <v>631338</v>
      </c>
      <c r="R50" s="583"/>
      <c r="S50" s="585"/>
      <c r="T50" s="586">
        <v>12994326</v>
      </c>
      <c r="U50" s="578">
        <f t="shared" si="6"/>
        <v>15072</v>
      </c>
      <c r="V50" s="583"/>
      <c r="W50" s="585"/>
      <c r="X50" s="586"/>
      <c r="Y50" s="537">
        <f t="shared" si="5"/>
        <v>-12347916</v>
      </c>
      <c r="Z50" s="583"/>
      <c r="AA50" s="585"/>
      <c r="AB50" s="586">
        <v>12347916</v>
      </c>
      <c r="AC50" s="579">
        <f t="shared" si="7"/>
        <v>12347916</v>
      </c>
    </row>
    <row r="51" spans="1:29" ht="15">
      <c r="A51" s="581" t="s">
        <v>570</v>
      </c>
      <c r="B51" s="582">
        <v>285</v>
      </c>
      <c r="C51" s="585">
        <v>445</v>
      </c>
      <c r="D51" s="553">
        <f>B51*C51</f>
        <v>126825</v>
      </c>
      <c r="E51" s="582"/>
      <c r="F51" s="585"/>
      <c r="G51" s="586"/>
      <c r="H51" s="583">
        <v>285</v>
      </c>
      <c r="I51" s="585">
        <v>674</v>
      </c>
      <c r="J51" s="586">
        <f>H51*I51</f>
        <v>192090</v>
      </c>
      <c r="K51" s="588">
        <v>0</v>
      </c>
      <c r="L51" s="585">
        <v>285</v>
      </c>
      <c r="M51" s="586">
        <v>0</v>
      </c>
      <c r="N51" s="588">
        <v>0</v>
      </c>
      <c r="O51" s="585">
        <v>285</v>
      </c>
      <c r="P51" s="586">
        <v>0</v>
      </c>
      <c r="Q51" s="587"/>
      <c r="R51" s="588">
        <v>693</v>
      </c>
      <c r="S51" s="585">
        <v>285</v>
      </c>
      <c r="T51" s="586">
        <f>R51*S51</f>
        <v>197505</v>
      </c>
      <c r="U51" s="578">
        <f t="shared" si="6"/>
        <v>197505</v>
      </c>
      <c r="V51" s="588"/>
      <c r="W51" s="585"/>
      <c r="X51" s="586"/>
      <c r="Y51" s="537">
        <f t="shared" si="5"/>
        <v>0</v>
      </c>
      <c r="Z51" s="588">
        <v>0</v>
      </c>
      <c r="AA51" s="585">
        <v>285</v>
      </c>
      <c r="AB51" s="586">
        <v>0</v>
      </c>
      <c r="AC51" s="579">
        <f t="shared" si="7"/>
        <v>0</v>
      </c>
    </row>
    <row r="52" spans="1:29" ht="15">
      <c r="A52" s="581" t="s">
        <v>571</v>
      </c>
      <c r="B52" s="582">
        <v>285</v>
      </c>
      <c r="C52" s="585">
        <v>445</v>
      </c>
      <c r="D52" s="553">
        <f>B52*C52</f>
        <v>126825</v>
      </c>
      <c r="E52" s="582"/>
      <c r="F52" s="585"/>
      <c r="G52" s="586"/>
      <c r="H52" s="583">
        <v>285</v>
      </c>
      <c r="I52" s="585">
        <v>674</v>
      </c>
      <c r="J52" s="586">
        <f>H52*I52</f>
        <v>192090</v>
      </c>
      <c r="K52" s="588">
        <v>0</v>
      </c>
      <c r="L52" s="585">
        <v>0</v>
      </c>
      <c r="M52" s="586">
        <v>7482500</v>
      </c>
      <c r="N52" s="588">
        <v>0</v>
      </c>
      <c r="O52" s="585">
        <v>0</v>
      </c>
      <c r="P52" s="586">
        <v>0</v>
      </c>
      <c r="Q52" s="587">
        <v>0</v>
      </c>
      <c r="R52" s="589">
        <v>0.9</v>
      </c>
      <c r="S52" s="574">
        <v>2993000</v>
      </c>
      <c r="T52" s="586">
        <f>R52*S52</f>
        <v>2693700</v>
      </c>
      <c r="U52" s="578">
        <f t="shared" si="6"/>
        <v>2693700</v>
      </c>
      <c r="V52" s="589"/>
      <c r="W52" s="574"/>
      <c r="X52" s="586"/>
      <c r="Y52" s="537">
        <f t="shared" si="5"/>
        <v>-7482500</v>
      </c>
      <c r="Z52" s="589">
        <v>2.5</v>
      </c>
      <c r="AA52" s="574">
        <v>2993000</v>
      </c>
      <c r="AB52" s="586">
        <f>Z52*AA52</f>
        <v>7482500</v>
      </c>
      <c r="AC52" s="590">
        <f t="shared" si="7"/>
        <v>7482500</v>
      </c>
    </row>
    <row r="53" spans="1:29" ht="15">
      <c r="A53" s="581" t="s">
        <v>572</v>
      </c>
      <c r="B53" s="582">
        <v>285</v>
      </c>
      <c r="C53" s="585">
        <v>445</v>
      </c>
      <c r="D53" s="553">
        <f>B53*C53</f>
        <v>126825</v>
      </c>
      <c r="E53" s="582"/>
      <c r="F53" s="585"/>
      <c r="G53" s="586"/>
      <c r="H53" s="583">
        <v>285</v>
      </c>
      <c r="I53" s="585">
        <v>674</v>
      </c>
      <c r="J53" s="586">
        <f>H53*I53</f>
        <v>192090</v>
      </c>
      <c r="K53" s="588">
        <v>0</v>
      </c>
      <c r="L53" s="585">
        <v>0</v>
      </c>
      <c r="M53" s="586">
        <v>1962000</v>
      </c>
      <c r="N53" s="588">
        <v>0</v>
      </c>
      <c r="O53" s="585">
        <v>0</v>
      </c>
      <c r="P53" s="586">
        <v>0</v>
      </c>
      <c r="Q53" s="587">
        <v>0</v>
      </c>
      <c r="R53" s="589">
        <v>0.9</v>
      </c>
      <c r="S53" s="574">
        <v>2993000</v>
      </c>
      <c r="T53" s="586">
        <f>R53*S53</f>
        <v>2693700</v>
      </c>
      <c r="U53" s="578">
        <f t="shared" si="6"/>
        <v>2693700</v>
      </c>
      <c r="V53" s="589"/>
      <c r="W53" s="574"/>
      <c r="X53" s="586"/>
      <c r="Y53" s="537">
        <f t="shared" si="5"/>
        <v>-1962000</v>
      </c>
      <c r="Z53" s="589"/>
      <c r="AA53" s="574">
        <v>1962000</v>
      </c>
      <c r="AB53" s="586">
        <v>1962000</v>
      </c>
      <c r="AC53" s="590">
        <f t="shared" si="7"/>
        <v>1962000</v>
      </c>
    </row>
    <row r="54" spans="1:29" ht="15">
      <c r="A54" s="558" t="s">
        <v>573</v>
      </c>
      <c r="B54" s="591"/>
      <c r="C54" s="592"/>
      <c r="D54" s="593">
        <f>SUM(D46:D51)</f>
        <v>25125569</v>
      </c>
      <c r="E54" s="591"/>
      <c r="F54" s="592"/>
      <c r="G54" s="594">
        <f>SUM(G46:G50)</f>
        <v>24928266</v>
      </c>
      <c r="H54" s="595"/>
      <c r="I54" s="592"/>
      <c r="J54" s="594">
        <f>SUM(J46:J51)</f>
        <v>24383076</v>
      </c>
      <c r="K54" s="595"/>
      <c r="L54" s="592"/>
      <c r="M54" s="594">
        <f aca="true" t="shared" si="8" ref="M54:U54">SUM(M46:M53)</f>
        <v>41301776</v>
      </c>
      <c r="N54" s="594">
        <f t="shared" si="8"/>
        <v>10.25</v>
      </c>
      <c r="O54" s="594">
        <f t="shared" si="8"/>
        <v>5355645</v>
      </c>
      <c r="P54" s="594">
        <f t="shared" si="8"/>
        <v>31764974</v>
      </c>
      <c r="Q54" s="594">
        <f t="shared" si="8"/>
        <v>631338</v>
      </c>
      <c r="R54" s="594">
        <f t="shared" si="8"/>
        <v>705.0899999999999</v>
      </c>
      <c r="S54" s="594">
        <f t="shared" si="8"/>
        <v>11341645</v>
      </c>
      <c r="T54" s="594">
        <f t="shared" si="8"/>
        <v>37440951</v>
      </c>
      <c r="U54" s="594">
        <f t="shared" si="8"/>
        <v>5675977</v>
      </c>
      <c r="V54" s="594"/>
      <c r="W54" s="594"/>
      <c r="X54" s="594">
        <f>SUM(X46:X53)</f>
        <v>0</v>
      </c>
      <c r="Y54" s="596">
        <f>SUM(Y46:Y53)</f>
        <v>-41301776</v>
      </c>
      <c r="Z54" s="594"/>
      <c r="AA54" s="594"/>
      <c r="AB54" s="594">
        <f>SUM(AB46:AB53)</f>
        <v>41301776</v>
      </c>
      <c r="AC54" s="597">
        <f>SUM(AC46:AC53)</f>
        <v>41301776</v>
      </c>
    </row>
    <row r="55" spans="1:29" s="600" customFormat="1" ht="15">
      <c r="A55" s="558" t="s">
        <v>574</v>
      </c>
      <c r="B55" s="559"/>
      <c r="C55" s="592"/>
      <c r="D55" s="593">
        <v>1200000</v>
      </c>
      <c r="E55" s="559"/>
      <c r="F55" s="592"/>
      <c r="G55" s="594">
        <v>1200000</v>
      </c>
      <c r="H55" s="561"/>
      <c r="I55" s="592"/>
      <c r="J55" s="594">
        <v>1200000</v>
      </c>
      <c r="K55" s="561"/>
      <c r="L55" s="592"/>
      <c r="M55" s="594">
        <v>1800000</v>
      </c>
      <c r="N55" s="561"/>
      <c r="O55" s="592"/>
      <c r="P55" s="594">
        <v>1800000</v>
      </c>
      <c r="Q55" s="598">
        <v>0</v>
      </c>
      <c r="R55" s="561"/>
      <c r="S55" s="592"/>
      <c r="T55" s="594">
        <v>1800000</v>
      </c>
      <c r="U55" s="598">
        <v>0</v>
      </c>
      <c r="V55" s="561"/>
      <c r="W55" s="592"/>
      <c r="X55" s="594"/>
      <c r="Y55" s="596">
        <f>X55-M55</f>
        <v>-1800000</v>
      </c>
      <c r="Z55" s="561"/>
      <c r="AA55" s="592"/>
      <c r="AB55" s="594">
        <v>1800000</v>
      </c>
      <c r="AC55" s="599">
        <v>0</v>
      </c>
    </row>
    <row r="56" spans="1:29" ht="25.5" customHeight="1" thickBot="1">
      <c r="A56" s="601" t="s">
        <v>575</v>
      </c>
      <c r="B56" s="602"/>
      <c r="C56" s="603"/>
      <c r="D56" s="604">
        <f>D29+D44+D54+D55</f>
        <v>156676460</v>
      </c>
      <c r="E56" s="602"/>
      <c r="F56" s="603"/>
      <c r="G56" s="605">
        <f>G29+G44+G54+G55</f>
        <v>144643298</v>
      </c>
      <c r="H56" s="606"/>
      <c r="I56" s="603"/>
      <c r="J56" s="605">
        <f>J29+J44+J54+J55</f>
        <v>149523500</v>
      </c>
      <c r="K56" s="606"/>
      <c r="L56" s="603"/>
      <c r="M56" s="605">
        <f>M29+M44+M54+M55</f>
        <v>126736669</v>
      </c>
      <c r="N56" s="606"/>
      <c r="O56" s="603"/>
      <c r="P56" s="605">
        <f>P29+P44+P54+P55</f>
        <v>120274406</v>
      </c>
      <c r="Q56" s="607">
        <f>P56-M56</f>
        <v>-6462263</v>
      </c>
      <c r="R56" s="606"/>
      <c r="S56" s="603"/>
      <c r="T56" s="605">
        <f>T29+T44+T54+T55</f>
        <v>128192083</v>
      </c>
      <c r="U56" s="607">
        <f>T56-P56</f>
        <v>7917677</v>
      </c>
      <c r="V56" s="606"/>
      <c r="W56" s="603"/>
      <c r="X56" s="605">
        <f>X29+X44+X54+X55</f>
        <v>0</v>
      </c>
      <c r="Y56" s="608">
        <f>X56-M56</f>
        <v>-126736669</v>
      </c>
      <c r="Z56" s="606"/>
      <c r="AA56" s="603"/>
      <c r="AB56" s="605">
        <f>AB29+AB44+AB54+AB55</f>
        <v>126736669</v>
      </c>
      <c r="AC56" s="609">
        <f>AB56-X56</f>
        <v>126736669</v>
      </c>
    </row>
    <row r="57" spans="1:29" ht="19.5" customHeight="1">
      <c r="A57" s="666" t="s">
        <v>614</v>
      </c>
      <c r="B57" s="667"/>
      <c r="C57" s="668"/>
      <c r="D57" s="669"/>
      <c r="E57" s="667"/>
      <c r="F57" s="668"/>
      <c r="G57" s="669"/>
      <c r="H57" s="667"/>
      <c r="I57" s="668"/>
      <c r="J57" s="669"/>
      <c r="K57" s="667"/>
      <c r="L57" s="668"/>
      <c r="M57" s="669"/>
      <c r="N57" s="667"/>
      <c r="O57" s="668"/>
      <c r="P57" s="669"/>
      <c r="Q57" s="670"/>
      <c r="R57" s="667"/>
      <c r="S57" s="668"/>
      <c r="T57" s="669"/>
      <c r="U57" s="670"/>
      <c r="V57" s="667"/>
      <c r="W57" s="668"/>
      <c r="X57" s="669">
        <v>4330000</v>
      </c>
      <c r="Y57" s="670"/>
      <c r="Z57" s="667"/>
      <c r="AA57" s="668"/>
      <c r="AB57" s="669">
        <v>4330000</v>
      </c>
      <c r="AC57" s="670"/>
    </row>
    <row r="58" spans="1:29" ht="19.5" customHeight="1">
      <c r="A58" s="666" t="s">
        <v>615</v>
      </c>
      <c r="B58" s="667"/>
      <c r="C58" s="668"/>
      <c r="D58" s="669"/>
      <c r="E58" s="667"/>
      <c r="F58" s="668"/>
      <c r="G58" s="669"/>
      <c r="H58" s="667"/>
      <c r="I58" s="668"/>
      <c r="J58" s="669"/>
      <c r="K58" s="667"/>
      <c r="L58" s="668"/>
      <c r="M58" s="669"/>
      <c r="N58" s="667"/>
      <c r="O58" s="668"/>
      <c r="P58" s="669"/>
      <c r="Q58" s="670"/>
      <c r="R58" s="667"/>
      <c r="S58" s="668"/>
      <c r="T58" s="669"/>
      <c r="U58" s="670"/>
      <c r="V58" s="667"/>
      <c r="W58" s="668"/>
      <c r="X58" s="669">
        <v>1230630</v>
      </c>
      <c r="Y58" s="670"/>
      <c r="Z58" s="667"/>
      <c r="AA58" s="668"/>
      <c r="AB58" s="669">
        <v>1230630</v>
      </c>
      <c r="AC58" s="670"/>
    </row>
    <row r="59" spans="1:29" ht="25.5" customHeight="1">
      <c r="A59" s="666" t="s">
        <v>512</v>
      </c>
      <c r="B59" s="667"/>
      <c r="C59" s="668"/>
      <c r="D59" s="669"/>
      <c r="E59" s="667"/>
      <c r="F59" s="668"/>
      <c r="G59" s="669"/>
      <c r="H59" s="667"/>
      <c r="I59" s="668"/>
      <c r="J59" s="669"/>
      <c r="K59" s="667"/>
      <c r="L59" s="668"/>
      <c r="M59" s="669">
        <f>M56</f>
        <v>126736669</v>
      </c>
      <c r="N59" s="667"/>
      <c r="O59" s="668"/>
      <c r="P59" s="669"/>
      <c r="Q59" s="670"/>
      <c r="R59" s="667"/>
      <c r="S59" s="668"/>
      <c r="T59" s="669"/>
      <c r="U59" s="670"/>
      <c r="V59" s="667"/>
      <c r="W59" s="668"/>
      <c r="X59" s="669">
        <f>SUM(X57:X58)</f>
        <v>5560630</v>
      </c>
      <c r="Y59" s="670"/>
      <c r="Z59" s="667"/>
      <c r="AA59" s="668"/>
      <c r="AB59" s="669">
        <f>M59+X59</f>
        <v>132297299</v>
      </c>
      <c r="AC59" s="670"/>
    </row>
    <row r="60" ht="13.5" customHeight="1">
      <c r="A60" s="610"/>
    </row>
  </sheetData>
  <sheetProtection/>
  <mergeCells count="24">
    <mergeCell ref="A3:B3"/>
    <mergeCell ref="S4:T4"/>
    <mergeCell ref="W4:X4"/>
    <mergeCell ref="A4:B4"/>
    <mergeCell ref="I4:J4"/>
    <mergeCell ref="L4:M4"/>
    <mergeCell ref="O4:P4"/>
    <mergeCell ref="B5:D5"/>
    <mergeCell ref="N5:P5"/>
    <mergeCell ref="C4:D4"/>
    <mergeCell ref="F4:G4"/>
    <mergeCell ref="E5:G5"/>
    <mergeCell ref="H5:J5"/>
    <mergeCell ref="K5:M5"/>
    <mergeCell ref="AC5:AC7"/>
    <mergeCell ref="A1:AC1"/>
    <mergeCell ref="Q5:Q7"/>
    <mergeCell ref="R5:T5"/>
    <mergeCell ref="U5:U7"/>
    <mergeCell ref="V5:X5"/>
    <mergeCell ref="Y5:Y7"/>
    <mergeCell ref="AA4:AB4"/>
    <mergeCell ref="Z5:AB5"/>
    <mergeCell ref="A5:A6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C1">
      <selection activeCell="C5" sqref="C5:D6"/>
    </sheetView>
  </sheetViews>
  <sheetFormatPr defaultColWidth="8.00390625" defaultRowHeight="15"/>
  <cols>
    <col min="1" max="1" width="9.8515625" style="320" hidden="1" customWidth="1"/>
    <col min="2" max="2" width="3.28125" style="320" hidden="1" customWidth="1"/>
    <col min="3" max="3" width="51.57421875" style="320" customWidth="1"/>
    <col min="4" max="5" width="13.57421875" style="320" customWidth="1"/>
    <col min="6" max="6" width="12.57421875" style="320" customWidth="1"/>
    <col min="7" max="7" width="13.57421875" style="320" customWidth="1"/>
    <col min="8" max="8" width="49.57421875" style="320" customWidth="1"/>
    <col min="9" max="10" width="12.7109375" style="320" customWidth="1"/>
    <col min="11" max="11" width="12.57421875" style="320" customWidth="1"/>
    <col min="12" max="12" width="13.57421875" style="320" customWidth="1"/>
    <col min="13" max="13" width="8.00390625" style="320" customWidth="1"/>
    <col min="14" max="14" width="11.8515625" style="320" customWidth="1"/>
    <col min="15" max="15" width="8.7109375" style="320" bestFit="1" customWidth="1"/>
    <col min="16" max="16" width="8.00390625" style="320" customWidth="1"/>
    <col min="17" max="17" width="9.57421875" style="320" bestFit="1" customWidth="1"/>
    <col min="18" max="16384" width="8.00390625" style="320" customWidth="1"/>
  </cols>
  <sheetData>
    <row r="1" spans="3:12" ht="30" customHeight="1">
      <c r="C1" s="851" t="s">
        <v>306</v>
      </c>
      <c r="D1" s="851"/>
      <c r="E1" s="851"/>
      <c r="F1" s="851"/>
      <c r="G1" s="851"/>
      <c r="H1" s="851"/>
      <c r="I1" s="851"/>
      <c r="J1" s="851"/>
      <c r="K1" s="851"/>
      <c r="L1" s="851"/>
    </row>
    <row r="2" spans="3:12" ht="30" customHeight="1">
      <c r="C2" s="851" t="s">
        <v>307</v>
      </c>
      <c r="D2" s="851"/>
      <c r="E2" s="851"/>
      <c r="F2" s="851"/>
      <c r="G2" s="851"/>
      <c r="H2" s="851"/>
      <c r="I2" s="851"/>
      <c r="J2" s="851"/>
      <c r="K2" s="851"/>
      <c r="L2" s="851"/>
    </row>
    <row r="3" spans="3:12" ht="17.25" customHeight="1">
      <c r="C3" s="851" t="s">
        <v>76</v>
      </c>
      <c r="D3" s="851"/>
      <c r="E3" s="851"/>
      <c r="F3" s="851"/>
      <c r="G3" s="851"/>
      <c r="H3" s="851"/>
      <c r="I3" s="851"/>
      <c r="J3" s="851"/>
      <c r="K3" s="851"/>
      <c r="L3" s="851"/>
    </row>
    <row r="4" spans="3:12" ht="17.25" customHeight="1">
      <c r="C4" s="321"/>
      <c r="D4" s="321"/>
      <c r="E4" s="321"/>
      <c r="F4" s="321"/>
      <c r="G4" s="321"/>
      <c r="H4" s="321"/>
      <c r="I4" s="321"/>
      <c r="J4" s="321"/>
      <c r="K4" s="321"/>
      <c r="L4" s="321"/>
    </row>
    <row r="5" spans="3:12" ht="17.25" customHeight="1">
      <c r="C5" s="801" t="s">
        <v>627</v>
      </c>
      <c r="D5" s="801"/>
      <c r="E5" s="2"/>
      <c r="F5" s="2"/>
      <c r="G5" s="2"/>
      <c r="H5" s="321"/>
      <c r="I5" s="322"/>
      <c r="J5" s="322"/>
      <c r="K5" s="2"/>
      <c r="L5" s="2"/>
    </row>
    <row r="6" spans="3:12" ht="19.5" customHeight="1" thickBot="1">
      <c r="C6" s="801" t="s">
        <v>308</v>
      </c>
      <c r="D6" s="801"/>
      <c r="E6" s="2"/>
      <c r="F6" s="2"/>
      <c r="G6" s="2"/>
      <c r="H6" s="323"/>
      <c r="I6" s="324"/>
      <c r="J6" s="324"/>
      <c r="K6" s="2"/>
      <c r="L6" s="2" t="s">
        <v>3</v>
      </c>
    </row>
    <row r="7" spans="1:12" ht="42" customHeight="1">
      <c r="A7" s="325" t="s">
        <v>309</v>
      </c>
      <c r="B7" s="326" t="s">
        <v>310</v>
      </c>
      <c r="C7" s="326" t="s">
        <v>311</v>
      </c>
      <c r="D7" s="326" t="s">
        <v>7</v>
      </c>
      <c r="E7" s="326" t="s">
        <v>8</v>
      </c>
      <c r="F7" s="326" t="s">
        <v>273</v>
      </c>
      <c r="G7" s="326" t="s">
        <v>274</v>
      </c>
      <c r="H7" s="327" t="s">
        <v>312</v>
      </c>
      <c r="I7" s="326" t="s">
        <v>7</v>
      </c>
      <c r="J7" s="326" t="s">
        <v>8</v>
      </c>
      <c r="K7" s="326" t="s">
        <v>273</v>
      </c>
      <c r="L7" s="326" t="s">
        <v>274</v>
      </c>
    </row>
    <row r="8" spans="1:12" s="331" customFormat="1" ht="10.5">
      <c r="A8" s="328">
        <v>1</v>
      </c>
      <c r="B8" s="329">
        <v>2</v>
      </c>
      <c r="C8" s="329" t="s">
        <v>11</v>
      </c>
      <c r="D8" s="329" t="s">
        <v>24</v>
      </c>
      <c r="E8" s="329"/>
      <c r="F8" s="329" t="s">
        <v>33</v>
      </c>
      <c r="G8" s="329" t="s">
        <v>85</v>
      </c>
      <c r="H8" s="330" t="s">
        <v>86</v>
      </c>
      <c r="I8" s="329" t="s">
        <v>87</v>
      </c>
      <c r="J8" s="329"/>
      <c r="K8" s="329" t="s">
        <v>88</v>
      </c>
      <c r="L8" s="329" t="s">
        <v>89</v>
      </c>
    </row>
    <row r="9" spans="1:12" ht="14.25" customHeight="1">
      <c r="A9" s="332" t="s">
        <v>313</v>
      </c>
      <c r="B9" s="333" t="s">
        <v>314</v>
      </c>
      <c r="C9" s="334" t="s">
        <v>315</v>
      </c>
      <c r="D9" s="335">
        <v>2000000</v>
      </c>
      <c r="E9" s="335">
        <v>2000000</v>
      </c>
      <c r="F9" s="335">
        <v>0</v>
      </c>
      <c r="G9" s="335">
        <f>D9+F9</f>
        <v>2000000</v>
      </c>
      <c r="H9" s="334" t="s">
        <v>153</v>
      </c>
      <c r="I9" s="335">
        <v>54122434</v>
      </c>
      <c r="J9" s="335">
        <v>54122434</v>
      </c>
      <c r="K9" s="335">
        <v>0</v>
      </c>
      <c r="L9" s="335">
        <f aca="true" t="shared" si="0" ref="L9:L16">I9+K9</f>
        <v>54122434</v>
      </c>
    </row>
    <row r="10" spans="1:12" ht="15" customHeight="1">
      <c r="A10" s="332" t="s">
        <v>313</v>
      </c>
      <c r="B10" s="333" t="s">
        <v>314</v>
      </c>
      <c r="C10" s="334" t="s">
        <v>316</v>
      </c>
      <c r="D10" s="336">
        <v>169545000</v>
      </c>
      <c r="E10" s="336">
        <v>169545000</v>
      </c>
      <c r="F10" s="336">
        <v>0</v>
      </c>
      <c r="G10" s="335">
        <f>D10+F10</f>
        <v>169545000</v>
      </c>
      <c r="H10" s="334" t="s">
        <v>317</v>
      </c>
      <c r="I10" s="337">
        <v>7000000</v>
      </c>
      <c r="J10" s="342">
        <v>7000000</v>
      </c>
      <c r="K10" s="336">
        <v>0</v>
      </c>
      <c r="L10" s="335">
        <f t="shared" si="0"/>
        <v>7000000</v>
      </c>
    </row>
    <row r="11" spans="1:12" ht="12.75">
      <c r="A11" s="332" t="s">
        <v>318</v>
      </c>
      <c r="B11" s="333" t="s">
        <v>319</v>
      </c>
      <c r="C11" s="334" t="s">
        <v>320</v>
      </c>
      <c r="D11" s="337">
        <v>8888000</v>
      </c>
      <c r="E11" s="337">
        <v>8888000</v>
      </c>
      <c r="F11" s="337">
        <v>0</v>
      </c>
      <c r="G11" s="335">
        <f>D11+F11</f>
        <v>8888000</v>
      </c>
      <c r="H11" s="334" t="s">
        <v>321</v>
      </c>
      <c r="I11" s="337">
        <v>3000000</v>
      </c>
      <c r="J11" s="337">
        <v>3000000</v>
      </c>
      <c r="K11" s="337">
        <v>0</v>
      </c>
      <c r="L11" s="335">
        <f t="shared" si="0"/>
        <v>3000000</v>
      </c>
    </row>
    <row r="12" spans="1:12" ht="15" customHeight="1">
      <c r="A12" s="332" t="s">
        <v>322</v>
      </c>
      <c r="B12" s="333" t="s">
        <v>323</v>
      </c>
      <c r="C12" s="334" t="s">
        <v>618</v>
      </c>
      <c r="D12" s="337">
        <v>20000000</v>
      </c>
      <c r="E12" s="337">
        <v>20000000</v>
      </c>
      <c r="F12" s="337">
        <v>-200000</v>
      </c>
      <c r="G12" s="335">
        <f>D12+F12</f>
        <v>19800000</v>
      </c>
      <c r="H12" s="334" t="s">
        <v>324</v>
      </c>
      <c r="I12" s="337">
        <v>3000000</v>
      </c>
      <c r="J12" s="337">
        <v>3000000</v>
      </c>
      <c r="K12" s="337">
        <v>0</v>
      </c>
      <c r="L12" s="335">
        <f t="shared" si="0"/>
        <v>3000000</v>
      </c>
    </row>
    <row r="13" spans="1:14" ht="12.75" customHeight="1">
      <c r="A13" s="332"/>
      <c r="B13" s="333"/>
      <c r="C13" s="334" t="s">
        <v>325</v>
      </c>
      <c r="D13" s="337">
        <v>6000000</v>
      </c>
      <c r="E13" s="337">
        <v>6000000</v>
      </c>
      <c r="F13" s="337">
        <v>-6000000</v>
      </c>
      <c r="G13" s="335">
        <f>D13+F13</f>
        <v>0</v>
      </c>
      <c r="H13" s="334" t="s">
        <v>326</v>
      </c>
      <c r="I13" s="337">
        <v>4000000</v>
      </c>
      <c r="J13" s="337">
        <v>4000000</v>
      </c>
      <c r="K13" s="337">
        <v>0</v>
      </c>
      <c r="L13" s="335">
        <f t="shared" si="0"/>
        <v>4000000</v>
      </c>
      <c r="N13" s="338"/>
    </row>
    <row r="14" spans="1:14" ht="12.75" customHeight="1">
      <c r="A14" s="332"/>
      <c r="B14" s="333"/>
      <c r="C14" s="334" t="s">
        <v>327</v>
      </c>
      <c r="D14" s="337">
        <v>0</v>
      </c>
      <c r="E14" s="337">
        <v>238500</v>
      </c>
      <c r="F14" s="337">
        <v>0</v>
      </c>
      <c r="G14" s="335">
        <v>238500</v>
      </c>
      <c r="H14" s="334" t="s">
        <v>328</v>
      </c>
      <c r="I14" s="337">
        <v>1350000</v>
      </c>
      <c r="J14" s="337">
        <v>1350000</v>
      </c>
      <c r="K14" s="337">
        <v>0</v>
      </c>
      <c r="L14" s="335">
        <f t="shared" si="0"/>
        <v>1350000</v>
      </c>
      <c r="N14" s="338"/>
    </row>
    <row r="15" spans="1:12" ht="15" customHeight="1">
      <c r="A15" s="332" t="s">
        <v>313</v>
      </c>
      <c r="B15" s="333" t="s">
        <v>329</v>
      </c>
      <c r="C15" s="334" t="s">
        <v>330</v>
      </c>
      <c r="D15" s="337">
        <v>600000</v>
      </c>
      <c r="E15" s="337">
        <v>600000</v>
      </c>
      <c r="F15" s="337">
        <v>0</v>
      </c>
      <c r="G15" s="335">
        <f aca="true" t="shared" si="1" ref="G15:G21">D15+F15</f>
        <v>600000</v>
      </c>
      <c r="H15" s="334" t="s">
        <v>331</v>
      </c>
      <c r="I15" s="337">
        <v>90000000</v>
      </c>
      <c r="J15" s="337">
        <v>90000000</v>
      </c>
      <c r="K15" s="335">
        <v>-40000000</v>
      </c>
      <c r="L15" s="335">
        <f t="shared" si="0"/>
        <v>50000000</v>
      </c>
    </row>
    <row r="16" spans="1:12" ht="12.75">
      <c r="A16" s="332" t="s">
        <v>322</v>
      </c>
      <c r="B16" s="333" t="s">
        <v>323</v>
      </c>
      <c r="C16" s="334" t="s">
        <v>332</v>
      </c>
      <c r="D16" s="335">
        <v>1000000</v>
      </c>
      <c r="E16" s="335">
        <v>1000000</v>
      </c>
      <c r="F16" s="335">
        <v>0</v>
      </c>
      <c r="G16" s="335">
        <f t="shared" si="1"/>
        <v>1000000</v>
      </c>
      <c r="H16" s="334" t="s">
        <v>333</v>
      </c>
      <c r="I16" s="337">
        <v>14528617</v>
      </c>
      <c r="J16" s="337">
        <v>14528617</v>
      </c>
      <c r="K16" s="335">
        <v>0</v>
      </c>
      <c r="L16" s="335">
        <f t="shared" si="0"/>
        <v>14528617</v>
      </c>
    </row>
    <row r="17" spans="1:15" ht="12.75">
      <c r="A17" s="332" t="s">
        <v>334</v>
      </c>
      <c r="B17" s="333" t="s">
        <v>335</v>
      </c>
      <c r="C17" s="334" t="s">
        <v>336</v>
      </c>
      <c r="D17" s="335">
        <v>2540000</v>
      </c>
      <c r="E17" s="335">
        <v>2540000</v>
      </c>
      <c r="F17" s="335">
        <v>460000</v>
      </c>
      <c r="G17" s="335">
        <f t="shared" si="1"/>
        <v>3000000</v>
      </c>
      <c r="H17" s="334" t="s">
        <v>337</v>
      </c>
      <c r="I17" s="337">
        <v>0</v>
      </c>
      <c r="J17" s="337">
        <v>1000</v>
      </c>
      <c r="K17" s="335">
        <v>0</v>
      </c>
      <c r="L17" s="335">
        <v>1000</v>
      </c>
      <c r="O17" s="338"/>
    </row>
    <row r="18" spans="1:17" ht="12.75">
      <c r="A18" s="332" t="s">
        <v>338</v>
      </c>
      <c r="B18" s="333" t="s">
        <v>339</v>
      </c>
      <c r="C18" s="334" t="s">
        <v>340</v>
      </c>
      <c r="D18" s="335">
        <v>200000</v>
      </c>
      <c r="E18" s="335">
        <v>200000</v>
      </c>
      <c r="F18" s="335">
        <v>0</v>
      </c>
      <c r="G18" s="335">
        <f t="shared" si="1"/>
        <v>200000</v>
      </c>
      <c r="H18" s="399" t="s">
        <v>352</v>
      </c>
      <c r="I18" s="335">
        <v>0</v>
      </c>
      <c r="J18" s="335">
        <v>0</v>
      </c>
      <c r="K18" s="335">
        <v>54427819</v>
      </c>
      <c r="L18" s="335">
        <v>54427819</v>
      </c>
      <c r="Q18" s="338"/>
    </row>
    <row r="19" spans="1:17" ht="15" customHeight="1">
      <c r="A19" s="332" t="s">
        <v>313</v>
      </c>
      <c r="B19" s="333" t="s">
        <v>341</v>
      </c>
      <c r="C19" s="334" t="s">
        <v>342</v>
      </c>
      <c r="D19" s="337">
        <v>550000</v>
      </c>
      <c r="E19" s="337">
        <v>550000</v>
      </c>
      <c r="F19" s="337">
        <v>0</v>
      </c>
      <c r="G19" s="335">
        <f t="shared" si="1"/>
        <v>550000</v>
      </c>
      <c r="H19" s="339"/>
      <c r="I19" s="335"/>
      <c r="J19" s="335"/>
      <c r="K19" s="337"/>
      <c r="L19" s="337"/>
      <c r="Q19" s="338"/>
    </row>
    <row r="20" spans="1:12" ht="15" customHeight="1">
      <c r="A20" s="340"/>
      <c r="B20" s="341"/>
      <c r="C20" s="334" t="s">
        <v>343</v>
      </c>
      <c r="D20" s="342">
        <v>2500000</v>
      </c>
      <c r="E20" s="342">
        <v>2500000</v>
      </c>
      <c r="F20" s="342">
        <v>200000</v>
      </c>
      <c r="G20" s="335">
        <f t="shared" si="1"/>
        <v>2700000</v>
      </c>
      <c r="H20" s="339"/>
      <c r="I20" s="336"/>
      <c r="J20" s="336"/>
      <c r="K20" s="342"/>
      <c r="L20" s="342"/>
    </row>
    <row r="21" spans="1:12" ht="26.25" customHeight="1">
      <c r="A21" s="340"/>
      <c r="B21" s="341"/>
      <c r="C21" s="334" t="s">
        <v>344</v>
      </c>
      <c r="D21" s="342">
        <v>500000</v>
      </c>
      <c r="E21" s="342">
        <v>500000</v>
      </c>
      <c r="F21" s="342">
        <v>0</v>
      </c>
      <c r="G21" s="335">
        <f t="shared" si="1"/>
        <v>500000</v>
      </c>
      <c r="H21" s="339"/>
      <c r="I21" s="336"/>
      <c r="J21" s="336"/>
      <c r="K21" s="342"/>
      <c r="L21" s="342"/>
    </row>
    <row r="22" spans="1:12" ht="15" customHeight="1">
      <c r="A22" s="340"/>
      <c r="B22" s="341"/>
      <c r="C22" s="334"/>
      <c r="D22" s="342"/>
      <c r="E22" s="342"/>
      <c r="F22" s="342"/>
      <c r="G22" s="342"/>
      <c r="H22" s="339"/>
      <c r="I22" s="336"/>
      <c r="J22" s="336"/>
      <c r="K22" s="342"/>
      <c r="L22" s="342"/>
    </row>
    <row r="23" spans="1:12" ht="13.5" thickBot="1">
      <c r="A23" s="343"/>
      <c r="B23" s="344"/>
      <c r="C23" s="345"/>
      <c r="D23" s="346">
        <f>SUM(D9:D22)</f>
        <v>214323000</v>
      </c>
      <c r="E23" s="346">
        <f>SUM(E9:E21)</f>
        <v>214561500</v>
      </c>
      <c r="F23" s="346">
        <f>SUM(F9:F22)</f>
        <v>-5540000</v>
      </c>
      <c r="G23" s="346">
        <f>SUM(G9:G22)</f>
        <v>209021500</v>
      </c>
      <c r="H23" s="347"/>
      <c r="I23" s="346">
        <f>SUM(I9:I19)</f>
        <v>177001051</v>
      </c>
      <c r="J23" s="346"/>
      <c r="K23" s="346">
        <f>SUM(K9:K22)</f>
        <v>14427819</v>
      </c>
      <c r="L23" s="346">
        <f>SUM(L9:L22)</f>
        <v>191429870</v>
      </c>
    </row>
    <row r="24" spans="1:2" ht="12.75">
      <c r="A24" s="343"/>
      <c r="B24" s="344"/>
    </row>
    <row r="25" spans="1:2" ht="12.75">
      <c r="A25" s="343"/>
      <c r="B25" s="344"/>
    </row>
    <row r="26" spans="1:2" ht="13.5" thickBot="1">
      <c r="A26" s="348" t="s">
        <v>345</v>
      </c>
      <c r="B26" s="345"/>
    </row>
  </sheetData>
  <sheetProtection/>
  <mergeCells count="5">
    <mergeCell ref="C6:D6"/>
    <mergeCell ref="C5:D5"/>
    <mergeCell ref="C1:L1"/>
    <mergeCell ref="C2:L2"/>
    <mergeCell ref="C3:L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7" r:id="rId1"/>
  <headerFooter alignWithMargins="0">
    <oddHeader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SheetLayoutView="100" zoomScalePageLayoutView="0" workbookViewId="0" topLeftCell="A1">
      <selection activeCell="A2" sqref="A2:B3"/>
    </sheetView>
  </sheetViews>
  <sheetFormatPr defaultColWidth="8.00390625" defaultRowHeight="15"/>
  <cols>
    <col min="1" max="1" width="5.8515625" style="400" customWidth="1"/>
    <col min="2" max="2" width="47.28125" style="406" customWidth="1"/>
    <col min="3" max="6" width="14.00390625" style="400" customWidth="1"/>
    <col min="7" max="7" width="47.28125" style="400" customWidth="1"/>
    <col min="8" max="11" width="14.00390625" style="400" customWidth="1"/>
    <col min="12" max="12" width="4.140625" style="400" customWidth="1"/>
    <col min="13" max="16384" width="8.00390625" style="400" customWidth="1"/>
  </cols>
  <sheetData>
    <row r="1" spans="2:12" ht="39.75" customHeight="1">
      <c r="B1" s="401" t="s">
        <v>428</v>
      </c>
      <c r="C1" s="402"/>
      <c r="D1" s="402"/>
      <c r="E1" s="402"/>
      <c r="F1" s="402"/>
      <c r="G1" s="402"/>
      <c r="H1" s="402"/>
      <c r="I1" s="402"/>
      <c r="J1" s="402"/>
      <c r="K1" s="402"/>
      <c r="L1" s="854"/>
    </row>
    <row r="2" spans="1:12" ht="19.5" customHeight="1">
      <c r="A2" s="801" t="s">
        <v>623</v>
      </c>
      <c r="B2" s="801"/>
      <c r="C2" s="402"/>
      <c r="D2" s="402"/>
      <c r="E2" s="402"/>
      <c r="F2" s="402"/>
      <c r="G2" s="402"/>
      <c r="H2" s="403"/>
      <c r="I2" s="403"/>
      <c r="J2" s="403"/>
      <c r="K2" s="403"/>
      <c r="L2" s="854"/>
    </row>
    <row r="3" spans="1:12" ht="15.75" customHeight="1" thickBot="1">
      <c r="A3" s="801" t="s">
        <v>628</v>
      </c>
      <c r="B3" s="801"/>
      <c r="H3" s="404" t="s">
        <v>3</v>
      </c>
      <c r="I3" s="404"/>
      <c r="J3" s="404"/>
      <c r="K3" s="404"/>
      <c r="L3" s="854"/>
    </row>
    <row r="4" spans="1:12" ht="18" customHeight="1" thickBot="1">
      <c r="A4" s="852" t="s">
        <v>361</v>
      </c>
      <c r="B4" s="671" t="s">
        <v>362</v>
      </c>
      <c r="C4" s="672"/>
      <c r="D4" s="724"/>
      <c r="E4" s="724"/>
      <c r="F4" s="724"/>
      <c r="G4" s="671" t="s">
        <v>363</v>
      </c>
      <c r="H4" s="737"/>
      <c r="I4" s="740"/>
      <c r="J4" s="740"/>
      <c r="K4" s="740"/>
      <c r="L4" s="854"/>
    </row>
    <row r="5" spans="1:12" s="405" customFormat="1" ht="35.25" customHeight="1" thickBot="1">
      <c r="A5" s="853"/>
      <c r="B5" s="674" t="s">
        <v>364</v>
      </c>
      <c r="C5" s="675" t="s">
        <v>616</v>
      </c>
      <c r="D5" s="725" t="s">
        <v>8</v>
      </c>
      <c r="E5" s="725" t="s">
        <v>273</v>
      </c>
      <c r="F5" s="725" t="s">
        <v>274</v>
      </c>
      <c r="G5" s="674" t="s">
        <v>364</v>
      </c>
      <c r="H5" s="738" t="s">
        <v>616</v>
      </c>
      <c r="I5" s="674" t="s">
        <v>8</v>
      </c>
      <c r="J5" s="675" t="s">
        <v>273</v>
      </c>
      <c r="K5" s="742" t="s">
        <v>274</v>
      </c>
      <c r="L5" s="854"/>
    </row>
    <row r="6" spans="1:12" s="407" customFormat="1" ht="12" customHeight="1" thickBot="1">
      <c r="A6" s="676" t="s">
        <v>11</v>
      </c>
      <c r="B6" s="677" t="s">
        <v>24</v>
      </c>
      <c r="C6" s="678" t="s">
        <v>33</v>
      </c>
      <c r="D6" s="726"/>
      <c r="E6" s="726"/>
      <c r="F6" s="726"/>
      <c r="G6" s="677" t="s">
        <v>85</v>
      </c>
      <c r="H6" s="739" t="s">
        <v>86</v>
      </c>
      <c r="I6" s="741"/>
      <c r="J6" s="741"/>
      <c r="K6" s="741"/>
      <c r="L6" s="854"/>
    </row>
    <row r="7" spans="1:12" ht="12.75" customHeight="1" thickBot="1">
      <c r="A7" s="680" t="s">
        <v>365</v>
      </c>
      <c r="B7" s="681" t="s">
        <v>429</v>
      </c>
      <c r="C7" s="682">
        <v>128166367</v>
      </c>
      <c r="D7" s="727">
        <v>128166367</v>
      </c>
      <c r="E7" s="727">
        <f aca="true" t="shared" si="0" ref="E7:E12">F7-D7</f>
        <v>5560630</v>
      </c>
      <c r="F7" s="727">
        <v>133726997</v>
      </c>
      <c r="G7" s="681" t="s">
        <v>163</v>
      </c>
      <c r="H7" s="743">
        <v>56870226</v>
      </c>
      <c r="I7" s="744">
        <v>56870226</v>
      </c>
      <c r="J7" s="744">
        <f aca="true" t="shared" si="1" ref="J7:J12">K7-I7</f>
        <v>3069049</v>
      </c>
      <c r="K7" s="746">
        <v>59939275</v>
      </c>
      <c r="L7" s="854"/>
    </row>
    <row r="8" spans="1:12" ht="12.75" customHeight="1" thickBot="1">
      <c r="A8" s="684" t="s">
        <v>367</v>
      </c>
      <c r="B8" s="685" t="s">
        <v>430</v>
      </c>
      <c r="C8" s="686">
        <v>53300354</v>
      </c>
      <c r="D8" s="728">
        <v>53300354</v>
      </c>
      <c r="E8" s="727">
        <f t="shared" si="0"/>
        <v>0</v>
      </c>
      <c r="F8" s="728">
        <v>53300354</v>
      </c>
      <c r="G8" s="685" t="s">
        <v>431</v>
      </c>
      <c r="H8" s="689">
        <v>10675480</v>
      </c>
      <c r="I8" s="686">
        <v>10675480</v>
      </c>
      <c r="J8" s="744">
        <f t="shared" si="1"/>
        <v>700000</v>
      </c>
      <c r="K8" s="687">
        <v>11375480</v>
      </c>
      <c r="L8" s="854"/>
    </row>
    <row r="9" spans="1:12" ht="12.75" customHeight="1" thickBot="1">
      <c r="A9" s="684" t="s">
        <v>370</v>
      </c>
      <c r="B9" s="685" t="s">
        <v>432</v>
      </c>
      <c r="C9" s="686">
        <v>0</v>
      </c>
      <c r="D9" s="728"/>
      <c r="E9" s="727">
        <f t="shared" si="0"/>
        <v>0</v>
      </c>
      <c r="F9" s="728"/>
      <c r="G9" s="685" t="s">
        <v>433</v>
      </c>
      <c r="H9" s="689">
        <v>66524323</v>
      </c>
      <c r="I9" s="686">
        <v>67397106</v>
      </c>
      <c r="J9" s="744">
        <f t="shared" si="1"/>
        <v>-80242</v>
      </c>
      <c r="K9" s="687">
        <v>67316864</v>
      </c>
      <c r="L9" s="854"/>
    </row>
    <row r="10" spans="1:12" ht="12.75" customHeight="1" thickBot="1">
      <c r="A10" s="684" t="s">
        <v>371</v>
      </c>
      <c r="B10" s="685" t="s">
        <v>111</v>
      </c>
      <c r="C10" s="686">
        <v>86934266</v>
      </c>
      <c r="D10" s="728">
        <v>86984266</v>
      </c>
      <c r="E10" s="727">
        <f t="shared" si="0"/>
        <v>-19967819</v>
      </c>
      <c r="F10" s="728">
        <v>67016447</v>
      </c>
      <c r="G10" s="685" t="s">
        <v>225</v>
      </c>
      <c r="H10" s="689">
        <v>5275000</v>
      </c>
      <c r="I10" s="686">
        <v>5275000</v>
      </c>
      <c r="J10" s="744">
        <f t="shared" si="1"/>
        <v>0</v>
      </c>
      <c r="K10" s="687">
        <v>5275000</v>
      </c>
      <c r="L10" s="854"/>
    </row>
    <row r="11" spans="1:12" ht="12.75" customHeight="1" thickBot="1">
      <c r="A11" s="684" t="s">
        <v>374</v>
      </c>
      <c r="B11" s="688" t="s">
        <v>121</v>
      </c>
      <c r="C11" s="686">
        <v>15747000</v>
      </c>
      <c r="D11" s="728">
        <v>15747000</v>
      </c>
      <c r="E11" s="727">
        <f t="shared" si="0"/>
        <v>450419</v>
      </c>
      <c r="F11" s="728">
        <v>16197419</v>
      </c>
      <c r="G11" s="685" t="s">
        <v>231</v>
      </c>
      <c r="H11" s="689">
        <v>52695271</v>
      </c>
      <c r="I11" s="686">
        <v>52920038</v>
      </c>
      <c r="J11" s="744">
        <f t="shared" si="1"/>
        <v>870242</v>
      </c>
      <c r="K11" s="687">
        <v>53790280</v>
      </c>
      <c r="L11" s="854"/>
    </row>
    <row r="12" spans="1:12" ht="12.75" customHeight="1">
      <c r="A12" s="684" t="s">
        <v>377</v>
      </c>
      <c r="B12" s="685" t="s">
        <v>139</v>
      </c>
      <c r="C12" s="689">
        <v>50000</v>
      </c>
      <c r="D12" s="729">
        <v>200000</v>
      </c>
      <c r="E12" s="727">
        <f t="shared" si="0"/>
        <v>0</v>
      </c>
      <c r="F12" s="729">
        <v>200000</v>
      </c>
      <c r="G12" s="685" t="s">
        <v>379</v>
      </c>
      <c r="H12" s="689">
        <v>9575983</v>
      </c>
      <c r="I12" s="686">
        <v>8440933</v>
      </c>
      <c r="J12" s="744">
        <f t="shared" si="1"/>
        <v>0</v>
      </c>
      <c r="K12" s="687">
        <v>8440933</v>
      </c>
      <c r="L12" s="854"/>
    </row>
    <row r="13" spans="1:12" ht="12.75" customHeight="1">
      <c r="A13" s="684" t="s">
        <v>380</v>
      </c>
      <c r="B13" s="685" t="s">
        <v>434</v>
      </c>
      <c r="C13" s="686"/>
      <c r="D13" s="728"/>
      <c r="E13" s="728"/>
      <c r="F13" s="728"/>
      <c r="G13" s="690"/>
      <c r="H13" s="689"/>
      <c r="I13" s="686"/>
      <c r="J13" s="686"/>
      <c r="K13" s="687"/>
      <c r="L13" s="854"/>
    </row>
    <row r="14" spans="1:12" ht="12.75" customHeight="1" thickBot="1">
      <c r="A14" s="684" t="s">
        <v>381</v>
      </c>
      <c r="B14" s="690"/>
      <c r="C14" s="686"/>
      <c r="D14" s="728"/>
      <c r="E14" s="728"/>
      <c r="F14" s="728"/>
      <c r="G14" s="690"/>
      <c r="H14" s="689"/>
      <c r="I14" s="745"/>
      <c r="J14" s="745"/>
      <c r="K14" s="747"/>
      <c r="L14" s="854"/>
    </row>
    <row r="15" spans="1:12" ht="15.75" customHeight="1" thickBot="1">
      <c r="A15" s="691" t="s">
        <v>384</v>
      </c>
      <c r="B15" s="692" t="s">
        <v>435</v>
      </c>
      <c r="C15" s="693">
        <f>SUM(C7:C14)</f>
        <v>284197987</v>
      </c>
      <c r="D15" s="693">
        <f>SUM(D7:D14)</f>
        <v>284397987</v>
      </c>
      <c r="E15" s="693">
        <f>SUM(E7:E14)</f>
        <v>-13956770</v>
      </c>
      <c r="F15" s="693">
        <f>SUM(F7:F14)</f>
        <v>270441217</v>
      </c>
      <c r="G15" s="692" t="s">
        <v>436</v>
      </c>
      <c r="H15" s="694">
        <f>SUM(H7:H14)</f>
        <v>201616283</v>
      </c>
      <c r="I15" s="694">
        <f>SUM(I7:I14)</f>
        <v>201578783</v>
      </c>
      <c r="J15" s="694">
        <f>SUM(J7:J14)</f>
        <v>4559049</v>
      </c>
      <c r="K15" s="694">
        <f>SUM(K7:K14)</f>
        <v>206137832</v>
      </c>
      <c r="L15" s="854"/>
    </row>
    <row r="16" spans="1:12" ht="12.75" customHeight="1">
      <c r="A16" s="684" t="s">
        <v>387</v>
      </c>
      <c r="B16" s="695" t="s">
        <v>437</v>
      </c>
      <c r="C16" s="696">
        <f>+C17+C18+C19+C20</f>
        <v>0</v>
      </c>
      <c r="D16" s="696">
        <f>+D17+D18+D19+D20</f>
        <v>292066</v>
      </c>
      <c r="E16" s="696">
        <f>+E17+E18+E19+E20</f>
        <v>0</v>
      </c>
      <c r="F16" s="696">
        <f>+F17+F18+F19+F20</f>
        <v>292066</v>
      </c>
      <c r="G16" s="697" t="s">
        <v>386</v>
      </c>
      <c r="H16" s="748"/>
      <c r="I16" s="751"/>
      <c r="J16" s="751"/>
      <c r="K16" s="751"/>
      <c r="L16" s="854"/>
    </row>
    <row r="17" spans="1:12" ht="12.75" customHeight="1">
      <c r="A17" s="684" t="s">
        <v>390</v>
      </c>
      <c r="B17" s="697" t="s">
        <v>438</v>
      </c>
      <c r="C17" s="698">
        <v>0</v>
      </c>
      <c r="D17" s="730"/>
      <c r="E17" s="730"/>
      <c r="F17" s="730"/>
      <c r="G17" s="697" t="s">
        <v>389</v>
      </c>
      <c r="H17" s="749"/>
      <c r="I17" s="698"/>
      <c r="J17" s="698"/>
      <c r="K17" s="699"/>
      <c r="L17" s="854"/>
    </row>
    <row r="18" spans="1:12" ht="12.75" customHeight="1">
      <c r="A18" s="684" t="s">
        <v>393</v>
      </c>
      <c r="B18" s="697" t="s">
        <v>439</v>
      </c>
      <c r="C18" s="698"/>
      <c r="D18" s="730"/>
      <c r="E18" s="730"/>
      <c r="F18" s="730"/>
      <c r="G18" s="697" t="s">
        <v>392</v>
      </c>
      <c r="H18" s="749"/>
      <c r="I18" s="698"/>
      <c r="J18" s="698"/>
      <c r="K18" s="699"/>
      <c r="L18" s="854"/>
    </row>
    <row r="19" spans="1:12" ht="12.75" customHeight="1">
      <c r="A19" s="684" t="s">
        <v>396</v>
      </c>
      <c r="B19" s="697" t="s">
        <v>440</v>
      </c>
      <c r="C19" s="698"/>
      <c r="D19" s="730"/>
      <c r="E19" s="730"/>
      <c r="F19" s="730"/>
      <c r="G19" s="697" t="s">
        <v>395</v>
      </c>
      <c r="H19" s="749"/>
      <c r="I19" s="698"/>
      <c r="J19" s="698"/>
      <c r="K19" s="699"/>
      <c r="L19" s="854"/>
    </row>
    <row r="20" spans="1:12" ht="12.75" customHeight="1">
      <c r="A20" s="684" t="s">
        <v>399</v>
      </c>
      <c r="B20" s="697" t="s">
        <v>155</v>
      </c>
      <c r="C20" s="698">
        <v>0</v>
      </c>
      <c r="D20" s="731">
        <v>292066</v>
      </c>
      <c r="E20" s="731">
        <f>F20-D20</f>
        <v>0</v>
      </c>
      <c r="F20" s="731">
        <v>292066</v>
      </c>
      <c r="G20" s="695" t="s">
        <v>398</v>
      </c>
      <c r="H20" s="749"/>
      <c r="I20" s="698"/>
      <c r="J20" s="698"/>
      <c r="K20" s="699"/>
      <c r="L20" s="854"/>
    </row>
    <row r="21" spans="1:12" ht="12.75" customHeight="1">
      <c r="A21" s="684" t="s">
        <v>401</v>
      </c>
      <c r="B21" s="697" t="s">
        <v>441</v>
      </c>
      <c r="C21" s="700">
        <f>+C22+C23</f>
        <v>0</v>
      </c>
      <c r="D21" s="700">
        <f>+D22+D23</f>
        <v>0</v>
      </c>
      <c r="E21" s="700">
        <f>+E22+E23</f>
        <v>0</v>
      </c>
      <c r="F21" s="700">
        <f>+F22+F23</f>
        <v>0</v>
      </c>
      <c r="G21" s="697" t="s">
        <v>442</v>
      </c>
      <c r="H21" s="749"/>
      <c r="I21" s="698"/>
      <c r="J21" s="698"/>
      <c r="K21" s="699"/>
      <c r="L21" s="854"/>
    </row>
    <row r="22" spans="1:12" ht="12.75" customHeight="1">
      <c r="A22" s="684" t="s">
        <v>404</v>
      </c>
      <c r="B22" s="701" t="s">
        <v>443</v>
      </c>
      <c r="C22" s="702"/>
      <c r="D22" s="731"/>
      <c r="E22" s="731"/>
      <c r="F22" s="731"/>
      <c r="G22" s="681" t="s">
        <v>444</v>
      </c>
      <c r="H22" s="748"/>
      <c r="I22" s="698"/>
      <c r="J22" s="698"/>
      <c r="K22" s="699"/>
      <c r="L22" s="854"/>
    </row>
    <row r="23" spans="1:12" ht="12.75" customHeight="1">
      <c r="A23" s="684" t="s">
        <v>407</v>
      </c>
      <c r="B23" s="703" t="s">
        <v>445</v>
      </c>
      <c r="C23" s="698"/>
      <c r="D23" s="730"/>
      <c r="E23" s="730"/>
      <c r="F23" s="730"/>
      <c r="G23" s="685" t="s">
        <v>446</v>
      </c>
      <c r="H23" s="749"/>
      <c r="I23" s="698"/>
      <c r="J23" s="698"/>
      <c r="K23" s="699"/>
      <c r="L23" s="854"/>
    </row>
    <row r="24" spans="1:12" ht="12.75" customHeight="1">
      <c r="A24" s="684" t="s">
        <v>409</v>
      </c>
      <c r="B24" s="703" t="s">
        <v>447</v>
      </c>
      <c r="C24" s="699"/>
      <c r="D24" s="732"/>
      <c r="E24" s="732"/>
      <c r="F24" s="732"/>
      <c r="G24" s="685" t="s">
        <v>448</v>
      </c>
      <c r="H24" s="749"/>
      <c r="I24" s="698"/>
      <c r="J24" s="698"/>
      <c r="K24" s="699"/>
      <c r="L24" s="854"/>
    </row>
    <row r="25" spans="1:12" ht="12.75" customHeight="1">
      <c r="A25" s="684" t="s">
        <v>411</v>
      </c>
      <c r="B25" s="703" t="s">
        <v>449</v>
      </c>
      <c r="C25" s="699"/>
      <c r="D25" s="732"/>
      <c r="E25" s="732"/>
      <c r="F25" s="732"/>
      <c r="G25" s="685" t="s">
        <v>450</v>
      </c>
      <c r="H25" s="749">
        <v>4488745</v>
      </c>
      <c r="I25" s="698">
        <v>4780811</v>
      </c>
      <c r="J25" s="698">
        <f>K25-I25</f>
        <v>0</v>
      </c>
      <c r="K25" s="699">
        <v>4780811</v>
      </c>
      <c r="L25" s="854"/>
    </row>
    <row r="26" spans="1:12" ht="12.75" customHeight="1" thickBot="1">
      <c r="A26" s="684" t="s">
        <v>413</v>
      </c>
      <c r="B26" s="703" t="s">
        <v>449</v>
      </c>
      <c r="C26" s="699"/>
      <c r="D26" s="733"/>
      <c r="E26" s="733"/>
      <c r="F26" s="733"/>
      <c r="G26" s="408" t="s">
        <v>289</v>
      </c>
      <c r="H26" s="750">
        <v>79421010</v>
      </c>
      <c r="I26" s="752">
        <v>79421010</v>
      </c>
      <c r="J26" s="698">
        <f>K26-I26</f>
        <v>1452000</v>
      </c>
      <c r="K26" s="753">
        <v>80873010</v>
      </c>
      <c r="L26" s="854"/>
    </row>
    <row r="27" spans="1:12" ht="22.5" customHeight="1" thickBot="1">
      <c r="A27" s="684" t="s">
        <v>415</v>
      </c>
      <c r="B27" s="704" t="s">
        <v>451</v>
      </c>
      <c r="C27" s="705">
        <f>+C16+C21+C24+C26</f>
        <v>0</v>
      </c>
      <c r="D27" s="705">
        <f>+D16+D21+D24+D26</f>
        <v>292066</v>
      </c>
      <c r="E27" s="705">
        <f>+E16+E21+E24+E26</f>
        <v>0</v>
      </c>
      <c r="F27" s="705">
        <f>+F16+F21+F24+F26</f>
        <v>292066</v>
      </c>
      <c r="G27" s="692" t="s">
        <v>452</v>
      </c>
      <c r="H27" s="694">
        <f>SUM(H16:H26)</f>
        <v>83909755</v>
      </c>
      <c r="I27" s="694">
        <f>SUM(I16:I26)</f>
        <v>84201821</v>
      </c>
      <c r="J27" s="694">
        <f>SUM(J16:J26)</f>
        <v>1452000</v>
      </c>
      <c r="K27" s="694">
        <f>SUM(K16:K26)</f>
        <v>85653821</v>
      </c>
      <c r="L27" s="854"/>
    </row>
    <row r="28" spans="1:12" ht="13.5" thickBot="1">
      <c r="A28" s="691" t="s">
        <v>418</v>
      </c>
      <c r="B28" s="706" t="s">
        <v>453</v>
      </c>
      <c r="C28" s="707">
        <f>+C15+C27</f>
        <v>284197987</v>
      </c>
      <c r="D28" s="707">
        <f>+D15+D27</f>
        <v>284690053</v>
      </c>
      <c r="E28" s="707">
        <f>+E15+E27</f>
        <v>-13956770</v>
      </c>
      <c r="F28" s="707">
        <f>+F15+F27</f>
        <v>270733283</v>
      </c>
      <c r="G28" s="706" t="s">
        <v>454</v>
      </c>
      <c r="H28" s="707">
        <f>+H15+H27</f>
        <v>285526038</v>
      </c>
      <c r="I28" s="707">
        <f>+I15+I27</f>
        <v>285780604</v>
      </c>
      <c r="J28" s="707">
        <f>+J15+J27</f>
        <v>6011049</v>
      </c>
      <c r="K28" s="707">
        <f>+K15+K27</f>
        <v>291791653</v>
      </c>
      <c r="L28" s="854"/>
    </row>
    <row r="29" spans="1:12" ht="13.5" thickBot="1">
      <c r="A29" s="691" t="s">
        <v>421</v>
      </c>
      <c r="B29" s="706" t="s">
        <v>422</v>
      </c>
      <c r="C29" s="707" t="str">
        <f>IF(C15-H15&lt;0,H15-C15,"-")</f>
        <v>-</v>
      </c>
      <c r="D29" s="707" t="str">
        <f>IF(D15-I15&lt;0,I15-D15,"-")</f>
        <v>-</v>
      </c>
      <c r="E29" s="707">
        <f>IF(E15-J15&lt;0,J15-E15,"-")</f>
        <v>18515819</v>
      </c>
      <c r="F29" s="707" t="str">
        <f>IF(F15-K15&lt;0,K15-F15,"-")</f>
        <v>-</v>
      </c>
      <c r="G29" s="706" t="s">
        <v>423</v>
      </c>
      <c r="H29" s="707">
        <f>IF(C15-H15&gt;0,C15-H15,"-")</f>
        <v>82581704</v>
      </c>
      <c r="I29" s="707">
        <f>IF(D15-I15&gt;0,D15-I15,"-")</f>
        <v>82819204</v>
      </c>
      <c r="J29" s="707" t="str">
        <f>IF(E15-J15&gt;0,E15-J15,"-")</f>
        <v>-</v>
      </c>
      <c r="K29" s="707">
        <f>IF(F15-K15&gt;0,F15-K15,"-")</f>
        <v>64303385</v>
      </c>
      <c r="L29" s="854"/>
    </row>
    <row r="30" spans="1:12" ht="13.5" thickBot="1">
      <c r="A30" s="691" t="s">
        <v>424</v>
      </c>
      <c r="B30" s="706" t="s">
        <v>425</v>
      </c>
      <c r="C30" s="707">
        <f>IF(C15+C27-H28&lt;0,H28-(C15+C27),"-")</f>
        <v>1328051</v>
      </c>
      <c r="D30" s="707">
        <f>IF(D15+D27-I28&lt;0,I28-(D15+D27),"-")</f>
        <v>1090551</v>
      </c>
      <c r="E30" s="707">
        <f>IF(E15+E27-J28&lt;0,J28-(E15+E27),"-")</f>
        <v>19967819</v>
      </c>
      <c r="F30" s="707">
        <f>IF(F15+F27-K28&lt;0,K28-(F15+F27),"-")</f>
        <v>21058370</v>
      </c>
      <c r="G30" s="706" t="s">
        <v>427</v>
      </c>
      <c r="H30" s="707" t="str">
        <f>IF(C15+C27-H28&gt;0,C15+C27-H28,"-")</f>
        <v>-</v>
      </c>
      <c r="I30" s="707" t="str">
        <f>IF(D15+D27-I28&gt;0,D15+D27-I28,"-")</f>
        <v>-</v>
      </c>
      <c r="J30" s="707" t="str">
        <f>IF(E15+E27-J28&gt;0,E15+E27-J28,"-")</f>
        <v>-</v>
      </c>
      <c r="K30" s="707" t="str">
        <f>IF(F15+F27-K28&gt;0,F15+F27-K28,"-")</f>
        <v>-</v>
      </c>
      <c r="L30" s="854"/>
    </row>
    <row r="31" spans="2:7" ht="18.75">
      <c r="B31" s="855"/>
      <c r="C31" s="855"/>
      <c r="D31" s="855"/>
      <c r="E31" s="855"/>
      <c r="F31" s="855"/>
      <c r="G31" s="855"/>
    </row>
  </sheetData>
  <sheetProtection/>
  <mergeCells count="5">
    <mergeCell ref="A4:A5"/>
    <mergeCell ref="L1:L30"/>
    <mergeCell ref="B31:G31"/>
    <mergeCell ref="A3:B3"/>
    <mergeCell ref="A2:B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54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SheetLayoutView="115" zoomScalePageLayoutView="0" workbookViewId="0" topLeftCell="A1">
      <selection activeCell="A2" sqref="A2:B3"/>
    </sheetView>
  </sheetViews>
  <sheetFormatPr defaultColWidth="8.00390625" defaultRowHeight="15"/>
  <cols>
    <col min="1" max="1" width="5.8515625" style="400" customWidth="1"/>
    <col min="2" max="2" width="47.28125" style="406" customWidth="1"/>
    <col min="3" max="6" width="14.00390625" style="400" customWidth="1"/>
    <col min="7" max="7" width="47.28125" style="400" customWidth="1"/>
    <col min="8" max="11" width="14.00390625" style="400" customWidth="1"/>
    <col min="12" max="12" width="4.140625" style="400" customWidth="1"/>
    <col min="13" max="16384" width="8.00390625" style="400" customWidth="1"/>
  </cols>
  <sheetData>
    <row r="1" spans="2:12" ht="31.5">
      <c r="B1" s="401" t="s">
        <v>360</v>
      </c>
      <c r="C1" s="402"/>
      <c r="D1" s="402"/>
      <c r="E1" s="402"/>
      <c r="F1" s="402"/>
      <c r="G1" s="402"/>
      <c r="H1" s="402"/>
      <c r="I1" s="402"/>
      <c r="J1" s="402"/>
      <c r="K1" s="402"/>
      <c r="L1" s="854"/>
    </row>
    <row r="2" spans="1:12" ht="19.5" customHeight="1">
      <c r="A2" s="801" t="s">
        <v>629</v>
      </c>
      <c r="B2" s="801"/>
      <c r="C2" s="402"/>
      <c r="D2" s="402"/>
      <c r="E2" s="402"/>
      <c r="F2" s="402"/>
      <c r="G2" s="402"/>
      <c r="H2" s="403"/>
      <c r="I2" s="403"/>
      <c r="J2" s="403"/>
      <c r="K2" s="403"/>
      <c r="L2" s="854"/>
    </row>
    <row r="3" spans="1:12" ht="15.75" customHeight="1" thickBot="1">
      <c r="A3" s="801" t="s">
        <v>630</v>
      </c>
      <c r="B3" s="801"/>
      <c r="H3" s="404" t="s">
        <v>3</v>
      </c>
      <c r="I3" s="404"/>
      <c r="J3" s="404"/>
      <c r="K3" s="404"/>
      <c r="L3" s="854"/>
    </row>
    <row r="4" spans="1:12" ht="13.5" thickBot="1">
      <c r="A4" s="856" t="s">
        <v>361</v>
      </c>
      <c r="B4" s="671" t="s">
        <v>362</v>
      </c>
      <c r="C4" s="672"/>
      <c r="D4" s="724"/>
      <c r="E4" s="724"/>
      <c r="F4" s="724"/>
      <c r="G4" s="671" t="s">
        <v>363</v>
      </c>
      <c r="H4" s="673"/>
      <c r="I4" s="735"/>
      <c r="J4" s="735"/>
      <c r="K4" s="735"/>
      <c r="L4" s="854"/>
    </row>
    <row r="5" spans="1:12" s="405" customFormat="1" ht="36.75" thickBot="1">
      <c r="A5" s="857"/>
      <c r="B5" s="674" t="s">
        <v>364</v>
      </c>
      <c r="C5" s="675" t="s">
        <v>616</v>
      </c>
      <c r="D5" s="725" t="s">
        <v>8</v>
      </c>
      <c r="E5" s="725" t="s">
        <v>273</v>
      </c>
      <c r="F5" s="725" t="s">
        <v>274</v>
      </c>
      <c r="G5" s="674" t="s">
        <v>364</v>
      </c>
      <c r="H5" s="675" t="str">
        <f>+'[1]7,a Műk. mérleg'!C5</f>
        <v>2019. évi előirányzat</v>
      </c>
      <c r="I5" s="725" t="s">
        <v>8</v>
      </c>
      <c r="J5" s="725" t="s">
        <v>273</v>
      </c>
      <c r="K5" s="725" t="s">
        <v>274</v>
      </c>
      <c r="L5" s="854"/>
    </row>
    <row r="6" spans="1:12" s="405" customFormat="1" ht="13.5" thickBot="1">
      <c r="A6" s="676" t="s">
        <v>11</v>
      </c>
      <c r="B6" s="677" t="s">
        <v>24</v>
      </c>
      <c r="C6" s="678" t="s">
        <v>33</v>
      </c>
      <c r="D6" s="726"/>
      <c r="E6" s="726"/>
      <c r="F6" s="726"/>
      <c r="G6" s="677" t="s">
        <v>85</v>
      </c>
      <c r="H6" s="679" t="s">
        <v>86</v>
      </c>
      <c r="I6" s="676"/>
      <c r="J6" s="676"/>
      <c r="K6" s="676"/>
      <c r="L6" s="854"/>
    </row>
    <row r="7" spans="1:12" ht="12.75" customHeight="1">
      <c r="A7" s="680" t="s">
        <v>365</v>
      </c>
      <c r="B7" s="681" t="s">
        <v>366</v>
      </c>
      <c r="C7" s="682">
        <v>104528617</v>
      </c>
      <c r="D7" s="727">
        <v>104528617</v>
      </c>
      <c r="E7" s="727">
        <f>F7-D7</f>
        <v>-40000000</v>
      </c>
      <c r="F7" s="727">
        <v>64528617</v>
      </c>
      <c r="G7" s="681" t="s">
        <v>243</v>
      </c>
      <c r="H7" s="683">
        <v>4350000</v>
      </c>
      <c r="I7" s="759">
        <v>4588500</v>
      </c>
      <c r="J7" s="682">
        <f>K7-I7</f>
        <v>0</v>
      </c>
      <c r="K7" s="682">
        <v>4588500</v>
      </c>
      <c r="L7" s="854"/>
    </row>
    <row r="8" spans="1:12" ht="12.75">
      <c r="A8" s="684" t="s">
        <v>367</v>
      </c>
      <c r="B8" s="685" t="s">
        <v>368</v>
      </c>
      <c r="C8" s="686">
        <v>0</v>
      </c>
      <c r="D8" s="728"/>
      <c r="E8" s="727">
        <f>F8-D8</f>
        <v>0</v>
      </c>
      <c r="F8" s="728"/>
      <c r="G8" s="708" t="s">
        <v>369</v>
      </c>
      <c r="H8" s="709"/>
      <c r="I8" s="756"/>
      <c r="J8" s="682">
        <f>K8-I8</f>
        <v>0</v>
      </c>
      <c r="K8" s="757"/>
      <c r="L8" s="854"/>
    </row>
    <row r="9" spans="1:12" ht="12.75" customHeight="1">
      <c r="A9" s="684" t="s">
        <v>370</v>
      </c>
      <c r="B9" s="685" t="s">
        <v>135</v>
      </c>
      <c r="C9" s="686">
        <v>7000000</v>
      </c>
      <c r="D9" s="728">
        <v>7001000</v>
      </c>
      <c r="E9" s="727">
        <f>F9-D9</f>
        <v>0</v>
      </c>
      <c r="F9" s="728">
        <v>7001000</v>
      </c>
      <c r="G9" s="685" t="s">
        <v>251</v>
      </c>
      <c r="H9" s="687">
        <v>209473000</v>
      </c>
      <c r="I9" s="755">
        <v>209473000</v>
      </c>
      <c r="J9" s="682">
        <f>K9-I9</f>
        <v>-5540000</v>
      </c>
      <c r="K9" s="686">
        <v>203933000</v>
      </c>
      <c r="L9" s="854"/>
    </row>
    <row r="10" spans="1:12" ht="12.75" customHeight="1">
      <c r="A10" s="684" t="s">
        <v>371</v>
      </c>
      <c r="B10" s="685" t="s">
        <v>372</v>
      </c>
      <c r="C10" s="686">
        <v>0</v>
      </c>
      <c r="D10" s="728"/>
      <c r="E10" s="728"/>
      <c r="F10" s="728"/>
      <c r="G10" s="708" t="s">
        <v>373</v>
      </c>
      <c r="H10" s="709"/>
      <c r="I10" s="756"/>
      <c r="J10" s="682">
        <f>K10-I10</f>
        <v>0</v>
      </c>
      <c r="K10" s="757"/>
      <c r="L10" s="854"/>
    </row>
    <row r="11" spans="1:12" ht="12.75" customHeight="1">
      <c r="A11" s="684" t="s">
        <v>374</v>
      </c>
      <c r="B11" s="685" t="s">
        <v>375</v>
      </c>
      <c r="C11" s="686"/>
      <c r="D11" s="728"/>
      <c r="E11" s="728"/>
      <c r="F11" s="728"/>
      <c r="G11" s="685" t="s">
        <v>376</v>
      </c>
      <c r="H11" s="687">
        <v>500000</v>
      </c>
      <c r="I11" s="755">
        <v>500000</v>
      </c>
      <c r="J11" s="682">
        <f>K11-I11</f>
        <v>0</v>
      </c>
      <c r="K11" s="686">
        <v>500000</v>
      </c>
      <c r="L11" s="854"/>
    </row>
    <row r="12" spans="1:12" ht="12.75" customHeight="1">
      <c r="A12" s="684" t="s">
        <v>377</v>
      </c>
      <c r="B12" s="685" t="s">
        <v>378</v>
      </c>
      <c r="C12" s="689"/>
      <c r="D12" s="736"/>
      <c r="E12" s="736"/>
      <c r="F12" s="736"/>
      <c r="G12" s="710" t="s">
        <v>379</v>
      </c>
      <c r="H12" s="711">
        <v>0</v>
      </c>
      <c r="I12" s="755"/>
      <c r="J12" s="686"/>
      <c r="K12" s="686"/>
      <c r="L12" s="854"/>
    </row>
    <row r="13" spans="1:12" ht="13.5" thickBot="1">
      <c r="A13" s="684" t="s">
        <v>380</v>
      </c>
      <c r="B13" s="690"/>
      <c r="C13" s="689"/>
      <c r="D13" s="729"/>
      <c r="E13" s="729"/>
      <c r="F13" s="729"/>
      <c r="G13" s="712"/>
      <c r="H13" s="687"/>
      <c r="I13" s="758"/>
      <c r="J13" s="745"/>
      <c r="K13" s="745"/>
      <c r="L13" s="854"/>
    </row>
    <row r="14" spans="1:12" ht="15.75" customHeight="1" thickBot="1">
      <c r="A14" s="713" t="s">
        <v>381</v>
      </c>
      <c r="B14" s="692" t="s">
        <v>382</v>
      </c>
      <c r="C14" s="693">
        <f>+C7+C9+C10+C12+C13</f>
        <v>111528617</v>
      </c>
      <c r="D14" s="693">
        <f>+D7+D9+D10+D12+D13</f>
        <v>111529617</v>
      </c>
      <c r="E14" s="693">
        <f>+E7+E9+E10+E12+E13</f>
        <v>-40000000</v>
      </c>
      <c r="F14" s="693">
        <f>+F7+F9+F10+F12+F13</f>
        <v>71529617</v>
      </c>
      <c r="G14" s="692" t="s">
        <v>383</v>
      </c>
      <c r="H14" s="694">
        <f>+H7+H9+H11+H12+H13</f>
        <v>214323000</v>
      </c>
      <c r="I14" s="760">
        <f>+I7+I9+I11+I12+I13</f>
        <v>214561500</v>
      </c>
      <c r="J14" s="760">
        <f>+J7+J9+J11+J12+J13</f>
        <v>-5540000</v>
      </c>
      <c r="K14" s="760">
        <f>+K7+K9+K11+K12+K13</f>
        <v>209021500</v>
      </c>
      <c r="L14" s="854"/>
    </row>
    <row r="15" spans="1:12" ht="12.75" customHeight="1">
      <c r="A15" s="680" t="s">
        <v>384</v>
      </c>
      <c r="B15" s="714" t="s">
        <v>385</v>
      </c>
      <c r="C15" s="715">
        <f>+C16+C17+C18+C19+C20</f>
        <v>54122434</v>
      </c>
      <c r="D15" s="715">
        <f>+D16+D17+D18+D19+D20</f>
        <v>54122434</v>
      </c>
      <c r="E15" s="715">
        <f>+E16+E17+E18+E19+E20</f>
        <v>54427819</v>
      </c>
      <c r="F15" s="715">
        <f>+F16+F17+F18+F19+F20</f>
        <v>108550253</v>
      </c>
      <c r="G15" s="697" t="s">
        <v>386</v>
      </c>
      <c r="H15" s="763"/>
      <c r="I15" s="751"/>
      <c r="J15" s="751"/>
      <c r="K15" s="751"/>
      <c r="L15" s="854"/>
    </row>
    <row r="16" spans="1:12" ht="12.75" customHeight="1">
      <c r="A16" s="684" t="s">
        <v>387</v>
      </c>
      <c r="B16" s="716" t="s">
        <v>388</v>
      </c>
      <c r="C16" s="698">
        <v>54122434</v>
      </c>
      <c r="D16" s="730">
        <v>54122434</v>
      </c>
      <c r="E16" s="730">
        <f>F16-D16</f>
        <v>0</v>
      </c>
      <c r="F16" s="730">
        <v>54122434</v>
      </c>
      <c r="G16" s="697" t="s">
        <v>389</v>
      </c>
      <c r="H16" s="749">
        <v>25000000</v>
      </c>
      <c r="I16" s="698">
        <v>25000000</v>
      </c>
      <c r="J16" s="698"/>
      <c r="K16" s="698">
        <v>25000000</v>
      </c>
      <c r="L16" s="854"/>
    </row>
    <row r="17" spans="1:12" ht="12.75" customHeight="1">
      <c r="A17" s="680" t="s">
        <v>390</v>
      </c>
      <c r="B17" s="716" t="s">
        <v>391</v>
      </c>
      <c r="C17" s="698"/>
      <c r="D17" s="730"/>
      <c r="E17" s="730">
        <f>F17-D17</f>
        <v>0</v>
      </c>
      <c r="F17" s="730"/>
      <c r="G17" s="697" t="s">
        <v>392</v>
      </c>
      <c r="H17" s="749"/>
      <c r="I17" s="698"/>
      <c r="J17" s="698"/>
      <c r="K17" s="698"/>
      <c r="L17" s="854"/>
    </row>
    <row r="18" spans="1:12" ht="12.75" customHeight="1">
      <c r="A18" s="684" t="s">
        <v>393</v>
      </c>
      <c r="B18" s="716" t="s">
        <v>394</v>
      </c>
      <c r="C18" s="698"/>
      <c r="D18" s="730"/>
      <c r="E18" s="730">
        <f>F18-D18</f>
        <v>0</v>
      </c>
      <c r="F18" s="730"/>
      <c r="G18" s="697" t="s">
        <v>395</v>
      </c>
      <c r="H18" s="749"/>
      <c r="I18" s="698"/>
      <c r="J18" s="698"/>
      <c r="K18" s="698"/>
      <c r="L18" s="854"/>
    </row>
    <row r="19" spans="1:12" ht="12.75" customHeight="1">
      <c r="A19" s="680" t="s">
        <v>396</v>
      </c>
      <c r="B19" s="716" t="s">
        <v>397</v>
      </c>
      <c r="C19" s="698"/>
      <c r="D19" s="731"/>
      <c r="E19" s="730">
        <f>F19-D19</f>
        <v>54427819</v>
      </c>
      <c r="F19" s="731">
        <v>54427819</v>
      </c>
      <c r="G19" s="695" t="s">
        <v>398</v>
      </c>
      <c r="H19" s="749"/>
      <c r="I19" s="698"/>
      <c r="J19" s="698"/>
      <c r="K19" s="698"/>
      <c r="L19" s="854"/>
    </row>
    <row r="20" spans="1:12" ht="12.75" customHeight="1">
      <c r="A20" s="684" t="s">
        <v>399</v>
      </c>
      <c r="B20" s="717" t="s">
        <v>617</v>
      </c>
      <c r="C20" s="698"/>
      <c r="D20" s="730"/>
      <c r="E20" s="730">
        <f>F20-D20</f>
        <v>0</v>
      </c>
      <c r="F20" s="730"/>
      <c r="G20" s="697" t="s">
        <v>400</v>
      </c>
      <c r="H20" s="749"/>
      <c r="I20" s="698"/>
      <c r="J20" s="698"/>
      <c r="K20" s="698"/>
      <c r="L20" s="854"/>
    </row>
    <row r="21" spans="1:12" ht="12.75" customHeight="1">
      <c r="A21" s="680" t="s">
        <v>401</v>
      </c>
      <c r="B21" s="718" t="s">
        <v>402</v>
      </c>
      <c r="C21" s="700">
        <f>+C22+C23+C24+C25+C26</f>
        <v>75000000</v>
      </c>
      <c r="D21" s="700">
        <f>+D22+D23+D24+D25+D26</f>
        <v>75000000</v>
      </c>
      <c r="E21" s="700">
        <f>+E22+E23+E24+E25+E26</f>
        <v>0</v>
      </c>
      <c r="F21" s="700">
        <f>+F22+F23+F24+F25+F26</f>
        <v>75000000</v>
      </c>
      <c r="G21" s="719" t="s">
        <v>403</v>
      </c>
      <c r="H21" s="749"/>
      <c r="I21" s="698"/>
      <c r="J21" s="698"/>
      <c r="K21" s="698"/>
      <c r="L21" s="854"/>
    </row>
    <row r="22" spans="1:12" ht="12.75" customHeight="1">
      <c r="A22" s="684" t="s">
        <v>404</v>
      </c>
      <c r="B22" s="717" t="s">
        <v>405</v>
      </c>
      <c r="C22" s="698">
        <v>50000000</v>
      </c>
      <c r="D22" s="754">
        <v>50000000</v>
      </c>
      <c r="E22" s="754"/>
      <c r="F22" s="754">
        <v>50000000</v>
      </c>
      <c r="G22" s="719" t="s">
        <v>406</v>
      </c>
      <c r="H22" s="749"/>
      <c r="I22" s="698"/>
      <c r="J22" s="698"/>
      <c r="K22" s="698"/>
      <c r="L22" s="854"/>
    </row>
    <row r="23" spans="1:12" ht="12.75" customHeight="1">
      <c r="A23" s="680" t="s">
        <v>407</v>
      </c>
      <c r="B23" s="717" t="s">
        <v>408</v>
      </c>
      <c r="C23" s="698">
        <v>25000000</v>
      </c>
      <c r="D23" s="754">
        <v>25000000</v>
      </c>
      <c r="E23" s="754"/>
      <c r="F23" s="754">
        <v>25000000</v>
      </c>
      <c r="G23" s="720"/>
      <c r="H23" s="749"/>
      <c r="I23" s="698"/>
      <c r="J23" s="698"/>
      <c r="K23" s="698"/>
      <c r="L23" s="854"/>
    </row>
    <row r="24" spans="1:12" ht="12.75" customHeight="1">
      <c r="A24" s="684" t="s">
        <v>409</v>
      </c>
      <c r="B24" s="716" t="s">
        <v>410</v>
      </c>
      <c r="C24" s="698"/>
      <c r="D24" s="754"/>
      <c r="E24" s="754"/>
      <c r="F24" s="754"/>
      <c r="G24" s="721"/>
      <c r="H24" s="749"/>
      <c r="I24" s="698"/>
      <c r="J24" s="698"/>
      <c r="K24" s="698"/>
      <c r="L24" s="854"/>
    </row>
    <row r="25" spans="1:12" ht="12.75" customHeight="1">
      <c r="A25" s="680" t="s">
        <v>411</v>
      </c>
      <c r="B25" s="722" t="s">
        <v>412</v>
      </c>
      <c r="C25" s="698"/>
      <c r="D25" s="730"/>
      <c r="E25" s="730"/>
      <c r="F25" s="730"/>
      <c r="G25" s="690"/>
      <c r="H25" s="749"/>
      <c r="I25" s="698"/>
      <c r="J25" s="698"/>
      <c r="K25" s="698"/>
      <c r="L25" s="854"/>
    </row>
    <row r="26" spans="1:12" ht="12.75" customHeight="1" thickBot="1">
      <c r="A26" s="684" t="s">
        <v>413</v>
      </c>
      <c r="B26" s="723" t="s">
        <v>414</v>
      </c>
      <c r="C26" s="698"/>
      <c r="D26" s="754"/>
      <c r="E26" s="754"/>
      <c r="F26" s="754"/>
      <c r="G26" s="721"/>
      <c r="H26" s="749"/>
      <c r="I26" s="762"/>
      <c r="J26" s="762"/>
      <c r="K26" s="762"/>
      <c r="L26" s="854"/>
    </row>
    <row r="27" spans="1:12" ht="21.75" customHeight="1" thickBot="1">
      <c r="A27" s="713" t="s">
        <v>415</v>
      </c>
      <c r="B27" s="692" t="s">
        <v>416</v>
      </c>
      <c r="C27" s="693">
        <f>+C15+C21</f>
        <v>129122434</v>
      </c>
      <c r="D27" s="693">
        <f>+D15+D21</f>
        <v>129122434</v>
      </c>
      <c r="E27" s="693">
        <f>+E15+E21</f>
        <v>54427819</v>
      </c>
      <c r="F27" s="693">
        <f>+F15+F21</f>
        <v>183550253</v>
      </c>
      <c r="G27" s="692" t="s">
        <v>417</v>
      </c>
      <c r="H27" s="694">
        <f>SUM(H15:H26)</f>
        <v>25000000</v>
      </c>
      <c r="I27" s="761">
        <f>SUM(I15:I26)</f>
        <v>25000000</v>
      </c>
      <c r="J27" s="761">
        <f>SUM(J15:J26)</f>
        <v>0</v>
      </c>
      <c r="K27" s="761">
        <f>SUM(K15:K26)</f>
        <v>25000000</v>
      </c>
      <c r="L27" s="854"/>
    </row>
    <row r="28" spans="1:12" ht="13.5" thickBot="1">
      <c r="A28" s="713" t="s">
        <v>418</v>
      </c>
      <c r="B28" s="706" t="s">
        <v>419</v>
      </c>
      <c r="C28" s="707">
        <f>+C14+C27</f>
        <v>240651051</v>
      </c>
      <c r="D28" s="707">
        <f>+D14+D27</f>
        <v>240652051</v>
      </c>
      <c r="E28" s="707">
        <f>+E14+E27</f>
        <v>14427819</v>
      </c>
      <c r="F28" s="707">
        <f>+F14+F27</f>
        <v>255079870</v>
      </c>
      <c r="G28" s="706" t="s">
        <v>420</v>
      </c>
      <c r="H28" s="707">
        <f>+H14+H27</f>
        <v>239323000</v>
      </c>
      <c r="I28" s="707">
        <f>+I14+I27</f>
        <v>239561500</v>
      </c>
      <c r="J28" s="707">
        <f>+J14+J27</f>
        <v>-5540000</v>
      </c>
      <c r="K28" s="707">
        <f>+K14+K27</f>
        <v>234021500</v>
      </c>
      <c r="L28" s="854"/>
    </row>
    <row r="29" spans="1:12" ht="13.5" thickBot="1">
      <c r="A29" s="713" t="s">
        <v>421</v>
      </c>
      <c r="B29" s="706" t="s">
        <v>422</v>
      </c>
      <c r="C29" s="707">
        <f>IF(C14-H14&lt;0,H14-C14,"-")</f>
        <v>102794383</v>
      </c>
      <c r="D29" s="707">
        <f>IF(D14-I14&lt;0,I14-D14,"-")</f>
        <v>103031883</v>
      </c>
      <c r="E29" s="707">
        <f>IF(E14-J14&lt;0,J14-E14,"-")</f>
        <v>34460000</v>
      </c>
      <c r="F29" s="734"/>
      <c r="G29" s="706" t="s">
        <v>423</v>
      </c>
      <c r="H29" s="707" t="str">
        <f>IF(H14-M14&lt;0,M14-H14,"-")</f>
        <v>-</v>
      </c>
      <c r="I29" s="707" t="str">
        <f>IF(I14-N14&lt;0,N14-I14,"-")</f>
        <v>-</v>
      </c>
      <c r="J29" s="707">
        <f>IF(J14-O14&lt;0,O14-J14,"-")</f>
        <v>5540000</v>
      </c>
      <c r="K29" s="707" t="str">
        <f>IF(K14-P14&lt;0,P14-K14,"-")</f>
        <v>-</v>
      </c>
      <c r="L29" s="854"/>
    </row>
    <row r="30" spans="1:12" ht="13.5" thickBot="1">
      <c r="A30" s="713" t="s">
        <v>424</v>
      </c>
      <c r="B30" s="706" t="s">
        <v>425</v>
      </c>
      <c r="C30" s="707" t="s">
        <v>426</v>
      </c>
      <c r="D30" s="707" t="s">
        <v>426</v>
      </c>
      <c r="E30" s="707" t="s">
        <v>426</v>
      </c>
      <c r="F30" s="707" t="s">
        <v>426</v>
      </c>
      <c r="G30" s="706" t="s">
        <v>427</v>
      </c>
      <c r="H30" s="707">
        <f>C28-H28</f>
        <v>1328051</v>
      </c>
      <c r="I30" s="707">
        <f>D28-I28</f>
        <v>1090551</v>
      </c>
      <c r="J30" s="707">
        <f>E28-J28</f>
        <v>19967819</v>
      </c>
      <c r="K30" s="707">
        <f>F28-K28</f>
        <v>21058370</v>
      </c>
      <c r="L30" s="854"/>
    </row>
  </sheetData>
  <sheetProtection/>
  <mergeCells count="4">
    <mergeCell ref="A4:A5"/>
    <mergeCell ref="L1:L30"/>
    <mergeCell ref="A3:B3"/>
    <mergeCell ref="A2:B2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Tüskéné Balogh Anikó</cp:lastModifiedBy>
  <cp:lastPrinted>2019-10-03T13:29:03Z</cp:lastPrinted>
  <dcterms:created xsi:type="dcterms:W3CDTF">2019-09-17T11:24:04Z</dcterms:created>
  <dcterms:modified xsi:type="dcterms:W3CDTF">2019-10-03T13:29:12Z</dcterms:modified>
  <cp:category/>
  <cp:version/>
  <cp:contentType/>
  <cp:contentStatus/>
</cp:coreProperties>
</file>