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95" firstSheet="10" activeTab="17"/>
  </bookViews>
  <sheets>
    <sheet name="címrendes bevétel" sheetId="1" r:id="rId1"/>
    <sheet name="címrendes kiadás" sheetId="2" r:id="rId2"/>
    <sheet name="Önkorm.bevétel" sheetId="3" r:id="rId3"/>
    <sheet name="Hivatal bevétel" sheetId="4" r:id="rId4"/>
    <sheet name="Önkorm.kiadás" sheetId="5" r:id="rId5"/>
    <sheet name="Hivatal kiad." sheetId="6" r:id="rId6"/>
    <sheet name="hitel 3.sz." sheetId="7" r:id="rId7"/>
    <sheet name="4.sz.mell. (2)" sheetId="8" r:id="rId8"/>
    <sheet name="5.mell. (2)" sheetId="9" r:id="rId9"/>
    <sheet name="kötelező-nem kötelező" sheetId="10" r:id="rId10"/>
    <sheet name="6.mell.(2)" sheetId="11" r:id="rId11"/>
    <sheet name="7.mell (2)" sheetId="12" r:id="rId12"/>
    <sheet name="9.m.II.f." sheetId="13" r:id="rId13"/>
    <sheet name="10.mell " sheetId="14" r:id="rId14"/>
    <sheet name="11a melléklet" sheetId="15" r:id="rId15"/>
    <sheet name="11b melléklet" sheetId="16" r:id="rId16"/>
    <sheet name="12. melléklet" sheetId="17" r:id="rId17"/>
    <sheet name="13.mell." sheetId="18" r:id="rId18"/>
  </sheets>
  <externalReferences>
    <externalReference r:id="rId21"/>
    <externalReference r:id="rId22"/>
    <externalReference r:id="rId23"/>
  </externalReferences>
  <definedNames>
    <definedName name="_xlnm.Print_Titles" localSheetId="14">'11a melléklet'!$6:$6</definedName>
    <definedName name="_xlnm.Print_Titles" localSheetId="0">'címrendes bevétel'!$5:$10</definedName>
    <definedName name="_xlnm.Print_Area" localSheetId="13">'10.mell '!$A$1:$F$45</definedName>
    <definedName name="_xlnm.Print_Area" localSheetId="14">'11a melléklet'!$A$1:$F$109</definedName>
    <definedName name="_xlnm.Print_Area" localSheetId="15">'11b melléklet'!$A$1:$C$25</definedName>
    <definedName name="_xlnm.Print_Area" localSheetId="7">'4.sz.mell. (2)'!$A$1:$Y$41</definedName>
    <definedName name="_xlnm.Print_Area" localSheetId="8">'5.mell. (2)'!$A$1:$P$65</definedName>
    <definedName name="_xlnm.Print_Area" localSheetId="10">'6.mell.(2)'!$A$1:$G$64</definedName>
    <definedName name="_xlnm.Print_Area" localSheetId="11">'7.mell (2)'!$A$1:$W$38</definedName>
    <definedName name="_xlnm.Print_Area" localSheetId="0">'címrendes bevétel'!$A$1:$W$163</definedName>
    <definedName name="_xlnm.Print_Area" localSheetId="1">'címrendes kiadás'!$A$1:$W$167</definedName>
    <definedName name="_xlnm.Print_Area" localSheetId="6">'hitel 3.sz.'!$A$1:$P$34</definedName>
    <definedName name="_xlnm.Print_Area" localSheetId="3">'Hivatal bevétel'!$A$1:$L$24</definedName>
    <definedName name="_xlnm.Print_Area" localSheetId="5">'Hivatal kiad.'!$A$1:$L$30</definedName>
    <definedName name="_xlnm.Print_Area" localSheetId="9">'kötelező-nem kötelező'!$A$1:$U$66</definedName>
    <definedName name="_xlnm.Print_Area" localSheetId="2">'Önkorm.bevétel'!$A$1:$L$66</definedName>
    <definedName name="_xlnm.Print_Area" localSheetId="4">'Önkorm.kiadás'!$A$1:$L$106</definedName>
  </definedNames>
  <calcPr fullCalcOnLoad="1"/>
</workbook>
</file>

<file path=xl/sharedStrings.xml><?xml version="1.0" encoding="utf-8"?>
<sst xmlns="http://schemas.openxmlformats.org/spreadsheetml/2006/main" count="1850" uniqueCount="833">
  <si>
    <r>
      <t>3 melléklet a 16/2013. (IX.20.) önkormányzati rendelethez</t>
    </r>
    <r>
      <rPr>
        <b/>
        <u val="single"/>
        <vertAlign val="superscript"/>
        <sz val="10"/>
        <rFont val="Arial CE"/>
        <family val="0"/>
      </rPr>
      <t>1</t>
    </r>
  </si>
  <si>
    <r>
      <t>4 melléklet a 16/2013. (IX.20.) önkormányzati rendelethez</t>
    </r>
    <r>
      <rPr>
        <b/>
        <u val="single"/>
        <vertAlign val="superscript"/>
        <sz val="12"/>
        <rFont val="Arial CE"/>
        <family val="0"/>
      </rPr>
      <t>1</t>
    </r>
  </si>
  <si>
    <r>
      <t>5 melléklet a 16/2013. (IX.20.)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</si>
  <si>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5/a melléklet a 16/2013. (IX.20.) önkormányzati rendelethez</t>
    </r>
    <r>
      <rPr>
        <b/>
        <u val="single"/>
        <vertAlign val="superscript"/>
        <sz val="10"/>
        <rFont val="Arial CE"/>
        <family val="0"/>
      </rPr>
      <t>1</t>
    </r>
  </si>
  <si>
    <r>
      <t>7 melléklet a 16/2013. (IX.20.) önkormányzati rendelethez</t>
    </r>
    <r>
      <rPr>
        <b/>
        <u val="single"/>
        <vertAlign val="superscript"/>
        <sz val="10"/>
        <rFont val="Arial CE"/>
        <family val="0"/>
      </rPr>
      <t>1</t>
    </r>
  </si>
  <si>
    <r>
      <t>10 melléklet a 16/2013.(IX.20.) önkormányzati rendelethez</t>
    </r>
    <r>
      <rPr>
        <b/>
        <u val="single"/>
        <vertAlign val="superscript"/>
        <sz val="10"/>
        <rFont val="Arial"/>
        <family val="2"/>
      </rPr>
      <t>1</t>
    </r>
  </si>
  <si>
    <r>
      <t>11/a melléklet a 16/2013. (IX.20.) önkormányzati rendelethez</t>
    </r>
    <r>
      <rPr>
        <b/>
        <u val="single"/>
        <vertAlign val="superscript"/>
        <sz val="12"/>
        <rFont val="Times New Roman"/>
        <family val="1"/>
      </rPr>
      <t>1</t>
    </r>
  </si>
  <si>
    <r>
      <t>11/b melléklet a 16/2013. (IX.20.) önkormányzati rendelethez</t>
    </r>
    <r>
      <rPr>
        <b/>
        <u val="single"/>
        <vertAlign val="superscript"/>
        <sz val="12"/>
        <rFont val="Arial"/>
        <family val="2"/>
      </rPr>
      <t>1</t>
    </r>
  </si>
  <si>
    <t>Megyei belvíz (Belvízrendezés az élhetőbb településekért, Belvíz II. ütem)                                                           DAOP-5.2.1/D-2008-0002</t>
  </si>
  <si>
    <t>651/2012. (X.18.)</t>
  </si>
  <si>
    <t>179/2012. (III.22.)</t>
  </si>
  <si>
    <t>A Zöldpázsit utcai óvoda bővítése az esélyegyenlőség jegyében DAOP-4.2.1-11-2012-0022</t>
  </si>
  <si>
    <t>505/2012. (VIII.16.)</t>
  </si>
  <si>
    <t>Szarvas Város Geotermikus Rendszer fejlesztése I. ütem KEOP-4.2.0/B/11-2011-0034</t>
  </si>
  <si>
    <t>452/2012. (VII.04.)</t>
  </si>
  <si>
    <t>Élőhelyfejlesztések Szarvas és Békésszentandrás települések helyi védett természeti területein (élőhelyvédelmi beavatkozások - zöldterületek) KEOP-7.3.1.2/09-11-2011-0022</t>
  </si>
  <si>
    <t>691/2009, 781/2012</t>
  </si>
  <si>
    <t>Ivóvízminőség-javító program KEOP-1.3.0 Szarvasra eső rész</t>
  </si>
  <si>
    <t>Összesen Ft</t>
  </si>
  <si>
    <r>
      <t>Belvízvédelmi rendszer fejlesztése Szarvason (</t>
    </r>
    <r>
      <rPr>
        <i/>
        <sz val="10"/>
        <rFont val="Arial"/>
        <family val="2"/>
      </rPr>
      <t>konzorciumos, Szarvas gesztorságával</t>
    </r>
    <r>
      <rPr>
        <sz val="10"/>
        <rFont val="Arial"/>
        <family val="0"/>
      </rPr>
      <t>)                   DAOP-5.2.1/A-11-2011-0007</t>
    </r>
    <r>
      <rPr>
        <i/>
        <sz val="10"/>
        <rFont val="Arial"/>
        <family val="2"/>
      </rPr>
      <t xml:space="preserve"> Szarvasra eső rész</t>
    </r>
  </si>
  <si>
    <r>
      <t xml:space="preserve">Települési szeméttelep-rekultivációs program a Körös-szögben </t>
    </r>
    <r>
      <rPr>
        <i/>
        <sz val="10"/>
        <rFont val="Arial"/>
        <family val="2"/>
      </rPr>
      <t>(</t>
    </r>
    <r>
      <rPr>
        <i/>
        <sz val="8"/>
        <rFont val="Arial"/>
        <family val="2"/>
      </rPr>
      <t>a projekt 2012.dec.hóban befejeződött, 2013-ban projektmenedzsment tevékenységhez szükséges hozzájárulás fizetési kötelezettség szerepel a táblázatban</t>
    </r>
    <r>
      <rPr>
        <i/>
        <sz val="10"/>
        <rFont val="Arial"/>
        <family val="2"/>
      </rPr>
      <t>)</t>
    </r>
    <r>
      <rPr>
        <sz val="10"/>
        <rFont val="Arial"/>
        <family val="0"/>
      </rPr>
      <t xml:space="preserve">                                          </t>
    </r>
  </si>
  <si>
    <r>
      <t>Települési szilárdhulladék-gazdálkodási rendszerek fejlesztése (komposztáló) KEOP-7.1.1/1F-2008-0009 Szarvasra eső rész (</t>
    </r>
    <r>
      <rPr>
        <i/>
        <sz val="10"/>
        <rFont val="Arial"/>
        <family val="2"/>
      </rPr>
      <t>projekt II. fordulóra van beadva, nincs bírálat</t>
    </r>
    <r>
      <rPr>
        <sz val="10"/>
        <rFont val="Arial"/>
        <family val="0"/>
      </rPr>
      <t>)</t>
    </r>
  </si>
  <si>
    <t>13 melléklet a 1/2013.(II.22.) önkormányzati rendelethez</t>
  </si>
  <si>
    <t>Kimutatás a közvetett támogatásokról</t>
  </si>
  <si>
    <t>Adónem</t>
  </si>
  <si>
    <t>Az önkormányzat rendeletében foglalt       kedvezmény, mentesség</t>
  </si>
  <si>
    <t>2013. évi      adóbevétel kiesés és támogatás</t>
  </si>
  <si>
    <t xml:space="preserve">A </t>
  </si>
  <si>
    <t>Építményadó 31/2004. (XII. 17.)</t>
  </si>
  <si>
    <t>65. évét betöltött egyedülálló</t>
  </si>
  <si>
    <t>Helyi iparűzési adó 13/1991. (XII. 16.)</t>
  </si>
  <si>
    <t>2,5 mFt adóalapot meg nem haladó vállalkozások</t>
  </si>
  <si>
    <t xml:space="preserve">Lakások és helyiségek bérletére szolgáló 1/2004.(I.23.) rendelet </t>
  </si>
  <si>
    <t>lakbér kedvezmény</t>
  </si>
  <si>
    <t>Támogatás összesen</t>
  </si>
  <si>
    <t>adatok eFt-ban</t>
  </si>
  <si>
    <t>Cím sz.</t>
  </si>
  <si>
    <t>Alcim sz.</t>
  </si>
  <si>
    <t>Jogcim csop. sz.</t>
  </si>
  <si>
    <t>Előir. csop. sz.</t>
  </si>
  <si>
    <t>Kiem ei.sz</t>
  </si>
  <si>
    <t>Előir. sz.</t>
  </si>
  <si>
    <t>Cím neve</t>
  </si>
  <si>
    <t>Alcim neve</t>
  </si>
  <si>
    <t>Jogcim csop.</t>
  </si>
  <si>
    <t>Ei. Csop</t>
  </si>
  <si>
    <t>Kiem.ei. név</t>
  </si>
  <si>
    <t>Előir.név</t>
  </si>
  <si>
    <t>Változás</t>
  </si>
  <si>
    <t>1.</t>
  </si>
  <si>
    <t>Önkormányzat</t>
  </si>
  <si>
    <t>I.</t>
  </si>
  <si>
    <t>Működési bevételek</t>
  </si>
  <si>
    <t>Intézm.működési bevétel</t>
  </si>
  <si>
    <t>2.</t>
  </si>
  <si>
    <t>Önkorm.sajátos műk.bevételei</t>
  </si>
  <si>
    <t xml:space="preserve"> 2.2.</t>
  </si>
  <si>
    <t>Helyi adók</t>
  </si>
  <si>
    <t xml:space="preserve"> 2.2.1.</t>
  </si>
  <si>
    <t xml:space="preserve">Épitményadó </t>
  </si>
  <si>
    <t xml:space="preserve"> 2.2.2.</t>
  </si>
  <si>
    <t>Idegenforgalmi adó</t>
  </si>
  <si>
    <t xml:space="preserve"> 2.2.3.</t>
  </si>
  <si>
    <t>Iparűzési adó</t>
  </si>
  <si>
    <t>Összesen:</t>
  </si>
  <si>
    <t xml:space="preserve"> 2.3.</t>
  </si>
  <si>
    <t>Átengedett központi adók</t>
  </si>
  <si>
    <t xml:space="preserve"> 2.3.1.</t>
  </si>
  <si>
    <t>Gépjárműadó</t>
  </si>
  <si>
    <t xml:space="preserve"> 2.4.</t>
  </si>
  <si>
    <t>Birságok,pótlékok és egyéb bevételek</t>
  </si>
  <si>
    <t xml:space="preserve"> 2.4.1.</t>
  </si>
  <si>
    <t>Birság, pótlék</t>
  </si>
  <si>
    <t xml:space="preserve"> 2.4.2.</t>
  </si>
  <si>
    <t>Környezetvédelmi birság</t>
  </si>
  <si>
    <t xml:space="preserve"> 2.4.3.</t>
  </si>
  <si>
    <t>Egyéb sajátos bevétel</t>
  </si>
  <si>
    <t xml:space="preserve"> 2.4.4.</t>
  </si>
  <si>
    <t>Talajterhelési dij</t>
  </si>
  <si>
    <t>Önk.sajátos bevételei összesen</t>
  </si>
  <si>
    <t>Működési bevételek összesen</t>
  </si>
  <si>
    <t>II.</t>
  </si>
  <si>
    <t>Támogatások</t>
  </si>
  <si>
    <t>Önkormányzatok kv.támogatása</t>
  </si>
  <si>
    <t xml:space="preserve"> 1.1.</t>
  </si>
  <si>
    <t xml:space="preserve"> 1.1.1.</t>
  </si>
  <si>
    <t xml:space="preserve"> 1.1.2.</t>
  </si>
  <si>
    <t xml:space="preserve"> </t>
  </si>
  <si>
    <t xml:space="preserve"> 1.2.</t>
  </si>
  <si>
    <t>Központositott előirányzatok</t>
  </si>
  <si>
    <t xml:space="preserve"> 1.2.1.</t>
  </si>
  <si>
    <t>Lak.közműfejlesztés</t>
  </si>
  <si>
    <t xml:space="preserve"> 1.2.2.</t>
  </si>
  <si>
    <t xml:space="preserve"> 1.2.3.</t>
  </si>
  <si>
    <t xml:space="preserve"> 1.5.</t>
  </si>
  <si>
    <t xml:space="preserve"> 1.6.</t>
  </si>
  <si>
    <t>Támogatások összesen</t>
  </si>
  <si>
    <t>III.</t>
  </si>
  <si>
    <t>Felhalmozási és tőkejellegű bevételek</t>
  </si>
  <si>
    <t>Tárgyi eszk.immateriális javak értékes.</t>
  </si>
  <si>
    <t>Önkorm.sajátos felhalm.és tőkejell.bev.</t>
  </si>
  <si>
    <t>3.</t>
  </si>
  <si>
    <t>Pénzügyi befektetések bevételei</t>
  </si>
  <si>
    <t>Felhalm. és tőkejellegű bevételek összesen</t>
  </si>
  <si>
    <t>IV.</t>
  </si>
  <si>
    <t>Támogatás értékű bevétel</t>
  </si>
  <si>
    <t>Támogatás értékű működési célú pe.átvétel</t>
  </si>
  <si>
    <t>Támogatás értékű felhalmozási célú pe.átvétel</t>
  </si>
  <si>
    <t>Támogatás értékű bevétel összesen</t>
  </si>
  <si>
    <t>V.</t>
  </si>
  <si>
    <t>Véglegesen átvett pénzeszközök</t>
  </si>
  <si>
    <t>Műk.célú pe. átvétel</t>
  </si>
  <si>
    <t>Felhalmozási célú pe.átvétel</t>
  </si>
  <si>
    <t>Véglegesen átvett pénzeszközök összesen:</t>
  </si>
  <si>
    <t>VI.</t>
  </si>
  <si>
    <t>Kölcsönök visszatér.értékpap.értékesit.bevét.</t>
  </si>
  <si>
    <t>Kölcsönök visszatérülése</t>
  </si>
  <si>
    <t>Értékpapir értékesités bevétele</t>
  </si>
  <si>
    <t>Kölcs.visszatér.értékpap.érték.bev.összesen:</t>
  </si>
  <si>
    <t>Önkormányzat összesen</t>
  </si>
  <si>
    <t xml:space="preserve">Polgármeseri Hivatal </t>
  </si>
  <si>
    <t>Intézményi működési bevétel</t>
  </si>
  <si>
    <t>Összesen</t>
  </si>
  <si>
    <t>Működési célú pe. átvétel</t>
  </si>
  <si>
    <t>Felhalmozási célú pe. átvétel</t>
  </si>
  <si>
    <t>Polgármesteri Hivatal összesen</t>
  </si>
  <si>
    <t>4.</t>
  </si>
  <si>
    <t>Tárgyévi költségvetési bevételek jogcimcsoportonként</t>
  </si>
  <si>
    <t xml:space="preserve">Működési bevételek </t>
  </si>
  <si>
    <t>Önkormányzat sajátos műk.bevétele</t>
  </si>
  <si>
    <t>Támogatás értékű bevételek</t>
  </si>
  <si>
    <t>Támogatás értékű bevételek összesen</t>
  </si>
  <si>
    <t>Működési célú pe.átvétel</t>
  </si>
  <si>
    <t>Véglegesen átvett pénzeszközök összesen</t>
  </si>
  <si>
    <t>Tárgyévi költségvetési bevételek mindösszesen</t>
  </si>
  <si>
    <t>Tárgyévi finanszirozási bevételek jogcímcsoportonként</t>
  </si>
  <si>
    <t xml:space="preserve">Önkormányzat </t>
  </si>
  <si>
    <t>VII.</t>
  </si>
  <si>
    <t xml:space="preserve">Hitelek </t>
  </si>
  <si>
    <t>Működési célú hitelek</t>
  </si>
  <si>
    <t>Felhalmozási célú hitelek</t>
  </si>
  <si>
    <t>Kötvénykibocsátás</t>
  </si>
  <si>
    <t>Hitelek összesen</t>
  </si>
  <si>
    <t>VIII.</t>
  </si>
  <si>
    <t>Pénzforgalom nélküli bevételek</t>
  </si>
  <si>
    <t>Előző évi pénzmaradvány igénybevétele</t>
  </si>
  <si>
    <t>Polgármesteri Hivatal</t>
  </si>
  <si>
    <t>Pénzforgalom nélküli bevételek összesen</t>
  </si>
  <si>
    <t>Finanszírozási bevételek összesen</t>
  </si>
  <si>
    <t>Bevételek mindösszesen</t>
  </si>
  <si>
    <t>Működési kiadások</t>
  </si>
  <si>
    <t>Személyi juttatás</t>
  </si>
  <si>
    <t xml:space="preserve"> 1.3.</t>
  </si>
  <si>
    <t>Dologi kiadások</t>
  </si>
  <si>
    <t>Tám.ért.működési célú pe.átadás</t>
  </si>
  <si>
    <t>Működési célú pe.átadás</t>
  </si>
  <si>
    <t xml:space="preserve"> 1.7.</t>
  </si>
  <si>
    <t>Társ.szoc.pol.juttatás</t>
  </si>
  <si>
    <t xml:space="preserve"> 1.8.</t>
  </si>
  <si>
    <t>Kamatfizetési kötelezettség</t>
  </si>
  <si>
    <t xml:space="preserve"> 1.9.</t>
  </si>
  <si>
    <t>Működési tartalék</t>
  </si>
  <si>
    <t xml:space="preserve"> 1.4.</t>
  </si>
  <si>
    <t>Működési kiadások összesen</t>
  </si>
  <si>
    <t>Működési célú tartalék</t>
  </si>
  <si>
    <t>Működési kiadások mindösszesen</t>
  </si>
  <si>
    <t>Felhalmozási kiadások</t>
  </si>
  <si>
    <t xml:space="preserve"> 2.1.</t>
  </si>
  <si>
    <t>Fejlesztési kiadások</t>
  </si>
  <si>
    <t>Tám.ért. felhalm. célú pe.átad.</t>
  </si>
  <si>
    <t>Felhalm.célú pe.átadás</t>
  </si>
  <si>
    <t xml:space="preserve"> 2.5.</t>
  </si>
  <si>
    <t>Pénzügyi befektetések kiadásai</t>
  </si>
  <si>
    <t xml:space="preserve"> 2.6.</t>
  </si>
  <si>
    <t>Fejlesztési célú tartalék</t>
  </si>
  <si>
    <t>Informatikai fejlesztés</t>
  </si>
  <si>
    <t xml:space="preserve"> 2.</t>
  </si>
  <si>
    <t xml:space="preserve">Felhalm.célú pe.átadás </t>
  </si>
  <si>
    <t>Felhalm. kiadások mindösszesen</t>
  </si>
  <si>
    <t xml:space="preserve"> 1.</t>
  </si>
  <si>
    <t>Finanszirozási kiadások</t>
  </si>
  <si>
    <t xml:space="preserve"> 3.1.</t>
  </si>
  <si>
    <t>Felhalmozási hitel törlesztése</t>
  </si>
  <si>
    <t>K&amp;H átvállalt hitelcs.esedékes</t>
  </si>
  <si>
    <t>K&amp;H hitelcsomag 2006.</t>
  </si>
  <si>
    <t xml:space="preserve"> 3.3</t>
  </si>
  <si>
    <t>Kötvény visszaváltás</t>
  </si>
  <si>
    <t>"Szarvas 2017" kötvény visszaváltás</t>
  </si>
  <si>
    <t>"Szarvas 2018" kötvény visszaváltás</t>
  </si>
  <si>
    <t xml:space="preserve"> 3.3.</t>
  </si>
  <si>
    <t>Megnevezés</t>
  </si>
  <si>
    <t>Mód.ei. III.31.</t>
  </si>
  <si>
    <t>Telj. %-a</t>
  </si>
  <si>
    <t>Vasút út 46-48. orvosi rendelők bevételei</t>
  </si>
  <si>
    <t>Önkormányzatok igazgatási tevékenysége</t>
  </si>
  <si>
    <t xml:space="preserve">          - Kamatbevételek</t>
  </si>
  <si>
    <t>Működési célú bevételek</t>
  </si>
  <si>
    <t>Gyomaendrődi hulladékátrakó bérleti díj</t>
  </si>
  <si>
    <t>Vagyonértékesités</t>
  </si>
  <si>
    <t>Osztalékbevétel</t>
  </si>
  <si>
    <t>Felhalmozási és tőkejellegű bevétel</t>
  </si>
  <si>
    <t>Lakossági szennyvizbefizetés</t>
  </si>
  <si>
    <t>Fejlesztési célú pe. átvétel</t>
  </si>
  <si>
    <t>Belvizkár kamatmentes kölcsön visszafiz.</t>
  </si>
  <si>
    <t>Önkorm.bérlakásértékesités</t>
  </si>
  <si>
    <t>Kölcsönök visszatérülése összesen:</t>
  </si>
  <si>
    <t>BEVÉTELEK ÖSSZESEN:</t>
  </si>
  <si>
    <t>Családi ünnepek szervezése</t>
  </si>
  <si>
    <t xml:space="preserve">          - Átszámlázott szolgáltatás</t>
  </si>
  <si>
    <t xml:space="preserve">          - Egyéb bevételek</t>
  </si>
  <si>
    <t>Kistérségi feladat támogatás</t>
  </si>
  <si>
    <t>Ingatlan hasznositás (önkorm.bérlakás)</t>
  </si>
  <si>
    <t>Vizkárelhárítás</t>
  </si>
  <si>
    <t>Város- és községgazdálkodási szolg.</t>
  </si>
  <si>
    <t xml:space="preserve">            - Mezei őrszolgálat</t>
  </si>
  <si>
    <t xml:space="preserve">            - Szúnyog-, kullancs-, patkányirtás</t>
  </si>
  <si>
    <t xml:space="preserve">            - Pályázatokhoz kapcsolódó kiadások</t>
  </si>
  <si>
    <t>Települési vizellátás (közkifolyó, Vizmű)</t>
  </si>
  <si>
    <t>Közvilágitás</t>
  </si>
  <si>
    <t>Csapadékviz átemelő üzemeltetés (áramdij)</t>
  </si>
  <si>
    <t>Lapkiadás</t>
  </si>
  <si>
    <t>Vasút út 46-48. orvosi rendelők fenntartási ktge</t>
  </si>
  <si>
    <t>Egyéb feladatok személyi juttatása</t>
  </si>
  <si>
    <t>Ifjusági és sportfeladatok támogatása</t>
  </si>
  <si>
    <t>Civil szervezetek támogatása</t>
  </si>
  <si>
    <t>Polgárőrség támogatása</t>
  </si>
  <si>
    <t>Közfeladatok ellátásának támogatása (KOMÉP)</t>
  </si>
  <si>
    <t>Önkorm. Tulajdonú GT támogatása</t>
  </si>
  <si>
    <t>Béke u. 1. társasház közös költség</t>
  </si>
  <si>
    <t>O.háza és Térs. Ivóvízjav. Önk. Társ. működési tám.</t>
  </si>
  <si>
    <t>TOURINFORM Iroda működtetése</t>
  </si>
  <si>
    <t>TDM szervezet támogatása</t>
  </si>
  <si>
    <t>Többcélú Kistérség támogatása</t>
  </si>
  <si>
    <t>Többc. Társ. TITÁN program követés</t>
  </si>
  <si>
    <t>Többc. Társ. BMTT tagdíj</t>
  </si>
  <si>
    <t>Többc. Társ. belső ellenőrzési feladatok</t>
  </si>
  <si>
    <t>Többc. Társ. útügyi feladatok</t>
  </si>
  <si>
    <t>Többc. Társ. Szociális intézmény</t>
  </si>
  <si>
    <t>Többc. Társ. Humán Szolgáltató Központ</t>
  </si>
  <si>
    <t>Szlovák Önkormányzat támogatása</t>
  </si>
  <si>
    <t>Cigány Önkormányzat támogatása</t>
  </si>
  <si>
    <t>Körösvölgyi Hulladékgazd. Önkorm. Társulás tagd.</t>
  </si>
  <si>
    <t>Támogatás értékű működési célú pe.átadás</t>
  </si>
  <si>
    <t>Szoc.pénzbeni ellátások</t>
  </si>
  <si>
    <t>KIADÁSOK ÖSSZESEN:</t>
  </si>
  <si>
    <t>Családi ünnepek rendezése</t>
  </si>
  <si>
    <t>Polgármesteri alap I.</t>
  </si>
  <si>
    <t>Polgármesteri alap II.</t>
  </si>
  <si>
    <t>Önkormányzati igazgatási tevékenység</t>
  </si>
  <si>
    <t>Személyi juttatások</t>
  </si>
  <si>
    <t>Reprezentáció</t>
  </si>
  <si>
    <t>Biztositási dijak</t>
  </si>
  <si>
    <t>Adó, kamat, pénzf.terh.ktg., tagdijak, stb.</t>
  </si>
  <si>
    <t>Egyéb folyó kiadások összesen:</t>
  </si>
  <si>
    <t>Önkormányzatok igazgatási tev.összesen</t>
  </si>
  <si>
    <t>Hitel megnevezése</t>
  </si>
  <si>
    <t>nyitó</t>
  </si>
  <si>
    <t>felvét</t>
  </si>
  <si>
    <t xml:space="preserve">törlesztés </t>
  </si>
  <si>
    <t>záró</t>
  </si>
  <si>
    <t>K&amp;H Rt.átvállalt hitelcsom.2004.</t>
  </si>
  <si>
    <t>K&amp;H Rt. hitelcsom.2006.</t>
  </si>
  <si>
    <t>Hitel  összesen</t>
  </si>
  <si>
    <t>Kötvény kibocsátás 2007</t>
  </si>
  <si>
    <t>Kötvény kibocsátás 2008</t>
  </si>
  <si>
    <t>Mindösszesen:</t>
  </si>
  <si>
    <t>Tájékoztató adatok</t>
  </si>
  <si>
    <t>Adósságkeletkeztetéshez számított bevétel 353/2011.(XII.30.)Korm.rendelet 2.§</t>
  </si>
  <si>
    <t>Adósságkeletkeztetési korlát a 2011.évi CXCIV.törvény 10. § (3) bekezdés szerint</t>
  </si>
  <si>
    <t>Önkormányzati kezességvállalás és lizing</t>
  </si>
  <si>
    <t>2013 év</t>
  </si>
  <si>
    <t>2014 év</t>
  </si>
  <si>
    <t>2015 év</t>
  </si>
  <si>
    <t>2016 év</t>
  </si>
  <si>
    <t>összesen</t>
  </si>
  <si>
    <t xml:space="preserve">Szarvasi Gyógy-Termál Kft. folyószámla hitel kezességvállalása           </t>
  </si>
  <si>
    <t>30.000 e Ft</t>
  </si>
  <si>
    <t xml:space="preserve">Körös-szögi Nonprofit Kft. folyószámla hitel kezességvállalása             </t>
  </si>
  <si>
    <t>10.000 e Ft</t>
  </si>
  <si>
    <t>2013. év</t>
  </si>
  <si>
    <t>2014. év</t>
  </si>
  <si>
    <t xml:space="preserve">Szarvas Város Önkormányzatának 2013. évi bevételi forrásai </t>
  </si>
  <si>
    <t>Szarvas Város Önkormányzatának 2013. évi működési kiadásai</t>
  </si>
  <si>
    <t>Szarvas Város Önkormányzatának 2013. évi felhalmozási kiadásai</t>
  </si>
  <si>
    <t>Szarvas Város Önkormányzatának 2013. évi finanszírozási kiadásai</t>
  </si>
  <si>
    <t xml:space="preserve"> Önkormányzat 2013. évi bevételei</t>
  </si>
  <si>
    <t>Polgármesteri Hivatal 2013. évi bevételei</t>
  </si>
  <si>
    <t xml:space="preserve"> Önkormányzat 2013. évi kiadásai</t>
  </si>
  <si>
    <t>Polgármesteri Hivatal 2013. évi kiadásai</t>
  </si>
  <si>
    <t>2013. év hitelállománya. Kötvénykibocsátása és törlesztő részletek alakulása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</si>
  <si>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</si>
  <si>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</si>
  <si>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</si>
  <si>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</si>
  <si>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</si>
  <si>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</si>
  <si>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</si>
  <si>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</si>
  <si>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OTP Nyrt. Szennyvíztisztító kölcsön</t>
  </si>
  <si>
    <t>2013.évi kamatfizetés</t>
  </si>
  <si>
    <t>KOMÉP Kft. Ravatalozó építésre felvett beruházási hitel kezességvállalása</t>
  </si>
  <si>
    <t>Mezőőri szolgáltatás támogatás</t>
  </si>
  <si>
    <t>Önkorm.sajátos felhalm. és tőkejell.bev.</t>
  </si>
  <si>
    <t>Cervinus Teátrum Színház támogatás</t>
  </si>
  <si>
    <t>Kamat fizetés</t>
  </si>
  <si>
    <t xml:space="preserve">     - felhalmozási hitel kamat</t>
  </si>
  <si>
    <t xml:space="preserve">     - kötvény kamat</t>
  </si>
  <si>
    <t>Vagyonbiztosítás</t>
  </si>
  <si>
    <t>Egyéb folyó kiadások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</si>
  <si>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</si>
  <si>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</si>
  <si>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</si>
  <si>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</si>
  <si>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</si>
  <si>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</si>
  <si>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</si>
  <si>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</si>
  <si>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</si>
  <si>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</si>
  <si>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</si>
  <si>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</si>
  <si>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</si>
  <si>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</si>
  <si>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</si>
  <si>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L </t>
  </si>
  <si>
    <t>Üdülőhelyi feladatok</t>
  </si>
  <si>
    <t xml:space="preserve"> 1.1.3.</t>
  </si>
  <si>
    <t xml:space="preserve"> 1.1.4.</t>
  </si>
  <si>
    <t>Kv.működési bevételek</t>
  </si>
  <si>
    <t>előirányzat</t>
  </si>
  <si>
    <t>Kv.működési kiadások</t>
  </si>
  <si>
    <t>Dologi kiadás</t>
  </si>
  <si>
    <t>Támogatás ért.pe.átadás</t>
  </si>
  <si>
    <t>támogatás értékű műk.c. bev.</t>
  </si>
  <si>
    <t>Szoc.pol juttatás</t>
  </si>
  <si>
    <t>Fejlesztési bevételek</t>
  </si>
  <si>
    <t>Felhalm. és tőkejellegű bevétel</t>
  </si>
  <si>
    <t>Kv.fejlesztési bevételek</t>
  </si>
  <si>
    <t>Kv.fejlesztési kiadások</t>
  </si>
  <si>
    <t>Kv.bevételek összesen</t>
  </si>
  <si>
    <t>Kv.kiadások összesen</t>
  </si>
  <si>
    <t>Finanszírozási bevételek</t>
  </si>
  <si>
    <t>Finanszírozási kadások</t>
  </si>
  <si>
    <t>Hitel, kötvény törlesztés</t>
  </si>
  <si>
    <t>Pénzmaradvány</t>
  </si>
  <si>
    <t>Finanszírozási bevételek össz.</t>
  </si>
  <si>
    <t>Finanszírozási kadások össz.</t>
  </si>
  <si>
    <t>Bevételek  mindösszesen</t>
  </si>
  <si>
    <t>Kiadások mindösszesen</t>
  </si>
  <si>
    <t>BEVÉTELEK</t>
  </si>
  <si>
    <t xml:space="preserve"> I.</t>
  </si>
  <si>
    <t>Működési bevétel</t>
  </si>
  <si>
    <t>Önkormányzat sajátos működési bevétele</t>
  </si>
  <si>
    <t xml:space="preserve">III. </t>
  </si>
  <si>
    <t>Felhalmozásra átvett pe.</t>
  </si>
  <si>
    <t>Költségvetési bevételek összesen:</t>
  </si>
  <si>
    <t>KIADÁSOK</t>
  </si>
  <si>
    <t>Műk.célú pe. átadás</t>
  </si>
  <si>
    <t>Tám. értékű felh.célú pe.átadás</t>
  </si>
  <si>
    <t>Felhalm.c.pe. átadás</t>
  </si>
  <si>
    <t>Felhalmozási kiadások összesen:</t>
  </si>
  <si>
    <t>Költségvetési kiadások összesen</t>
  </si>
  <si>
    <t>Hitelek</t>
  </si>
  <si>
    <t>Finanszírozási kiadások</t>
  </si>
  <si>
    <t>Felhalmozási célú hitel törlesztése</t>
  </si>
  <si>
    <t>Finanszírozási kiadások összesen</t>
  </si>
  <si>
    <t>változás</t>
  </si>
  <si>
    <t>szakmai (mezőőr)</t>
  </si>
  <si>
    <t>Bizottsági tag</t>
  </si>
  <si>
    <t>Képviselő</t>
  </si>
  <si>
    <t>Polgármester</t>
  </si>
  <si>
    <t>Köztisztviselők</t>
  </si>
  <si>
    <t>Ügyviteli dolgozók</t>
  </si>
  <si>
    <t>Fizikai dolgozók</t>
  </si>
  <si>
    <t>Közhasznú foglalkoztatottak</t>
  </si>
  <si>
    <t>Technikai</t>
  </si>
  <si>
    <t>Szarvas Város Önkormányzata összesen:</t>
  </si>
  <si>
    <t>adatok Ft-ban</t>
  </si>
  <si>
    <t>Működési tartalék eredeti előirányzata</t>
  </si>
  <si>
    <t>Fő téri iskola bevétel</t>
  </si>
  <si>
    <t>Étkezési térítési díj</t>
  </si>
  <si>
    <t>Békés M. Önkormányzatok Ivóvízminőség-javitó Társulása</t>
  </si>
  <si>
    <t>Többc. Társulás Gyermekorovos rendelés</t>
  </si>
  <si>
    <t>Gyermekétkeztetés</t>
  </si>
  <si>
    <t>Intézményi vagyon karbantartás</t>
  </si>
  <si>
    <t>2017 év</t>
  </si>
  <si>
    <t>2018 év</t>
  </si>
  <si>
    <t>2019 év</t>
  </si>
  <si>
    <t>2020 év</t>
  </si>
  <si>
    <t>2021 év</t>
  </si>
  <si>
    <t xml:space="preserve"> 1.2.4.</t>
  </si>
  <si>
    <t xml:space="preserve"> 1.2.5.</t>
  </si>
  <si>
    <t xml:space="preserve"> 1.2.6.</t>
  </si>
  <si>
    <t xml:space="preserve"> 1.2.7.</t>
  </si>
  <si>
    <t>Önk. működési és ágazati feladatainak tám.</t>
  </si>
  <si>
    <t>Önkormányzatok működési támogatása</t>
  </si>
  <si>
    <t>Önkorm.egyes köznevelési felad.tám.</t>
  </si>
  <si>
    <t>Önkorm.szoc.és gyermekjól.feladat tám.</t>
  </si>
  <si>
    <t>Önk.kulturális feladatainak tám.</t>
  </si>
  <si>
    <t>Helyi szervezési intézkedések tám.</t>
  </si>
  <si>
    <t>Nyári gyermekétkeztetés</t>
  </si>
  <si>
    <t>Érdekeltségnövelő támogatás</t>
  </si>
  <si>
    <t xml:space="preserve"> 1.2.8.</t>
  </si>
  <si>
    <t xml:space="preserve"> 1.2.9.</t>
  </si>
  <si>
    <t>Önk.feladatok fejlesztési támogatása</t>
  </si>
  <si>
    <t>Bérkompenzáció támogatás</t>
  </si>
  <si>
    <t>Lakott külterülettel kapcs.feladat tám.</t>
  </si>
  <si>
    <t>Szarvas Város Óvodái</t>
  </si>
  <si>
    <t>Tessedik Sámuel Múzeum és Szárazmalom, Városi Könyvtár</t>
  </si>
  <si>
    <t>Tessedik S. Múzeum és Szárazm.,Városi Könyvtár össz.</t>
  </si>
  <si>
    <t>Tessedik S. Múzeum és Szárazm., Városi Könyvtár össz.</t>
  </si>
  <si>
    <t>Beruházások</t>
  </si>
  <si>
    <t>Felújítások</t>
  </si>
  <si>
    <t>oktatás technikai dologzók</t>
  </si>
  <si>
    <t>Alpolgármester</t>
  </si>
  <si>
    <t>Óvodapedagógus</t>
  </si>
  <si>
    <t>Közcélú foglalkoztatottak</t>
  </si>
  <si>
    <t>Fejlesztési tartalék részletezése 2013. év .</t>
  </si>
  <si>
    <t>Fejlesztési tartalék eredeti előirányzata: 2013.01.01.</t>
  </si>
  <si>
    <t xml:space="preserve">Működési tartalék részletezése 2013. év </t>
  </si>
  <si>
    <t>Ellátottak pénzbeli juttatásai</t>
  </si>
  <si>
    <t>Szarvas Város Önkormányzatának 2013. évi működési, fejlesztési és finanszírozási célú bevételeinek és kiadásainak mérlege</t>
  </si>
  <si>
    <t>Működési bevétel összesen</t>
  </si>
  <si>
    <t>Véglegesen átvett pe.összesen</t>
  </si>
  <si>
    <t>Szarvas Város Óvodái összesen</t>
  </si>
  <si>
    <t xml:space="preserve"> Önkormányzat összesen</t>
  </si>
  <si>
    <t>Munkaadókat terh.jár. és szoc.hozzáj.adó</t>
  </si>
  <si>
    <t>Beruházások összesen:</t>
  </si>
  <si>
    <t>Kötvény visszaváltás összesen</t>
  </si>
  <si>
    <t>Munkaa.terh.jár.és szoc.hj.a.</t>
  </si>
  <si>
    <t>Működési bevételek összesen:</t>
  </si>
  <si>
    <t>Támogatás értékű bevételek összesen:</t>
  </si>
  <si>
    <t>Müködési, felhalmozási és finanszírozási célú bevételek és kiadások alakulása 2013. évben</t>
  </si>
  <si>
    <t>Szarvas Város Önkormányzata  2013 évi létszámadatai (fő)</t>
  </si>
  <si>
    <t>Önkormányzat sajátos bevétele</t>
  </si>
  <si>
    <t>Magánsz. Építm.adó 20 %-a</t>
  </si>
  <si>
    <t>Fejlesztési hitel, kötvény kamata</t>
  </si>
  <si>
    <t>Felhalmozási hitel törlesztés összesen</t>
  </si>
  <si>
    <t>Kölcsönök visszatérülése, értékpapir bevételei</t>
  </si>
  <si>
    <t>Központi közműnyilvántartás</t>
  </si>
  <si>
    <t>Fejlesztési tartalék</t>
  </si>
  <si>
    <t>Egyéb feladatok munkaadókat terh.jár.szoc.hj.adó</t>
  </si>
  <si>
    <t>Munkaadókat terh.jár.szoc.hj.adó</t>
  </si>
  <si>
    <t>Munkaadókat terh.jár.szoc.hj.adó.</t>
  </si>
  <si>
    <t>2013.12.31.-ig</t>
  </si>
  <si>
    <t>Oktatási intézmények fenntartási kiadása</t>
  </si>
  <si>
    <t>Cervinus Teátrum Művelődési központ támogatás</t>
  </si>
  <si>
    <t>Kossuth u. 56-58 tűzfal felújítás</t>
  </si>
  <si>
    <t>Felújítások összesen</t>
  </si>
  <si>
    <t>Tám.ért. felhalm. célú pe.átad.összesen</t>
  </si>
  <si>
    <t>Tanyagondnoki szolg.gk.beszerzés</t>
  </si>
  <si>
    <t>Felhalm.c.pe.átadás</t>
  </si>
  <si>
    <t xml:space="preserve">Óvodapedagógust segítő </t>
  </si>
  <si>
    <t>Nem kötelező</t>
  </si>
  <si>
    <t>Kötelező</t>
  </si>
  <si>
    <t>Önkormányzati feladat</t>
  </si>
  <si>
    <t>Államigazgatási   feladat</t>
  </si>
  <si>
    <t>köztisztviselő</t>
  </si>
  <si>
    <t>Szakmai (múzeum)</t>
  </si>
  <si>
    <t>Szakmai (könyvtár)</t>
  </si>
  <si>
    <t>Államigazgatási feladatok</t>
  </si>
  <si>
    <t>Önkormányzati feladatok</t>
  </si>
  <si>
    <t>2013. évben</t>
  </si>
  <si>
    <t>Költségvetési bevételek és kiadások  kötelező-, önként vállalt-, állami (államigazgatási) feladatok szerinti bontása</t>
  </si>
  <si>
    <t>Eredeti ei.</t>
  </si>
  <si>
    <t>I. negyedévi rendeletmódosítás</t>
  </si>
  <si>
    <t>DAOP-4.1.3/C. közösségi té fejleszt. EU önerő</t>
  </si>
  <si>
    <t>Szabad fejlesztési tartalék</t>
  </si>
  <si>
    <t>Bérkompenzáció 2013.</t>
  </si>
  <si>
    <t>Gyermektartásdíjak megelőlegezése</t>
  </si>
  <si>
    <t>Otthonteremtési támogatás</t>
  </si>
  <si>
    <t>KEOP-4.2.0/B. Termál hőellátó rendszer fejl.</t>
  </si>
  <si>
    <t>Támogatás értékű felhalmozási célú pe átvétel</t>
  </si>
  <si>
    <t>KEOP-1-2-0/B. szennyvíztiszt.komplex fejl.</t>
  </si>
  <si>
    <t>Lakossági közműfejlesztés támogatása</t>
  </si>
  <si>
    <t>Felhalmozási célú pe átadás összesen</t>
  </si>
  <si>
    <t>Beruházások összesen</t>
  </si>
  <si>
    <t>EU önerő</t>
  </si>
  <si>
    <t>Hitel (felhalmozási)</t>
  </si>
  <si>
    <t>Tám. értékű felhalm.c.pe átvét.</t>
  </si>
  <si>
    <t>eredeti ei.</t>
  </si>
  <si>
    <t xml:space="preserve">ebből: - Illetékjellegű bevételek </t>
  </si>
  <si>
    <t>P</t>
  </si>
  <si>
    <t>Telj.           III. 31.</t>
  </si>
  <si>
    <t>Telj.     %-a</t>
  </si>
  <si>
    <t xml:space="preserve">N </t>
  </si>
  <si>
    <t>Telj.        III.31.</t>
  </si>
  <si>
    <t xml:space="preserve">            - DAOP Megyei komplex belvíz dologi kiadásai</t>
  </si>
  <si>
    <t xml:space="preserve">            - DAOP Belvízvéd.rendszer fejl. Szarvason dologi kiadásai</t>
  </si>
  <si>
    <t>2012. évi start munkaprogram személyi kiadások</t>
  </si>
  <si>
    <t>2012. évi start munkaprogram járulékok</t>
  </si>
  <si>
    <t>Szociális földprogram dologi kiadások</t>
  </si>
  <si>
    <t>2013. évi téli közfoglalkoztatás személyi kiadások</t>
  </si>
  <si>
    <t>2013. évi téli közfoglalkoztatás járulékok</t>
  </si>
  <si>
    <t>2013. évi kistérségi startmunka mintaprogram személyi kiadások</t>
  </si>
  <si>
    <t>2013. évi kistérségi startmunka mintaprogram járulékok</t>
  </si>
  <si>
    <t>2013. évi kistérségi startmunka mintaprogram dologi kiadások</t>
  </si>
  <si>
    <t>Segélyek dologi kiadásai</t>
  </si>
  <si>
    <t>Szarvasi Gyórgy-Termál Kft működési támogatása</t>
  </si>
  <si>
    <t>Állammal szembeni befizetési kötelezettség</t>
  </si>
  <si>
    <t>DAOP-5.1.2/A Városközpont rehabilitáció</t>
  </si>
  <si>
    <t>Vajda P. u. pályaszerkezet csere</t>
  </si>
  <si>
    <t>DAOP-5.2.1/D Megyei komplex belvíz, belvíz II. ütem</t>
  </si>
  <si>
    <t>KÖZOP-3.2.0/C Gyomendrődi út melletti kerékpárút</t>
  </si>
  <si>
    <t>Juhász Gy. U. közvilágítás fejlesztése</t>
  </si>
  <si>
    <t xml:space="preserve">DAOP-4.2.1. Zöldpázsiti óvoda bővítése </t>
  </si>
  <si>
    <t>KEOP-7.3.1.2/09. Élőhelyfejl. Szarvas és Bszta ter.</t>
  </si>
  <si>
    <t>Start- Bio- és megújuló energiafelhasználás</t>
  </si>
  <si>
    <t xml:space="preserve">Kistérségi plusz startmunka </t>
  </si>
  <si>
    <t>Petfői Iskola felújítása</t>
  </si>
  <si>
    <t>Megelőlegezett gyermektartásdíj</t>
  </si>
  <si>
    <t>Működési célú pe átadás</t>
  </si>
  <si>
    <t>Munkaügyi Központ bértámogatása</t>
  </si>
  <si>
    <t>Iskolatej támogatás</t>
  </si>
  <si>
    <t>Munkaügyi Kp támogatása (Start 2012. év)</t>
  </si>
  <si>
    <t>Munkaügyi Kp támogatása (Bio- és megújuló energia felhaszn.)</t>
  </si>
  <si>
    <t>Munkaügyi Kp támogatása (Hosszabb időtartamú közfogl.)</t>
  </si>
  <si>
    <t>Munkaügyi Kp támogatása (Kistérségi startmunka)</t>
  </si>
  <si>
    <t>Egységes területalapú támogatás 2012. év</t>
  </si>
  <si>
    <t>KÖZOP-3.2.0. Gyomaendrődi út melleti kerékpárút építés</t>
  </si>
  <si>
    <t>KEOP-1.2.0/B Szennyvíztisztító rendszer komplex fejlesztése</t>
  </si>
  <si>
    <t>DAOP-5.2.1/D Belvízrendezés az élhetőbb településekért</t>
  </si>
  <si>
    <t>DAOP-4.2.1-11 Zöldpázsiti óvoda bővítése</t>
  </si>
  <si>
    <t>Testvérvárosi találkozó támogatása</t>
  </si>
  <si>
    <t>Sebességjelző készülék költségtérítése</t>
  </si>
  <si>
    <t>Működési célú pe átvétel</t>
  </si>
  <si>
    <t>Egyéb bevételek</t>
  </si>
  <si>
    <t>Működési célú pénzeszköz átvétel</t>
  </si>
  <si>
    <t>KEOP-1.2.0/B Szennyvíztisztító rendszer komplex fejl. EU önerő</t>
  </si>
  <si>
    <t>Mód.ei. VI.30.</t>
  </si>
  <si>
    <t>II. negyedévi rendeletmódosítás</t>
  </si>
  <si>
    <t>Többlettámogatás  visszautalása Kistérségtől</t>
  </si>
  <si>
    <t>Egyéb bevétel (fordított áfával)</t>
  </si>
  <si>
    <t>Munkaügyi Kp támogatása (Téli közfoglalk.)</t>
  </si>
  <si>
    <t>KAB-KEF-12.7475 pályázat támogatása</t>
  </si>
  <si>
    <t>2012.évi többlettámogatás visszautalása Kistérségtől</t>
  </si>
  <si>
    <t>Munkaügyi Kp támogatása (Kistérségi plusz startmunka)</t>
  </si>
  <si>
    <t>DAOP-4.1.3/C Közösségi terek fejl. EU önerő</t>
  </si>
  <si>
    <t>KEOP-7.3.1.2/09 Élőhelyfejl. Szarvas és Bsztandrás term.területein</t>
  </si>
  <si>
    <t xml:space="preserve">DAOP-5.1.2/A Városközpont rehabilitáció </t>
  </si>
  <si>
    <t>Bio- és megújuló energiafelhasználás startmunka személyi kiadások</t>
  </si>
  <si>
    <t>Start hosszabb időtartamú közfoglalkoztatás személyi kiadások</t>
  </si>
  <si>
    <t>Bio- és megújuló energiafelhasználás startmunka járulékok</t>
  </si>
  <si>
    <t>Bio- és megújuló energiafelhasználás startmunka dologi kiadások</t>
  </si>
  <si>
    <t>Start hosszabb időtartamú közfoglalkoztatás járulékok</t>
  </si>
  <si>
    <t>KLC-404. frsz-ú szgk-hoz vonóhorog</t>
  </si>
  <si>
    <t>Kistérségi startmunka mintaprogram</t>
  </si>
  <si>
    <t>DAOP-5.2.1/A Belvízvéd.rendszer fejl. Szarvason</t>
  </si>
  <si>
    <t>Szabadság-Deák csomópont átép.jelzőlámpás kial.</t>
  </si>
  <si>
    <t>Belterületi járdák felújítási terveinek elkészítése</t>
  </si>
  <si>
    <t>Okmányiroda kialakítása</t>
  </si>
  <si>
    <t>Lakótelepek közvilágításának fejlesztése</t>
  </si>
  <si>
    <t>Ivóvízvezeték rekonstrukió - tervek</t>
  </si>
  <si>
    <t>Csúszásgátló útburkolat kialakítása</t>
  </si>
  <si>
    <t>KAB-KEF-12-7475 pályázat tárgyi eszköz beszerzés</t>
  </si>
  <si>
    <t>Gyendrődi hulladéklerakó vásár.köt.- telekvásárlás</t>
  </si>
  <si>
    <t>BM közbiztonság növelését szolg. fejlesztések</t>
  </si>
  <si>
    <t>Gyendrődi út mellett áramvételezési hely kialakítása</t>
  </si>
  <si>
    <t>Szent Klára Gyógyfürdő energetikai program</t>
  </si>
  <si>
    <t>Szlovák Ált.Isk. és Diákotthon energetikai program</t>
  </si>
  <si>
    <t xml:space="preserve">            - DAOP Zöldpázsiti óvoda bővítése dologi kiadásai</t>
  </si>
  <si>
    <t>DAOP-5.2.1/A Belvízvédelmi rendszer fejlesztése Szarvason</t>
  </si>
  <si>
    <t xml:space="preserve">            - DAOP Városközpont rehabilitáció</t>
  </si>
  <si>
    <t>Egyéb feladatok dologi (fordított áfával)</t>
  </si>
  <si>
    <t xml:space="preserve">            - TÁMOP "Öveges" program dologi kiadások</t>
  </si>
  <si>
    <t xml:space="preserve">            - KEOP Szennyvíztisztító dologi</t>
  </si>
  <si>
    <t xml:space="preserve">            - KEOP Termál hőellátó rendszer fejl. dologi kiadásai</t>
  </si>
  <si>
    <t>Halászlakért Egyesület támogatása</t>
  </si>
  <si>
    <t>Körösi Vízgazdálkodási Társulat támogatása</t>
  </si>
  <si>
    <t>Intézményi alulfinanszírozás</t>
  </si>
  <si>
    <t>Közoktatás 2012.évi pm átadás KIK</t>
  </si>
  <si>
    <t>Szoc.pol.támogatás visszafizetés</t>
  </si>
  <si>
    <t xml:space="preserve">Békés Megyei Rendőrkapitányság </t>
  </si>
  <si>
    <t>Kistérség-szociális alapellátás fejlesztése</t>
  </si>
  <si>
    <t>Kistérség-tanyagondnoki szolgálat fejlesztése</t>
  </si>
  <si>
    <t>Kistérség-siratói új idősek klubja kialakítása</t>
  </si>
  <si>
    <t>Kistérség-4 idősek klubja akadálymentesítés</t>
  </si>
  <si>
    <t xml:space="preserve">KEOP Élőhelyfejlesztés </t>
  </si>
  <si>
    <t>Gyógy-Termál Kft beruházási terv végrehajt.pe átad.</t>
  </si>
  <si>
    <t>Víziszínhap gázvezeték kiváltása</t>
  </si>
  <si>
    <t>Szarvasi Komép Kft törzstőke emelés</t>
  </si>
  <si>
    <t>Pénzügyi befektetések kiadásai összesen</t>
  </si>
  <si>
    <t xml:space="preserve"> pénzmaradvány beemelése</t>
  </si>
  <si>
    <t>17/2013 Vajda P. u. 18. és 26. ingatlanok tetőfelúj. közérdekű adomány</t>
  </si>
  <si>
    <t>Előző évi szenyvíz kifiz.visszapótlása</t>
  </si>
  <si>
    <t>219/2013 csúszásgátló útburkolat önerő különbözet</t>
  </si>
  <si>
    <t>72/2013.(II.21.) 2012. évi tagdíj hozzájárulás (Körösi Vízgazdálkodási Társulat részére)</t>
  </si>
  <si>
    <t>190/2013. Béke út 1. új polgármesteri hiv. lekötött elektromos telj. növeléséhez fejlesztési hozzájárulás.</t>
  </si>
  <si>
    <t>590/2012 Kossuth-Deák-Vajda utak kisfeszültségű elektormos hálózatának tervezése - Vároközpont rehab. pály.</t>
  </si>
  <si>
    <t>147/2013. TÁMOP-3.1.3-11/2-2012-008. Természettud.Okt. megúj. a Vajda P. Int-ben (Öveges Program)</t>
  </si>
  <si>
    <t>kötvény kockázatkezelési tartalék (kötvény árfolyamkülönbözete)</t>
  </si>
  <si>
    <t>330/2012 Petőfi iskola épület felújításának megvalósíthatósági tanulány és pályázat előkészítése</t>
  </si>
  <si>
    <t>470/2012 Tanyagondnoki pályázat 10% önerő biztosítása</t>
  </si>
  <si>
    <t>443/2010 Termál hőellátó rendszer fejl. Sikerdíj (70/2013.((II.21.) sz.hat.mód)</t>
  </si>
  <si>
    <t>Ipari Park (Inkubátorház) működési kiadása</t>
  </si>
  <si>
    <t>33/2013 Kistérségnek "Szociális alapellátás fejlesztése Szarvason" többletönerő</t>
  </si>
  <si>
    <t>233/2012 Gyomaendrődi hulladéklerakó - vásárlási kötelem bírósági határozat alapján</t>
  </si>
  <si>
    <t>215/2013 Dácia személygépkocsi beszerzése</t>
  </si>
  <si>
    <t>175/2013.(III.21.) DAOP-5.1.2/A-09-2f-2011-0003. Városközpont rehab. önerőtöbblet</t>
  </si>
  <si>
    <t>256/2012 Szarvas Város Energetikai program - közbeszerzés közzétételi díja</t>
  </si>
  <si>
    <t>100/2013. Szlovák Ált.Iskola és Diákotthon energetikai pály. önerő</t>
  </si>
  <si>
    <t>97/2013. Szent Klára Gyórgyfürdő energetikai pály. önerő</t>
  </si>
  <si>
    <t>Kötelezettséggel terhelt fejlesztési tartalék</t>
  </si>
  <si>
    <t xml:space="preserve">Vízmű vagyon karbantartása   </t>
  </si>
  <si>
    <t>Kötvény kockázatkezelési tartalék</t>
  </si>
  <si>
    <t>745/2012 Közmű rekonstrukciós keret (szennyvíz, ivóvíz, elektromos hálózat, hírközlés stb.)</t>
  </si>
  <si>
    <t>Vagyonkezelési számla</t>
  </si>
  <si>
    <t>2073/A/1/2/3 hrsz. Társasházi ingatlanok kisajátítási eljárása</t>
  </si>
  <si>
    <t xml:space="preserve">582/2010, 178/2013. "Lengyel-palota" tulajdonjogának megszerzése </t>
  </si>
  <si>
    <t>Egyházi kártalanítás</t>
  </si>
  <si>
    <t xml:space="preserve">     ebből: 308/2011 Petőfi iskola épület felújítására vonatkozó engedélyes tervdokumentáció</t>
  </si>
  <si>
    <t xml:space="preserve">               91/2013 Petőfi Iskola energetikai pályázat önerő</t>
  </si>
  <si>
    <t>Szabad maradvány</t>
  </si>
  <si>
    <t>Ipari Park (Inkubátorház) 2012.12.31-i bankszámla egyenlege</t>
  </si>
  <si>
    <t>Szentesi u. lakópark elsz. kötelezettsége 2012.12.31.</t>
  </si>
  <si>
    <t>4 db szociális bérlakás elsz. Kötelezettsége 2012.12.31.</t>
  </si>
  <si>
    <t>Uniós pályázatok szláit érintő kamatbevételek 2012.12.31.</t>
  </si>
  <si>
    <t>302/2011 Szentesi úti kerékpárút sikerdíj</t>
  </si>
  <si>
    <t>38/2012, 557/2011 Települési szilárd hulladékgazd.-i rendszerek fejlesztése c. pály. Telekmegosztás</t>
  </si>
  <si>
    <t>518/2010 KOMÉP járdaépítési feladatok</t>
  </si>
  <si>
    <t>651/2012 KEOP szilárd hulladék-gazd.rendsz.fejlesztés Körösszögi kistérségben (45.750.719 áfa megelőlegezési köt.)</t>
  </si>
  <si>
    <t xml:space="preserve">705/2012 Szennyvíztisztító rendszer koplex fejlesztése c. beruházás támogatási rátájának felülvizsgálata </t>
  </si>
  <si>
    <t>739/2012 Szlovák Általános Iskola napelemes pályázat - közbeszerzés lebonyolítása</t>
  </si>
  <si>
    <t>740/2012 Gyógyfürdő napelemes pályázat - közbeszerzés lebonyolítás</t>
  </si>
  <si>
    <t>741/2012 Gyermekélelmezés, sportcsarnok, Hagyományörző Egyesület, Idősek klubja napelemes pály - közbesz. lebony.</t>
  </si>
  <si>
    <t>742/2012 Kossuth úti rendelő, Kossuth úti bölcsőde napelemes pályázat - közbeszerzés lebonyolítása</t>
  </si>
  <si>
    <t>743/2012 Kossuht úti óvoda, Városi sportcsarnok napelemes pályázat - közbeszerzés lebonyolítása</t>
  </si>
  <si>
    <t xml:space="preserve">747/2012 Kossuth úti óvoda, Városi sportcsarnok napelemes pályázat - energetikai tanúsítvány </t>
  </si>
  <si>
    <t>744/2012 Napelempark - megvalósíthatósági tanulmány (71/2013.(II.21.) sz.hat.mód.)</t>
  </si>
  <si>
    <t>26/2013 Fahíd-Arborétum közötti kerékpárút terv elkészítése</t>
  </si>
  <si>
    <t>27/2013 Kacsató-Mezőtúri út közötti kerékpárút terv elkészítése</t>
  </si>
  <si>
    <t>28/2013 Arborétum-Körösi komp közötti kerékpárút terv elkészítése</t>
  </si>
  <si>
    <t>29/2013 Szabadság úti kerékpárút felújítási terv elkészítése</t>
  </si>
  <si>
    <t>35/2013 CKÖ Közösségi ház felújításának tervezési munkái</t>
  </si>
  <si>
    <t>36/2013 Vízi színház automata öntözőberendezésének tervezési és kivitelezési munkái</t>
  </si>
  <si>
    <t>79/2013. II. Szarvasi Horgász és Halas Gasztronómia Nap támogatása</t>
  </si>
  <si>
    <t>96/2013. Gyermekélelm.konyha, Sportcsarnok, Gazdák Hagy.Egy., Id.Napk.Otth. energetikai pály. önerő</t>
  </si>
  <si>
    <t>98/2013. Vasút úti rend.int. és Kossuth úti Bölcsőde energetikai pály. önerő</t>
  </si>
  <si>
    <t>99/2013. Városi Sportcsarnok és Kossuth Óvoda energetikai pály. önerő</t>
  </si>
  <si>
    <t>237/2013. Térfigyelő kamerák bővítésére pályázati önerő</t>
  </si>
  <si>
    <r>
      <t xml:space="preserve">407/2011 Szentesi út melletti kerékpárút építés önerő- </t>
    </r>
    <r>
      <rPr>
        <i/>
        <u val="single"/>
        <sz val="12"/>
        <rFont val="Times New Roman"/>
        <family val="1"/>
      </rPr>
      <t>felhalmozási hitelből</t>
    </r>
  </si>
  <si>
    <r>
      <t xml:space="preserve">475/2011 DAOP Belterületi utak III. önerő - </t>
    </r>
    <r>
      <rPr>
        <i/>
        <u val="single"/>
        <sz val="12"/>
        <rFont val="Times New Roman"/>
        <family val="1"/>
      </rPr>
      <t>felhalmozási hitelből - 27.750.000</t>
    </r>
  </si>
  <si>
    <t>Közérdekű adomány</t>
  </si>
  <si>
    <t>Múzeum támogatása</t>
  </si>
  <si>
    <t xml:space="preserve">Önkormányzati vagyonhasznosítás </t>
  </si>
  <si>
    <t>E-On fejlesztési hozzájárulás (Béke u. 1.)</t>
  </si>
  <si>
    <t>Személygépkocsi vásárlás (Dacia L.)</t>
  </si>
  <si>
    <t>Tartalék összesen 2013.06.30.</t>
  </si>
  <si>
    <t>Telj.           VI.30.</t>
  </si>
  <si>
    <t>Telj.        VI.30.</t>
  </si>
  <si>
    <t>Teljesítés VI.30.</t>
  </si>
  <si>
    <t>Helyi önkormányzatok kiegészítő támogatásai</t>
  </si>
  <si>
    <t xml:space="preserve"> 1.3.1.</t>
  </si>
  <si>
    <t xml:space="preserve"> 1.3.2.</t>
  </si>
  <si>
    <t>5000 fő feletti önkorm. adósságkonszolidációja</t>
  </si>
  <si>
    <t xml:space="preserve"> 2.2.4.</t>
  </si>
  <si>
    <t>Magánszemélyek kommunális adója</t>
  </si>
  <si>
    <t>TISZK megszűnés miatti pe átvétel</t>
  </si>
  <si>
    <t>KAB-ME-12-8182 "Családi kör" projekt támogatása</t>
  </si>
  <si>
    <t>DAOP-5.1.2/A Városközpont rehabilitáció EU önerő</t>
  </si>
  <si>
    <t>Óvadék maradványösszegének átvétele (szélessávú internet fejl.)</t>
  </si>
  <si>
    <t>Körösök Völgye Akciócsoport Nonprofit Kft - tagi kölcsön visszafiz.</t>
  </si>
  <si>
    <t>Ingatlanhasznosítás</t>
  </si>
  <si>
    <t xml:space="preserve">            - DAOP Élőhelyfejlesztések Szarvas és Bszta ter.dologi kiad.</t>
  </si>
  <si>
    <t xml:space="preserve">            - DAOP Közösségi terek fejl.dologi kiadásai</t>
  </si>
  <si>
    <t xml:space="preserve">            - KAB-ME-12-8182 "Családi kör" projekt dologi kiadásai</t>
  </si>
  <si>
    <t>2012.évi start munkaprogram dologi kiadások</t>
  </si>
  <si>
    <t>Bóbita Alapítvány támogatása sportkeretből</t>
  </si>
  <si>
    <t>Emberöltő Alapítvány támogatása sportkeretből</t>
  </si>
  <si>
    <t>Vállalkozók komm.adójának visszafizetése</t>
  </si>
  <si>
    <t>Gyomaendrőd Önkormányzat szúnyoggyérítés pe átadás</t>
  </si>
  <si>
    <t>KEOP-7.1.1/2. Szilárd hulladéklerakó (komposztáló)</t>
  </si>
  <si>
    <t>Szarvas, Budai N. A. u. 5. felújítás</t>
  </si>
  <si>
    <t>Kötvénykibocsátás 2007.</t>
  </si>
  <si>
    <t>Tájékoztatásul a devizás kötelezettségek 2013.06.30-i állományáról eFt-ban (295,6 Ft/Euro, állomány 2 666 879,8 EUR)</t>
  </si>
  <si>
    <t>Mód.ei. IX.30.</t>
  </si>
  <si>
    <t xml:space="preserve">         - Egyéb bevétel</t>
  </si>
  <si>
    <t>KEOP szennyvíztisztító visszaig.áfa</t>
  </si>
  <si>
    <t>Gyermekvédelmi támogatás Erzsébet-utalványban</t>
  </si>
  <si>
    <t xml:space="preserve"> 1.3.3.</t>
  </si>
  <si>
    <t>Szociális feladat támogatása</t>
  </si>
  <si>
    <t>Kistérségi Iroda munkaszervezet</t>
  </si>
  <si>
    <t>Egyéb feladatok munkaadókat terh.bef.köt.</t>
  </si>
  <si>
    <t>Egyéb feladatok dologi</t>
  </si>
  <si>
    <t>Szarvasi Krónika Alapítvány támogatása</t>
  </si>
  <si>
    <t>Szarvasi Gazdák támogatása</t>
  </si>
  <si>
    <t>Evangélikus Egyház támogatása</t>
  </si>
  <si>
    <t>Közművelődési érdekeltségnövelő támogatás</t>
  </si>
  <si>
    <t>Vasút u. ivóvízvezeték rekonstrukciója</t>
  </si>
  <si>
    <t>Kossuth u. 30. felújítása</t>
  </si>
  <si>
    <t>Szarvasi Közfogl.Gazd. és Szolg.Szoc.Szöv. részjegy</t>
  </si>
  <si>
    <t>III. negyedévi rendeletmódosítás</t>
  </si>
  <si>
    <t>Működési  tartalék összesen 2013.09.30.</t>
  </si>
  <si>
    <t>műk.c.pe átadás</t>
  </si>
  <si>
    <t>városközp.beruh.</t>
  </si>
  <si>
    <t>beruh.</t>
  </si>
  <si>
    <t>igazg.dologi</t>
  </si>
  <si>
    <t>tám.ért.pe átadás</t>
  </si>
  <si>
    <t>dologi</t>
  </si>
  <si>
    <t>tám.ért.felh.pe átadás</t>
  </si>
  <si>
    <t>beruh.-telekvás.</t>
  </si>
  <si>
    <t>int.fin.Hivatal</t>
  </si>
  <si>
    <t>393/2013 Városközpont rehab pályázatban csobogókra</t>
  </si>
  <si>
    <t>284/2012. Nyári gyermekétkeztetés pályázat - önerő</t>
  </si>
  <si>
    <t>303/2013.Melis György szobor</t>
  </si>
  <si>
    <t>311/2013. KOMÉP zöldterület fenntartása</t>
  </si>
  <si>
    <t>331/2013. Körös-Szögi Civil Fórum Egyesület LEADER pályázat támogatása</t>
  </si>
  <si>
    <t>345/2013. "Komplex belvízrendezési program - Szarvas" pótmunka-igény önereje</t>
  </si>
  <si>
    <t>390/2013, 439/2013 KEOP-1.1.1/C/13 Települési szilárdhull.gazd.rendsz.eszközpark fejlesztés pályázat - nettó önerő</t>
  </si>
  <si>
    <t>421/2013 A tanyás térségek kelter.földútjainak karbantart.biztosító munkagépek, eszközök beszerz.pályázat - önerő</t>
  </si>
  <si>
    <t>422/2013 Új polgármesteri hivatal épületének légkondicionálására fedezetkiegészítés</t>
  </si>
  <si>
    <t>423/2013 Városközpont rekonctrukció - 7 db csobogó-szökökút és zenepavilon E-On részére fizetendő fejlesztési hozzájár.</t>
  </si>
  <si>
    <t>437/2013 Kistérség Többcélú Társulási Tanács által benyújtott TP-1-2013. pályázathoz önerő</t>
  </si>
  <si>
    <t>440/2013 Szarvasi Football Club támogatása</t>
  </si>
  <si>
    <t>466/2013 "Komplex belvíztendezési program - Szarvas"pótmunka-igény 2 önereje</t>
  </si>
  <si>
    <t>fejl.tart.06.30-án</t>
  </si>
  <si>
    <t>Vízmű vagyon karbantartása</t>
  </si>
  <si>
    <t>Vagyonkezelési számla (régi bérlakások - Kossuth u. 30. felújítása)</t>
  </si>
  <si>
    <t>Tartalék összesen 2013.09.30.</t>
  </si>
  <si>
    <t>478/2013 "Kisárpád üzletház homlokzat felújítás kivitelezési feladatainak önereje</t>
  </si>
  <si>
    <t>485/2013 Ótemplom homlokzatvilágítás tervezés+kivitelézés költsége</t>
  </si>
  <si>
    <t>485/2013 Vajda P. u. Múzeum homlozatvilágítás tervezés+kivitelezés</t>
  </si>
  <si>
    <t>485 Fürdő, Kossuth 23. épület homlokzatvilágítás tervezés+kivitelezés</t>
  </si>
  <si>
    <t>485 Kossuth téri Katlokus templom Szabadág utcai homlokzatvilágítás tervezés+kivitelezés</t>
  </si>
  <si>
    <t>485 Fő tér szökőkút világítás tervezés+kivitelezés</t>
  </si>
  <si>
    <t>485/2013 Fő tér Iskola homlokzatvilgítás tervezés+kivitelezés</t>
  </si>
  <si>
    <t>Városközpont rehabilitáció többletönerő hitelből (feladattal terhelt 82.988.007 Ft)</t>
  </si>
  <si>
    <t>adósságkonszolidáció figyelembevételével</t>
  </si>
  <si>
    <t xml:space="preserve">2013. szeptember 30. módosított költségvetés címenkénti összesítése, kiemelt előirányzati bontásban </t>
  </si>
  <si>
    <t>Kiemelt előirányzat</t>
  </si>
  <si>
    <t>Önkormányzat   1 cím</t>
  </si>
  <si>
    <t>Polgármesteri Hivatal                2 cím</t>
  </si>
  <si>
    <t>Szarvas Város Óvodái             3 cím</t>
  </si>
  <si>
    <t>Mindösszesen</t>
  </si>
  <si>
    <t>Bér</t>
  </si>
  <si>
    <t>Munkaadói járulék</t>
  </si>
  <si>
    <t>Tám.ért.műk.pe.átadás</t>
  </si>
  <si>
    <t>Társ.szoc.pol.tám.</t>
  </si>
  <si>
    <t>Kamat</t>
  </si>
  <si>
    <t>Műk.kiadás össz.</t>
  </si>
  <si>
    <t>Finanszírozás</t>
  </si>
  <si>
    <t>felhalmozási kamat</t>
  </si>
  <si>
    <t>támogatás értékű pe.áa.</t>
  </si>
  <si>
    <t>felhalm.c.pe.átadás</t>
  </si>
  <si>
    <t>pénzügyi befektetés</t>
  </si>
  <si>
    <t>felújítás</t>
  </si>
  <si>
    <t>felhalmozás</t>
  </si>
  <si>
    <t>felhalmozási tartalék</t>
  </si>
  <si>
    <t>Felhalmozási kiadás</t>
  </si>
  <si>
    <t>Kiadás mindössz.</t>
  </si>
  <si>
    <t>Támogatás értékű műk.bev.</t>
  </si>
  <si>
    <t>Működési átvett pe.</t>
  </si>
  <si>
    <t>önkorm.sajátos bevétel</t>
  </si>
  <si>
    <t>pénzmaradvány</t>
  </si>
  <si>
    <t>támogatás értékű felh.bev.</t>
  </si>
  <si>
    <t>Egyéb felh. átvett pe.</t>
  </si>
  <si>
    <t>Felhalmozási és tj.</t>
  </si>
  <si>
    <t>Kölcsönök visszatér</t>
  </si>
  <si>
    <t>Helyi adóbevétel</t>
  </si>
  <si>
    <t>központi adóbevétel</t>
  </si>
  <si>
    <t>Működési hitel</t>
  </si>
  <si>
    <t>Felhalmozási hitel</t>
  </si>
  <si>
    <t>Normatív és központosított támogatás</t>
  </si>
  <si>
    <t>Bevétel összesen</t>
  </si>
  <si>
    <t>Támogatási igény</t>
  </si>
  <si>
    <t>Norm.felüli tám.</t>
  </si>
  <si>
    <t>Támogatás %</t>
  </si>
  <si>
    <t>Müködési és felhalmozási célú bevételek és kiadások alakulása 2013 - 2015. évben</t>
  </si>
  <si>
    <t>Q</t>
  </si>
  <si>
    <t>ebből: KEOP-4.2.0/B. Termál hőell.rendsz.fejl.</t>
  </si>
  <si>
    <t xml:space="preserve">Finanszírozási bevételek </t>
  </si>
  <si>
    <r>
      <t>6 melléklet a 6/2013.(III.22.) önkormányzati rendelethez</t>
    </r>
    <r>
      <rPr>
        <b/>
        <u val="single"/>
        <vertAlign val="superscript"/>
        <sz val="10"/>
        <rFont val="Arial CE"/>
        <family val="0"/>
      </rPr>
      <t>1</t>
    </r>
  </si>
  <si>
    <r>
      <t>1</t>
    </r>
    <r>
      <rPr>
        <sz val="8"/>
        <rFont val="Arial CE"/>
        <family val="2"/>
      </rPr>
      <t>módosította a 6/2013.(III.22.)sz. rendelet - rendelkezéseit a 2013. évi költségvetési évre kell alkalmazni</t>
    </r>
  </si>
  <si>
    <t>9 melléklet a 1/2013.(II.22.) önkormányzati rendelethez</t>
  </si>
  <si>
    <t>2013. Évi előirányzat-felhasználási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</si>
  <si>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</si>
  <si>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</si>
  <si>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</si>
  <si>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</si>
  <si>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</si>
  <si>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</si>
  <si>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</si>
  <si>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</si>
  <si>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</si>
  <si>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</si>
  <si>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</si>
  <si>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</si>
  <si>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</si>
  <si>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1.Saját bevétel</t>
  </si>
  <si>
    <t>2.Átvett pénzeszk.</t>
  </si>
  <si>
    <t>3.Támogatás</t>
  </si>
  <si>
    <t>4.Hitel,kötvény</t>
  </si>
  <si>
    <t>Pénzforg.nélküli bevétel</t>
  </si>
  <si>
    <t>5.Előző havi záró</t>
  </si>
  <si>
    <t>6.Bevételek összesen</t>
  </si>
  <si>
    <t>Kiadások</t>
  </si>
  <si>
    <t>7.Működési kiadás dologi nélk.</t>
  </si>
  <si>
    <t>8.Dologi kiadások</t>
  </si>
  <si>
    <t>9.Adósságszolgálat</t>
  </si>
  <si>
    <t>10.Felujitások</t>
  </si>
  <si>
    <t>11. Beruházások</t>
  </si>
  <si>
    <t>12. Felhalm.pe.átadás</t>
  </si>
  <si>
    <t>12.Tartalék</t>
  </si>
  <si>
    <t>13.Kiadások összesen</t>
  </si>
  <si>
    <t>14.Egyenleg</t>
  </si>
  <si>
    <t>12 melléklet a 1/2013.(II.22.) önkormányzati rendelethez</t>
  </si>
  <si>
    <t>Európai Uniós támogatással megvalósuló projektek 2013. évben</t>
  </si>
  <si>
    <t>KT határozat száma</t>
  </si>
  <si>
    <t>Tárgy</t>
  </si>
  <si>
    <t>Teljes költségvetés (eFt)</t>
  </si>
  <si>
    <t>Teljes saját forrás (eFt)</t>
  </si>
  <si>
    <t xml:space="preserve">2013. évi saját forrás </t>
  </si>
  <si>
    <t>2013. évi ÖM saját forrás kiegészítés (BM Önerő Alap)</t>
  </si>
  <si>
    <t>ÖM saját forrás kiegészítés (BM Önerő Alap)</t>
  </si>
  <si>
    <t>Új EU Önerő Alap</t>
  </si>
  <si>
    <t>Pályázati forrás</t>
  </si>
  <si>
    <t>Összes forrás</t>
  </si>
  <si>
    <t>400/2010.                (VI.04.)</t>
  </si>
  <si>
    <t>Szarvas és Gyomaendrőd közötti biztonságos kerékpárút építése  KÖZOP-3.2.0/c-08-2010-0007</t>
  </si>
  <si>
    <t>550/2011.                 (IX.22.)</t>
  </si>
  <si>
    <t>Szarvas Város szennyvíztisztító rendszerének komplex fejlesztése KEOP-1.2.0/B/10-2010-0036</t>
  </si>
  <si>
    <t>3/2011.               (I.06.)</t>
  </si>
  <si>
    <t>Szarvas kistérségi székhely központjának integrált fejlesztése (Városrehabilitáció)                                   DAOP-5.1.2/A-09-2F-2011-0003</t>
  </si>
  <si>
    <t>413/2012. (VI.21.)</t>
  </si>
  <si>
    <t>522/2007.           (XI.22.)</t>
  </si>
  <si>
    <t>58/2010.          (I.21.)</t>
  </si>
  <si>
    <r>
      <t>1 melléklet a 16/2013.(IX.20.) önkormányzati rendelethez</t>
    </r>
    <r>
      <rPr>
        <b/>
        <u val="single"/>
        <vertAlign val="superscript"/>
        <sz val="12"/>
        <rFont val="Arial CE"/>
        <family val="0"/>
      </rPr>
      <t>1</t>
    </r>
  </si>
  <si>
    <r>
      <t>1</t>
    </r>
    <r>
      <rPr>
        <sz val="9"/>
        <rFont val="Arial CE"/>
        <family val="2"/>
      </rPr>
      <t>módosította a 16/2013.(IX.20.)sz. rendelet - rendelkezéseit a 2013. évi költségvetési évre kell alkalmazni</t>
    </r>
  </si>
  <si>
    <r>
      <t>2 melléklet a 16/2013.(IX.20.) önkormányzati rendelethez</t>
    </r>
    <r>
      <rPr>
        <b/>
        <u val="single"/>
        <vertAlign val="superscript"/>
        <sz val="12"/>
        <rFont val="Arial"/>
        <family val="2"/>
      </rPr>
      <t>1</t>
    </r>
  </si>
  <si>
    <r>
      <t>1/a melléklet a 16/2013.(IX.20.) önkormányzati rendelethez</t>
    </r>
    <r>
      <rPr>
        <b/>
        <u val="single"/>
        <vertAlign val="superscript"/>
        <sz val="10"/>
        <rFont val="Arial CE"/>
        <family val="0"/>
      </rPr>
      <t>1</t>
    </r>
  </si>
  <si>
    <r>
      <t>1/b melléklet a 16/2013. (IX.20.) önkormányzati rendelethez</t>
    </r>
    <r>
      <rPr>
        <b/>
        <u val="single"/>
        <vertAlign val="superscript"/>
        <sz val="10"/>
        <rFont val="Arial CE"/>
        <family val="0"/>
      </rPr>
      <t>1</t>
    </r>
  </si>
  <si>
    <r>
      <t>2/a melléklet a 16/2013. (IX.20.) önkormányzati rendelethez</t>
    </r>
    <r>
      <rPr>
        <b/>
        <u val="single"/>
        <vertAlign val="superscript"/>
        <sz val="11"/>
        <rFont val="Arial CE"/>
        <family val="0"/>
      </rPr>
      <t>1</t>
    </r>
    <r>
      <rPr>
        <b/>
        <u val="single"/>
        <sz val="11"/>
        <rFont val="Arial CE"/>
        <family val="0"/>
      </rPr>
      <t xml:space="preserve"> </t>
    </r>
  </si>
  <si>
    <r>
      <t>2/b melléklet a 16/2013.(IX.20.) önkormányzati rendelethez</t>
    </r>
    <r>
      <rPr>
        <b/>
        <u val="single"/>
        <vertAlign val="superscript"/>
        <sz val="11"/>
        <rFont val="Arial CE"/>
        <family val="0"/>
      </rPr>
      <t>1</t>
    </r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</si>
</sst>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\-dd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#,##0.0"/>
    <numFmt numFmtId="171" formatCode="#,##0\ [$€-1];[Red]\-#,##0\ [$€-1]"/>
    <numFmt numFmtId="172" formatCode="[$€-2]\ #,##0;[Red]\-[$€-2]\ #,##0"/>
    <numFmt numFmtId="173" formatCode="[$-40E]yyyy\.\ mmmm\ d\."/>
    <numFmt numFmtId="174" formatCode="#,##0_ ;[Red]\-#,##0\ "/>
    <numFmt numFmtId="175" formatCode="\+\ 0"/>
    <numFmt numFmtId="176" formatCode="\+\2.\2%"/>
    <numFmt numFmtId="177" formatCode="\+\ .\2%"/>
    <numFmt numFmtId="178" formatCode="0.0%"/>
    <numFmt numFmtId="179" formatCode="\+\ .\4%"/>
    <numFmt numFmtId="180" formatCode="\+\ .\7%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#,##0.000"/>
    <numFmt numFmtId="190" formatCode="#,##0_ ;\-#,##0\ "/>
    <numFmt numFmtId="191" formatCode="0_ ;\-0\ "/>
    <numFmt numFmtId="192" formatCode="yyyy\-mm\-dd;@"/>
    <numFmt numFmtId="193" formatCode="mmm/yyyy"/>
    <numFmt numFmtId="194" formatCode="m\.\ d\.;@"/>
  </numFmts>
  <fonts count="42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6"/>
      <name val="Arial CE"/>
      <family val="0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vertAlign val="superscript"/>
      <sz val="12"/>
      <name val="Arial CE"/>
      <family val="0"/>
    </font>
    <font>
      <b/>
      <u val="single"/>
      <vertAlign val="superscript"/>
      <sz val="12"/>
      <name val="Arial"/>
      <family val="2"/>
    </font>
    <font>
      <b/>
      <u val="single"/>
      <vertAlign val="superscript"/>
      <sz val="10"/>
      <name val="Arial CE"/>
      <family val="0"/>
    </font>
    <font>
      <b/>
      <u val="single"/>
      <vertAlign val="superscript"/>
      <sz val="11"/>
      <name val="Arial CE"/>
      <family val="0"/>
    </font>
    <font>
      <b/>
      <u val="single"/>
      <vertAlign val="superscript"/>
      <sz val="10"/>
      <name val="Arial"/>
      <family val="2"/>
    </font>
    <font>
      <b/>
      <u val="single"/>
      <vertAlign val="superscript"/>
      <sz val="12"/>
      <name val="Times New Roman"/>
      <family val="1"/>
    </font>
    <font>
      <vertAlign val="superscript"/>
      <sz val="9"/>
      <name val="Arial CE"/>
      <family val="2"/>
    </font>
    <font>
      <vertAlign val="superscript"/>
      <sz val="8"/>
      <name val="Arial CE"/>
      <family val="2"/>
    </font>
    <font>
      <i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65" fontId="2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2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/>
    </xf>
    <xf numFmtId="0" fontId="0" fillId="0" borderId="0" xfId="21">
      <alignment/>
      <protection/>
    </xf>
    <xf numFmtId="0" fontId="7" fillId="0" borderId="0" xfId="21" applyFont="1" applyAlignment="1">
      <alignment/>
      <protection/>
    </xf>
    <xf numFmtId="0" fontId="3" fillId="0" borderId="0" xfId="21" applyFont="1" applyAlignment="1">
      <alignment horizontal="center" vertical="top"/>
      <protection/>
    </xf>
    <xf numFmtId="0" fontId="3" fillId="0" borderId="0" xfId="21" applyFont="1" applyAlignment="1">
      <alignment vertical="top"/>
      <protection/>
    </xf>
    <xf numFmtId="0" fontId="0" fillId="0" borderId="0" xfId="21" applyAlignment="1">
      <alignment vertical="top"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6" fillId="0" borderId="4" xfId="21" applyFont="1" applyBorder="1" applyAlignment="1">
      <alignment horizontal="center" vertical="top" wrapText="1"/>
      <protection/>
    </xf>
    <xf numFmtId="0" fontId="6" fillId="0" borderId="5" xfId="21" applyFont="1" applyBorder="1" applyAlignment="1">
      <alignment horizontal="center" vertical="top" wrapText="1"/>
      <protection/>
    </xf>
    <xf numFmtId="0" fontId="0" fillId="0" borderId="6" xfId="21" applyBorder="1" applyAlignment="1">
      <alignment horizontal="center" vertic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0" fillId="0" borderId="4" xfId="21" applyBorder="1" applyAlignment="1">
      <alignment vertical="top"/>
      <protection/>
    </xf>
    <xf numFmtId="0" fontId="0" fillId="0" borderId="5" xfId="21" applyBorder="1" applyAlignment="1">
      <alignment vertical="top" wrapText="1"/>
      <protection/>
    </xf>
    <xf numFmtId="3" fontId="0" fillId="0" borderId="6" xfId="21" applyNumberFormat="1" applyBorder="1" applyAlignment="1">
      <alignment vertical="center" wrapText="1"/>
      <protection/>
    </xf>
    <xf numFmtId="0" fontId="0" fillId="2" borderId="4" xfId="21" applyFill="1" applyBorder="1" applyAlignment="1">
      <alignment vertical="top"/>
      <protection/>
    </xf>
    <xf numFmtId="0" fontId="0" fillId="2" borderId="5" xfId="21" applyFill="1" applyBorder="1" applyAlignment="1">
      <alignment vertical="top" wrapText="1"/>
      <protection/>
    </xf>
    <xf numFmtId="3" fontId="0" fillId="2" borderId="6" xfId="21" applyNumberFormat="1" applyFill="1" applyBorder="1" applyAlignment="1">
      <alignment vertical="center" wrapText="1"/>
      <protection/>
    </xf>
    <xf numFmtId="0" fontId="6" fillId="0" borderId="4" xfId="21" applyFont="1" applyBorder="1" applyAlignment="1">
      <alignment vertical="top" wrapText="1"/>
      <protection/>
    </xf>
    <xf numFmtId="0" fontId="6" fillId="0" borderId="5" xfId="21" applyFont="1" applyBorder="1" applyAlignment="1">
      <alignment vertical="top" wrapText="1"/>
      <protection/>
    </xf>
    <xf numFmtId="3" fontId="6" fillId="0" borderId="6" xfId="21" applyNumberFormat="1" applyFont="1" applyBorder="1" applyAlignment="1">
      <alignment vertical="center" wrapText="1"/>
      <protection/>
    </xf>
    <xf numFmtId="0" fontId="0" fillId="0" borderId="4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 wrapText="1"/>
      <protection/>
    </xf>
    <xf numFmtId="3" fontId="0" fillId="0" borderId="6" xfId="21" applyNumberFormat="1" applyBorder="1" applyAlignment="1">
      <alignment vertical="center"/>
      <protection/>
    </xf>
    <xf numFmtId="3" fontId="0" fillId="0" borderId="6" xfId="21" applyNumberFormat="1" applyFont="1" applyBorder="1" applyAlignment="1">
      <alignment vertical="center" wrapText="1"/>
      <protection/>
    </xf>
    <xf numFmtId="3" fontId="0" fillId="0" borderId="6" xfId="21" applyNumberFormat="1" applyFont="1" applyBorder="1" applyAlignment="1">
      <alignment vertical="center" wrapText="1"/>
      <protection/>
    </xf>
    <xf numFmtId="0" fontId="6" fillId="0" borderId="4" xfId="21" applyFont="1" applyFill="1" applyBorder="1" applyAlignment="1">
      <alignment vertical="center" wrapText="1"/>
      <protection/>
    </xf>
    <xf numFmtId="0" fontId="6" fillId="0" borderId="5" xfId="21" applyFont="1" applyFill="1" applyBorder="1" applyAlignment="1">
      <alignment vertical="center" wrapText="1"/>
      <protection/>
    </xf>
    <xf numFmtId="3" fontId="6" fillId="0" borderId="6" xfId="21" applyNumberFormat="1" applyFont="1" applyBorder="1" applyAlignment="1">
      <alignment vertical="center"/>
      <protection/>
    </xf>
    <xf numFmtId="3" fontId="6" fillId="0" borderId="6" xfId="21" applyNumberFormat="1" applyFont="1" applyBorder="1" applyAlignment="1">
      <alignment vertical="center" wrapText="1"/>
      <protection/>
    </xf>
    <xf numFmtId="0" fontId="6" fillId="0" borderId="0" xfId="21" applyFont="1">
      <alignment/>
      <protection/>
    </xf>
    <xf numFmtId="3" fontId="6" fillId="0" borderId="6" xfId="21" applyNumberFormat="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vertical="center" wrapText="1"/>
      <protection/>
    </xf>
    <xf numFmtId="3" fontId="6" fillId="0" borderId="0" xfId="21" applyNumberFormat="1" applyFont="1" applyBorder="1" applyAlignment="1">
      <alignment vertical="center"/>
      <protection/>
    </xf>
    <xf numFmtId="3" fontId="6" fillId="0" borderId="0" xfId="21" applyNumberFormat="1" applyFont="1" applyBorder="1" applyAlignment="1">
      <alignment vertical="center" wrapText="1"/>
      <protection/>
    </xf>
    <xf numFmtId="3" fontId="6" fillId="0" borderId="0" xfId="21" applyNumberFormat="1" applyFont="1" applyBorder="1" applyAlignment="1">
      <alignment horizontal="center" vertical="center"/>
      <protection/>
    </xf>
    <xf numFmtId="0" fontId="0" fillId="0" borderId="0" xfId="21" applyBorder="1" applyAlignment="1">
      <alignment vertical="top" wrapText="1"/>
      <protection/>
    </xf>
    <xf numFmtId="3" fontId="0" fillId="0" borderId="0" xfId="21" applyNumberFormat="1" applyBorder="1" applyAlignment="1">
      <alignment vertical="center" wrapText="1"/>
      <protection/>
    </xf>
    <xf numFmtId="3" fontId="0" fillId="0" borderId="0" xfId="21" applyNumberFormat="1" applyBorder="1" applyAlignment="1">
      <alignment horizontal="center" vertical="center" wrapText="1"/>
      <protection/>
    </xf>
    <xf numFmtId="3" fontId="6" fillId="0" borderId="0" xfId="21" applyNumberFormat="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vertical="top" wrapText="1"/>
      <protection/>
    </xf>
    <xf numFmtId="0" fontId="0" fillId="0" borderId="0" xfId="21" applyAlignment="1">
      <alignment/>
      <protection/>
    </xf>
    <xf numFmtId="0" fontId="0" fillId="0" borderId="0" xfId="21" applyBorder="1">
      <alignment/>
      <protection/>
    </xf>
    <xf numFmtId="0" fontId="0" fillId="0" borderId="4" xfId="21" applyFill="1" applyBorder="1">
      <alignment/>
      <protection/>
    </xf>
    <xf numFmtId="0" fontId="0" fillId="0" borderId="7" xfId="21" applyFill="1" applyBorder="1">
      <alignment/>
      <protection/>
    </xf>
    <xf numFmtId="0" fontId="0" fillId="0" borderId="7" xfId="21" applyBorder="1">
      <alignment/>
      <protection/>
    </xf>
    <xf numFmtId="0" fontId="0" fillId="0" borderId="8" xfId="21" applyBorder="1">
      <alignment/>
      <protection/>
    </xf>
    <xf numFmtId="3" fontId="0" fillId="0" borderId="7" xfId="21" applyNumberFormat="1" applyBorder="1">
      <alignment/>
      <protection/>
    </xf>
    <xf numFmtId="3" fontId="0" fillId="0" borderId="5" xfId="21" applyNumberFormat="1" applyBorder="1">
      <alignment/>
      <protection/>
    </xf>
    <xf numFmtId="3" fontId="0" fillId="0" borderId="0" xfId="21" applyNumberFormat="1" applyBorder="1">
      <alignment/>
      <protection/>
    </xf>
    <xf numFmtId="3" fontId="2" fillId="0" borderId="0" xfId="0" applyNumberFormat="1" applyFont="1" applyAlignment="1">
      <alignment/>
    </xf>
    <xf numFmtId="3" fontId="4" fillId="0" borderId="8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8" fillId="0" borderId="8" xfId="0" applyFont="1" applyBorder="1" applyAlignment="1">
      <alignment/>
    </xf>
    <xf numFmtId="3" fontId="8" fillId="0" borderId="8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textRotation="90" wrapText="1"/>
    </xf>
    <xf numFmtId="164" fontId="1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3" fontId="16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64" fontId="14" fillId="0" borderId="0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2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7" fillId="0" borderId="0" xfId="20" applyFont="1">
      <alignment/>
      <protection/>
    </xf>
    <xf numFmtId="0" fontId="18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18" fillId="0" borderId="10" xfId="20" applyFont="1" applyBorder="1">
      <alignment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 applyAlignment="1">
      <alignment vertical="top"/>
      <protection/>
    </xf>
    <xf numFmtId="0" fontId="0" fillId="0" borderId="0" xfId="20" applyFont="1">
      <alignment/>
      <protection/>
    </xf>
    <xf numFmtId="3" fontId="0" fillId="0" borderId="0" xfId="20" applyNumberFormat="1" applyFont="1">
      <alignment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 applyAlignment="1">
      <alignment vertical="top" wrapText="1"/>
      <protection/>
    </xf>
    <xf numFmtId="0" fontId="6" fillId="0" borderId="0" xfId="20" applyFont="1">
      <alignment/>
      <protection/>
    </xf>
    <xf numFmtId="0" fontId="0" fillId="0" borderId="0" xfId="20" applyFont="1" applyBorder="1" applyAlignment="1">
      <alignment vertical="top"/>
      <protection/>
    </xf>
    <xf numFmtId="0" fontId="6" fillId="0" borderId="7" xfId="20" applyFont="1" applyBorder="1" applyAlignment="1">
      <alignment vertical="top"/>
      <protection/>
    </xf>
    <xf numFmtId="3" fontId="6" fillId="0" borderId="7" xfId="20" applyNumberFormat="1" applyFont="1" applyBorder="1" applyAlignment="1">
      <alignment vertical="center" wrapText="1"/>
      <protection/>
    </xf>
    <xf numFmtId="0" fontId="6" fillId="0" borderId="7" xfId="20" applyFont="1" applyBorder="1">
      <alignment/>
      <protection/>
    </xf>
    <xf numFmtId="0" fontId="6" fillId="0" borderId="8" xfId="20" applyFont="1" applyBorder="1" applyAlignment="1">
      <alignment vertical="top"/>
      <protection/>
    </xf>
    <xf numFmtId="3" fontId="6" fillId="0" borderId="8" xfId="20" applyNumberFormat="1" applyFont="1" applyBorder="1" applyAlignment="1">
      <alignment vertical="center" wrapText="1"/>
      <protection/>
    </xf>
    <xf numFmtId="0" fontId="6" fillId="0" borderId="8" xfId="20" applyFont="1" applyBorder="1">
      <alignment/>
      <protection/>
    </xf>
    <xf numFmtId="0" fontId="6" fillId="0" borderId="0" xfId="20" applyFont="1" applyBorder="1" applyAlignment="1">
      <alignment vertical="top"/>
      <protection/>
    </xf>
    <xf numFmtId="3" fontId="6" fillId="0" borderId="0" xfId="20" applyNumberFormat="1" applyFont="1" applyBorder="1" applyAlignment="1">
      <alignment vertical="center" wrapText="1"/>
      <protection/>
    </xf>
    <xf numFmtId="3" fontId="0" fillId="0" borderId="0" xfId="20" applyNumberFormat="1" applyFont="1" applyBorder="1">
      <alignment/>
      <protection/>
    </xf>
    <xf numFmtId="0" fontId="0" fillId="0" borderId="0" xfId="20" applyFont="1" applyBorder="1" applyAlignment="1">
      <alignment horizontal="center" vertical="top"/>
      <protection/>
    </xf>
    <xf numFmtId="3" fontId="0" fillId="0" borderId="0" xfId="20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0" fontId="7" fillId="0" borderId="0" xfId="20" applyFont="1" applyBorder="1" applyAlignment="1">
      <alignment vertical="top"/>
      <protection/>
    </xf>
    <xf numFmtId="16" fontId="0" fillId="0" borderId="0" xfId="20" applyNumberFormat="1" applyFont="1" applyBorder="1" applyAlignment="1">
      <alignment vertical="top"/>
      <protection/>
    </xf>
    <xf numFmtId="3" fontId="6" fillId="0" borderId="7" xfId="20" applyNumberFormat="1" applyFont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0" fillId="0" borderId="0" xfId="20" applyFont="1" applyBorder="1">
      <alignment/>
      <protection/>
    </xf>
    <xf numFmtId="0" fontId="0" fillId="0" borderId="8" xfId="20" applyFont="1" applyBorder="1" applyAlignment="1">
      <alignment vertical="top"/>
      <protection/>
    </xf>
    <xf numFmtId="0" fontId="0" fillId="0" borderId="8" xfId="20" applyFont="1" applyBorder="1" applyAlignment="1">
      <alignment/>
      <protection/>
    </xf>
    <xf numFmtId="0" fontId="0" fillId="0" borderId="8" xfId="20" applyFont="1" applyBorder="1">
      <alignment/>
      <protection/>
    </xf>
    <xf numFmtId="0" fontId="6" fillId="0" borderId="7" xfId="20" applyFont="1" applyBorder="1" applyAlignment="1">
      <alignment/>
      <protection/>
    </xf>
    <xf numFmtId="16" fontId="0" fillId="0" borderId="8" xfId="20" applyNumberFormat="1" applyFont="1" applyBorder="1" applyAlignment="1">
      <alignment vertical="top"/>
      <protection/>
    </xf>
    <xf numFmtId="0" fontId="0" fillId="0" borderId="0" xfId="20">
      <alignment/>
      <protection/>
    </xf>
    <xf numFmtId="0" fontId="2" fillId="0" borderId="0" xfId="20" applyFont="1" applyBorder="1" applyAlignment="1">
      <alignment horizontal="left" vertical="center" wrapText="1"/>
      <protection/>
    </xf>
    <xf numFmtId="0" fontId="2" fillId="0" borderId="8" xfId="20" applyFont="1" applyBorder="1" applyAlignment="1">
      <alignment vertical="center"/>
      <protection/>
    </xf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2" fillId="0" borderId="8" xfId="20" applyFont="1" applyBorder="1">
      <alignment/>
      <protection/>
    </xf>
    <xf numFmtId="0" fontId="0" fillId="0" borderId="0" xfId="20" applyBorder="1">
      <alignment/>
      <protection/>
    </xf>
    <xf numFmtId="0" fontId="4" fillId="0" borderId="7" xfId="20" applyFont="1" applyBorder="1">
      <alignment/>
      <protection/>
    </xf>
    <xf numFmtId="0" fontId="6" fillId="0" borderId="6" xfId="20" applyFont="1" applyBorder="1">
      <alignment/>
      <protection/>
    </xf>
    <xf numFmtId="3" fontId="6" fillId="0" borderId="6" xfId="20" applyNumberFormat="1" applyFont="1" applyBorder="1">
      <alignment/>
      <protection/>
    </xf>
    <xf numFmtId="0" fontId="19" fillId="0" borderId="0" xfId="19" applyFont="1">
      <alignment/>
      <protection/>
    </xf>
    <xf numFmtId="0" fontId="19" fillId="0" borderId="0" xfId="19" applyFont="1" applyAlignment="1">
      <alignment horizontal="center"/>
      <protection/>
    </xf>
    <xf numFmtId="0" fontId="19" fillId="0" borderId="0" xfId="19" applyFont="1" applyBorder="1" applyAlignment="1">
      <alignment horizontal="center"/>
      <protection/>
    </xf>
    <xf numFmtId="0" fontId="21" fillId="0" borderId="4" xfId="19" applyFont="1" applyBorder="1" applyAlignment="1">
      <alignment horizontal="left"/>
      <protection/>
    </xf>
    <xf numFmtId="3" fontId="21" fillId="0" borderId="5" xfId="19" applyNumberFormat="1" applyFont="1" applyFill="1" applyBorder="1">
      <alignment/>
      <protection/>
    </xf>
    <xf numFmtId="0" fontId="21" fillId="0" borderId="0" xfId="19" applyFont="1">
      <alignment/>
      <protection/>
    </xf>
    <xf numFmtId="0" fontId="19" fillId="0" borderId="4" xfId="19" applyFont="1" applyBorder="1" applyAlignment="1">
      <alignment horizontal="left"/>
      <protection/>
    </xf>
    <xf numFmtId="0" fontId="19" fillId="0" borderId="7" xfId="19" applyFont="1" applyBorder="1" applyAlignment="1">
      <alignment horizontal="left"/>
      <protection/>
    </xf>
    <xf numFmtId="3" fontId="19" fillId="0" borderId="5" xfId="19" applyNumberFormat="1" applyFont="1" applyFill="1" applyBorder="1">
      <alignment/>
      <protection/>
    </xf>
    <xf numFmtId="0" fontId="19" fillId="0" borderId="4" xfId="19" applyFont="1" applyBorder="1">
      <alignment/>
      <protection/>
    </xf>
    <xf numFmtId="0" fontId="19" fillId="0" borderId="0" xfId="19" applyFont="1" applyBorder="1">
      <alignment/>
      <protection/>
    </xf>
    <xf numFmtId="3" fontId="19" fillId="0" borderId="0" xfId="19" applyNumberFormat="1" applyFont="1" applyFill="1" applyBorder="1">
      <alignment/>
      <protection/>
    </xf>
    <xf numFmtId="0" fontId="19" fillId="0" borderId="0" xfId="19" applyFont="1" applyFill="1" applyBorder="1" applyAlignment="1">
      <alignment horizontal="left"/>
      <protection/>
    </xf>
    <xf numFmtId="0" fontId="19" fillId="0" borderId="0" xfId="19" applyFont="1" applyFill="1" applyBorder="1">
      <alignment/>
      <protection/>
    </xf>
    <xf numFmtId="3" fontId="19" fillId="0" borderId="0" xfId="19" applyNumberFormat="1" applyFont="1" applyFill="1">
      <alignment/>
      <protection/>
    </xf>
    <xf numFmtId="0" fontId="23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3" fontId="23" fillId="0" borderId="0" xfId="20" applyNumberFormat="1" applyFont="1">
      <alignment/>
      <protection/>
    </xf>
    <xf numFmtId="0" fontId="8" fillId="0" borderId="0" xfId="20" applyFont="1" applyBorder="1">
      <alignment/>
      <protection/>
    </xf>
    <xf numFmtId="0" fontId="4" fillId="0" borderId="9" xfId="0" applyFont="1" applyBorder="1" applyAlignment="1">
      <alignment/>
    </xf>
    <xf numFmtId="0" fontId="16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/>
    </xf>
    <xf numFmtId="3" fontId="14" fillId="0" borderId="7" xfId="0" applyNumberFormat="1" applyFont="1" applyBorder="1" applyAlignment="1">
      <alignment/>
    </xf>
    <xf numFmtId="0" fontId="3" fillId="0" borderId="0" xfId="0" applyFont="1" applyAlignment="1">
      <alignment horizontal="right"/>
    </xf>
    <xf numFmtId="3" fontId="2" fillId="0" borderId="8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0" xfId="21" applyFill="1" applyBorder="1">
      <alignment/>
      <protection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3" xfId="21" applyBorder="1">
      <alignment/>
      <protection/>
    </xf>
    <xf numFmtId="0" fontId="0" fillId="0" borderId="4" xfId="21" applyFont="1" applyFill="1" applyBorder="1">
      <alignment/>
      <protection/>
    </xf>
    <xf numFmtId="0" fontId="0" fillId="0" borderId="0" xfId="21" applyFont="1">
      <alignment/>
      <protection/>
    </xf>
    <xf numFmtId="3" fontId="0" fillId="0" borderId="6" xfId="21" applyNumberFormat="1" applyFont="1" applyBorder="1">
      <alignment/>
      <protection/>
    </xf>
    <xf numFmtId="3" fontId="0" fillId="0" borderId="6" xfId="21" applyNumberFormat="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6" fillId="0" borderId="6" xfId="0" applyFont="1" applyBorder="1" applyAlignment="1">
      <alignment/>
    </xf>
    <xf numFmtId="0" fontId="6" fillId="0" borderId="6" xfId="0" applyFont="1" applyFill="1" applyBorder="1" applyAlignment="1">
      <alignment/>
    </xf>
    <xf numFmtId="0" fontId="2" fillId="0" borderId="7" xfId="20" applyFont="1" applyBorder="1" applyAlignment="1">
      <alignment horizontal="center" vertical="center" wrapText="1"/>
      <protection/>
    </xf>
    <xf numFmtId="0" fontId="4" fillId="0" borderId="7" xfId="0" applyFont="1" applyBorder="1" applyAlignment="1">
      <alignment/>
    </xf>
    <xf numFmtId="3" fontId="0" fillId="0" borderId="7" xfId="20" applyNumberFormat="1" applyFont="1" applyBorder="1" applyAlignment="1">
      <alignment horizontal="center"/>
      <protection/>
    </xf>
    <xf numFmtId="0" fontId="16" fillId="0" borderId="7" xfId="0" applyFont="1" applyBorder="1" applyAlignment="1">
      <alignment horizontal="center"/>
    </xf>
    <xf numFmtId="0" fontId="16" fillId="0" borderId="7" xfId="0" applyFont="1" applyFill="1" applyBorder="1" applyAlignment="1">
      <alignment/>
    </xf>
    <xf numFmtId="3" fontId="16" fillId="0" borderId="7" xfId="0" applyNumberFormat="1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2" xfId="0" applyFont="1" applyFill="1" applyBorder="1" applyAlignment="1">
      <alignment/>
    </xf>
    <xf numFmtId="3" fontId="14" fillId="0" borderId="2" xfId="0" applyNumberFormat="1" applyFont="1" applyBorder="1" applyAlignment="1">
      <alignment/>
    </xf>
    <xf numFmtId="0" fontId="6" fillId="0" borderId="6" xfId="20" applyFont="1" applyBorder="1" applyAlignment="1">
      <alignment horizontal="center" vertical="center" wrapText="1"/>
      <protection/>
    </xf>
    <xf numFmtId="3" fontId="6" fillId="0" borderId="14" xfId="20" applyNumberFormat="1" applyFont="1" applyBorder="1" applyAlignment="1">
      <alignment horizontal="center" vertical="center" wrapText="1"/>
      <protection/>
    </xf>
    <xf numFmtId="3" fontId="6" fillId="0" borderId="10" xfId="20" applyNumberFormat="1" applyFont="1" applyBorder="1" applyAlignment="1">
      <alignment horizontal="center"/>
      <protection/>
    </xf>
    <xf numFmtId="3" fontId="0" fillId="0" borderId="10" xfId="20" applyNumberFormat="1" applyFont="1" applyBorder="1">
      <alignment/>
      <protection/>
    </xf>
    <xf numFmtId="3" fontId="6" fillId="0" borderId="4" xfId="20" applyNumberFormat="1" applyFont="1" applyBorder="1">
      <alignment/>
      <protection/>
    </xf>
    <xf numFmtId="3" fontId="6" fillId="0" borderId="15" xfId="20" applyNumberFormat="1" applyFont="1" applyBorder="1">
      <alignment/>
      <protection/>
    </xf>
    <xf numFmtId="3" fontId="6" fillId="0" borderId="10" xfId="20" applyNumberFormat="1" applyFont="1" applyBorder="1">
      <alignment/>
      <protection/>
    </xf>
    <xf numFmtId="3" fontId="0" fillId="0" borderId="15" xfId="20" applyNumberFormat="1" applyFont="1" applyBorder="1">
      <alignment/>
      <protection/>
    </xf>
    <xf numFmtId="0" fontId="6" fillId="0" borderId="14" xfId="20" applyFont="1" applyBorder="1" applyAlignment="1">
      <alignment horizontal="right" vertical="center" wrapText="1"/>
      <protection/>
    </xf>
    <xf numFmtId="0" fontId="6" fillId="0" borderId="10" xfId="20" applyFont="1" applyBorder="1" applyAlignment="1">
      <alignment horizontal="right" vertical="center" wrapText="1"/>
      <protection/>
    </xf>
    <xf numFmtId="3" fontId="6" fillId="0" borderId="14" xfId="20" applyNumberFormat="1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4" xfId="20" applyFont="1" applyBorder="1">
      <alignment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6" xfId="20" applyFont="1" applyBorder="1" applyAlignment="1">
      <alignment horizontal="center" vertical="center"/>
      <protection/>
    </xf>
    <xf numFmtId="3" fontId="6" fillId="0" borderId="16" xfId="20" applyNumberFormat="1" applyFont="1" applyBorder="1">
      <alignment/>
      <protection/>
    </xf>
    <xf numFmtId="0" fontId="6" fillId="0" borderId="10" xfId="20" applyFont="1" applyBorder="1" applyAlignment="1">
      <alignment horizontal="center"/>
      <protection/>
    </xf>
    <xf numFmtId="0" fontId="6" fillId="0" borderId="17" xfId="20" applyFont="1" applyBorder="1">
      <alignment/>
      <protection/>
    </xf>
    <xf numFmtId="0" fontId="6" fillId="0" borderId="15" xfId="20" applyFont="1" applyBorder="1" applyAlignment="1">
      <alignment horizontal="center"/>
      <protection/>
    </xf>
    <xf numFmtId="0" fontId="6" fillId="0" borderId="8" xfId="20" applyFont="1" applyBorder="1" applyAlignment="1">
      <alignment vertical="top" wrapText="1"/>
      <protection/>
    </xf>
    <xf numFmtId="0" fontId="6" fillId="0" borderId="13" xfId="20" applyFont="1" applyBorder="1">
      <alignment/>
      <protection/>
    </xf>
    <xf numFmtId="0" fontId="7" fillId="0" borderId="0" xfId="20" applyFont="1" applyBorder="1" applyAlignment="1">
      <alignment horizontal="left"/>
      <protection/>
    </xf>
    <xf numFmtId="0" fontId="0" fillId="0" borderId="10" xfId="20" applyFont="1" applyBorder="1" applyAlignment="1">
      <alignment horizontal="center"/>
      <protection/>
    </xf>
    <xf numFmtId="0" fontId="0" fillId="0" borderId="17" xfId="20" applyFont="1" applyBorder="1">
      <alignment/>
      <protection/>
    </xf>
    <xf numFmtId="0" fontId="6" fillId="0" borderId="4" xfId="20" applyFont="1" applyBorder="1" applyAlignment="1">
      <alignment horizontal="center"/>
      <protection/>
    </xf>
    <xf numFmtId="0" fontId="6" fillId="0" borderId="5" xfId="20" applyFont="1" applyBorder="1">
      <alignment/>
      <protection/>
    </xf>
    <xf numFmtId="0" fontId="1" fillId="0" borderId="0" xfId="0" applyFont="1" applyBorder="1" applyAlignment="1">
      <alignment/>
    </xf>
    <xf numFmtId="0" fontId="0" fillId="0" borderId="15" xfId="20" applyFont="1" applyBorder="1" applyAlignment="1">
      <alignment horizontal="center"/>
      <protection/>
    </xf>
    <xf numFmtId="0" fontId="0" fillId="0" borderId="13" xfId="20" applyFont="1" applyBorder="1">
      <alignment/>
      <protection/>
    </xf>
    <xf numFmtId="0" fontId="6" fillId="0" borderId="8" xfId="20" applyFont="1" applyBorder="1" applyAlignment="1">
      <alignment/>
      <protection/>
    </xf>
    <xf numFmtId="0" fontId="5" fillId="0" borderId="0" xfId="20" applyFont="1" applyBorder="1">
      <alignment/>
      <protection/>
    </xf>
    <xf numFmtId="0" fontId="0" fillId="0" borderId="14" xfId="20" applyBorder="1">
      <alignment/>
      <protection/>
    </xf>
    <xf numFmtId="0" fontId="0" fillId="0" borderId="10" xfId="20" applyBorder="1">
      <alignment/>
      <protection/>
    </xf>
    <xf numFmtId="0" fontId="2" fillId="0" borderId="10" xfId="20" applyFont="1" applyBorder="1" applyAlignment="1">
      <alignment horizontal="right" vertical="center" wrapText="1"/>
      <protection/>
    </xf>
    <xf numFmtId="0" fontId="2" fillId="0" borderId="15" xfId="20" applyFont="1" applyBorder="1" applyAlignment="1">
      <alignment vertical="center"/>
      <protection/>
    </xf>
    <xf numFmtId="0" fontId="2" fillId="0" borderId="10" xfId="20" applyFont="1" applyBorder="1">
      <alignment/>
      <protection/>
    </xf>
    <xf numFmtId="0" fontId="2" fillId="0" borderId="10" xfId="20" applyFont="1" applyBorder="1" applyAlignment="1">
      <alignment vertical="center"/>
      <protection/>
    </xf>
    <xf numFmtId="0" fontId="4" fillId="0" borderId="4" xfId="20" applyFont="1" applyBorder="1">
      <alignment/>
      <protection/>
    </xf>
    <xf numFmtId="0" fontId="2" fillId="0" borderId="14" xfId="20" applyFont="1" applyBorder="1">
      <alignment/>
      <protection/>
    </xf>
    <xf numFmtId="0" fontId="5" fillId="0" borderId="10" xfId="20" applyFont="1" applyBorder="1">
      <alignment/>
      <protection/>
    </xf>
    <xf numFmtId="0" fontId="0" fillId="0" borderId="15" xfId="20" applyBorder="1">
      <alignment/>
      <protection/>
    </xf>
    <xf numFmtId="0" fontId="2" fillId="0" borderId="10" xfId="20" applyFont="1" applyBorder="1">
      <alignment/>
      <protection/>
    </xf>
    <xf numFmtId="0" fontId="5" fillId="0" borderId="14" xfId="20" applyFont="1" applyBorder="1">
      <alignment/>
      <protection/>
    </xf>
    <xf numFmtId="0" fontId="5" fillId="0" borderId="6" xfId="20" applyFont="1" applyBorder="1" applyAlignment="1">
      <alignment horizontal="right" vertical="center"/>
      <protection/>
    </xf>
    <xf numFmtId="0" fontId="5" fillId="0" borderId="16" xfId="20" applyFont="1" applyBorder="1" applyAlignment="1">
      <alignment horizontal="right" vertical="center"/>
      <protection/>
    </xf>
    <xf numFmtId="0" fontId="2" fillId="0" borderId="16" xfId="20" applyFont="1" applyBorder="1">
      <alignment/>
      <protection/>
    </xf>
    <xf numFmtId="0" fontId="4" fillId="0" borderId="6" xfId="20" applyFont="1" applyBorder="1">
      <alignment/>
      <protection/>
    </xf>
    <xf numFmtId="0" fontId="4" fillId="0" borderId="10" xfId="20" applyFont="1" applyBorder="1" applyAlignment="1">
      <alignment horizontal="left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left" vertical="center" wrapText="1"/>
      <protection/>
    </xf>
    <xf numFmtId="0" fontId="2" fillId="0" borderId="15" xfId="20" applyFont="1" applyBorder="1" applyAlignment="1">
      <alignment horizontal="right" vertical="center" wrapText="1"/>
      <protection/>
    </xf>
    <xf numFmtId="0" fontId="5" fillId="0" borderId="15" xfId="20" applyFont="1" applyBorder="1">
      <alignment/>
      <protection/>
    </xf>
    <xf numFmtId="0" fontId="5" fillId="0" borderId="18" xfId="20" applyFont="1" applyBorder="1" applyAlignment="1">
      <alignment horizontal="right" vertical="center"/>
      <protection/>
    </xf>
    <xf numFmtId="0" fontId="2" fillId="0" borderId="15" xfId="20" applyFont="1" applyBorder="1">
      <alignment/>
      <protection/>
    </xf>
    <xf numFmtId="0" fontId="2" fillId="0" borderId="18" xfId="20" applyFont="1" applyBorder="1">
      <alignment/>
      <protection/>
    </xf>
    <xf numFmtId="0" fontId="4" fillId="0" borderId="6" xfId="20" applyFont="1" applyBorder="1">
      <alignment/>
      <protection/>
    </xf>
    <xf numFmtId="0" fontId="2" fillId="0" borderId="0" xfId="20" applyFont="1" applyBorder="1" applyAlignment="1">
      <alignment vertical="center"/>
      <protection/>
    </xf>
    <xf numFmtId="0" fontId="4" fillId="0" borderId="14" xfId="20" applyFont="1" applyBorder="1" applyAlignment="1">
      <alignment horizontal="left" vertical="center" wrapText="1"/>
      <protection/>
    </xf>
    <xf numFmtId="0" fontId="2" fillId="0" borderId="19" xfId="20" applyFont="1" applyBorder="1">
      <alignment/>
      <protection/>
    </xf>
    <xf numFmtId="0" fontId="5" fillId="0" borderId="11" xfId="20" applyFont="1" applyBorder="1" applyAlignment="1">
      <alignment horizontal="right" vertical="center"/>
      <protection/>
    </xf>
    <xf numFmtId="0" fontId="0" fillId="0" borderId="0" xfId="20" applyFont="1" applyAlignment="1">
      <alignment wrapText="1"/>
      <protection/>
    </xf>
    <xf numFmtId="3" fontId="6" fillId="0" borderId="6" xfId="20" applyNumberFormat="1" applyFont="1" applyBorder="1" applyAlignment="1">
      <alignment horizontal="center" vertical="center"/>
      <protection/>
    </xf>
    <xf numFmtId="3" fontId="6" fillId="0" borderId="14" xfId="20" applyNumberFormat="1" applyFont="1" applyBorder="1" applyAlignment="1">
      <alignment horizontal="center" vertical="center"/>
      <protection/>
    </xf>
    <xf numFmtId="3" fontId="6" fillId="0" borderId="10" xfId="20" applyNumberFormat="1" applyFont="1" applyBorder="1" applyAlignment="1">
      <alignment horizontal="center" vertical="center"/>
      <protection/>
    </xf>
    <xf numFmtId="3" fontId="0" fillId="0" borderId="11" xfId="20" applyNumberFormat="1" applyFont="1" applyBorder="1">
      <alignment/>
      <protection/>
    </xf>
    <xf numFmtId="3" fontId="0" fillId="0" borderId="16" xfId="20" applyNumberFormat="1" applyFont="1" applyBorder="1">
      <alignment/>
      <protection/>
    </xf>
    <xf numFmtId="3" fontId="6" fillId="0" borderId="18" xfId="20" applyNumberFormat="1" applyFont="1" applyBorder="1">
      <alignment/>
      <protection/>
    </xf>
    <xf numFmtId="3" fontId="6" fillId="0" borderId="11" xfId="20" applyNumberFormat="1" applyFont="1" applyBorder="1">
      <alignment/>
      <protection/>
    </xf>
    <xf numFmtId="0" fontId="21" fillId="0" borderId="7" xfId="19" applyFont="1" applyBorder="1" applyAlignment="1">
      <alignment horizontal="left"/>
      <protection/>
    </xf>
    <xf numFmtId="0" fontId="24" fillId="0" borderId="0" xfId="19" applyFont="1" applyBorder="1" applyAlignment="1">
      <alignment horizontal="right"/>
      <protection/>
    </xf>
    <xf numFmtId="0" fontId="0" fillId="0" borderId="0" xfId="0" applyAlignment="1">
      <alignment/>
    </xf>
    <xf numFmtId="3" fontId="2" fillId="0" borderId="9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4" fillId="0" borderId="8" xfId="0" applyNumberFormat="1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 vertical="center" wrapText="1"/>
    </xf>
    <xf numFmtId="0" fontId="18" fillId="0" borderId="0" xfId="20" applyFont="1" applyAlignment="1">
      <alignment horizontal="center" vertical="center"/>
      <protection/>
    </xf>
    <xf numFmtId="3" fontId="2" fillId="0" borderId="0" xfId="20" applyNumberFormat="1" applyFont="1">
      <alignment/>
      <protection/>
    </xf>
    <xf numFmtId="0" fontId="2" fillId="0" borderId="6" xfId="20" applyFont="1" applyBorder="1" applyAlignment="1">
      <alignment horizontal="center"/>
      <protection/>
    </xf>
    <xf numFmtId="3" fontId="2" fillId="0" borderId="6" xfId="20" applyNumberFormat="1" applyFont="1" applyBorder="1" applyAlignment="1">
      <alignment horizontal="center"/>
      <protection/>
    </xf>
    <xf numFmtId="0" fontId="4" fillId="0" borderId="4" xfId="20" applyFont="1" applyBorder="1" applyAlignment="1">
      <alignment horizontal="center" vertical="center"/>
      <protection/>
    </xf>
    <xf numFmtId="3" fontId="4" fillId="0" borderId="6" xfId="20" applyNumberFormat="1" applyFont="1" applyBorder="1" applyAlignment="1">
      <alignment horizontal="center" vertical="center"/>
      <protection/>
    </xf>
    <xf numFmtId="3" fontId="4" fillId="0" borderId="6" xfId="20" applyNumberFormat="1" applyFont="1" applyBorder="1" applyAlignment="1">
      <alignment horizontal="center" vertical="center" wrapText="1"/>
      <protection/>
    </xf>
    <xf numFmtId="3" fontId="2" fillId="0" borderId="16" xfId="20" applyNumberFormat="1" applyFont="1" applyBorder="1">
      <alignment/>
      <protection/>
    </xf>
    <xf numFmtId="0" fontId="2" fillId="0" borderId="10" xfId="20" applyFont="1" applyFill="1" applyBorder="1">
      <alignment/>
      <protection/>
    </xf>
    <xf numFmtId="3" fontId="2" fillId="0" borderId="16" xfId="20" applyNumberFormat="1" applyFont="1" applyFill="1" applyBorder="1">
      <alignment/>
      <protection/>
    </xf>
    <xf numFmtId="3" fontId="2" fillId="0" borderId="18" xfId="20" applyNumberFormat="1" applyFont="1" applyBorder="1">
      <alignment/>
      <protection/>
    </xf>
    <xf numFmtId="0" fontId="4" fillId="0" borderId="14" xfId="20" applyFont="1" applyBorder="1">
      <alignment/>
      <protection/>
    </xf>
    <xf numFmtId="3" fontId="4" fillId="0" borderId="6" xfId="20" applyNumberFormat="1" applyFont="1" applyBorder="1">
      <alignment/>
      <protection/>
    </xf>
    <xf numFmtId="0" fontId="3" fillId="0" borderId="10" xfId="20" applyFont="1" applyBorder="1">
      <alignment/>
      <protection/>
    </xf>
    <xf numFmtId="3" fontId="2" fillId="0" borderId="10" xfId="20" applyNumberFormat="1" applyFont="1" applyBorder="1">
      <alignment/>
      <protection/>
    </xf>
    <xf numFmtId="3" fontId="4" fillId="0" borderId="18" xfId="20" applyNumberFormat="1" applyFont="1" applyBorder="1">
      <alignment/>
      <protection/>
    </xf>
    <xf numFmtId="3" fontId="4" fillId="0" borderId="14" xfId="20" applyNumberFormat="1" applyFont="1" applyBorder="1">
      <alignment/>
      <protection/>
    </xf>
    <xf numFmtId="3" fontId="4" fillId="0" borderId="11" xfId="20" applyNumberFormat="1" applyFont="1" applyBorder="1">
      <alignment/>
      <protection/>
    </xf>
    <xf numFmtId="0" fontId="4" fillId="0" borderId="10" xfId="20" applyFont="1" applyBorder="1">
      <alignment/>
      <protection/>
    </xf>
    <xf numFmtId="3" fontId="4" fillId="0" borderId="10" xfId="20" applyNumberFormat="1" applyFont="1" applyBorder="1">
      <alignment/>
      <protection/>
    </xf>
    <xf numFmtId="3" fontId="4" fillId="0" borderId="16" xfId="20" applyNumberFormat="1" applyFont="1" applyBorder="1">
      <alignment/>
      <protection/>
    </xf>
    <xf numFmtId="3" fontId="4" fillId="0" borderId="7" xfId="20" applyNumberFormat="1" applyFont="1" applyBorder="1" applyAlignment="1">
      <alignment horizontal="center" vertical="center" wrapText="1"/>
      <protection/>
    </xf>
    <xf numFmtId="3" fontId="2" fillId="0" borderId="0" xfId="20" applyNumberFormat="1" applyFont="1" applyBorder="1">
      <alignment/>
      <protection/>
    </xf>
    <xf numFmtId="3" fontId="4" fillId="0" borderId="19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4" fillId="0" borderId="8" xfId="20" applyNumberFormat="1" applyFont="1" applyBorder="1">
      <alignment/>
      <protection/>
    </xf>
    <xf numFmtId="3" fontId="4" fillId="0" borderId="7" xfId="20" applyNumberFormat="1" applyFont="1" applyBorder="1">
      <alignment/>
      <protection/>
    </xf>
    <xf numFmtId="3" fontId="2" fillId="0" borderId="7" xfId="20" applyNumberFormat="1" applyFont="1" applyBorder="1" applyAlignment="1">
      <alignment horizontal="center"/>
      <protection/>
    </xf>
    <xf numFmtId="3" fontId="2" fillId="0" borderId="7" xfId="20" applyNumberFormat="1" applyFont="1" applyBorder="1">
      <alignment/>
      <protection/>
    </xf>
    <xf numFmtId="0" fontId="14" fillId="0" borderId="10" xfId="0" applyFont="1" applyBorder="1" applyAlignment="1">
      <alignment/>
    </xf>
    <xf numFmtId="3" fontId="3" fillId="0" borderId="10" xfId="20" applyNumberFormat="1" applyFont="1" applyBorder="1">
      <alignment/>
      <protection/>
    </xf>
    <xf numFmtId="0" fontId="17" fillId="0" borderId="10" xfId="20" applyFont="1" applyBorder="1">
      <alignment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vertical="top"/>
      <protection/>
    </xf>
    <xf numFmtId="0" fontId="8" fillId="0" borderId="0" xfId="20" applyFont="1">
      <alignment/>
      <protection/>
    </xf>
    <xf numFmtId="0" fontId="5" fillId="0" borderId="0" xfId="20" applyFont="1" applyBorder="1" applyAlignment="1">
      <alignment horizontal="center" vertical="center" wrapText="1"/>
      <protection/>
    </xf>
    <xf numFmtId="0" fontId="8" fillId="0" borderId="0" xfId="20" applyFont="1" applyBorder="1" applyAlignment="1">
      <alignment horizontal="center" vertical="top" wrapText="1"/>
      <protection/>
    </xf>
    <xf numFmtId="0" fontId="9" fillId="0" borderId="0" xfId="20" applyFont="1" applyAlignment="1">
      <alignment horizontal="left"/>
      <protection/>
    </xf>
    <xf numFmtId="0" fontId="8" fillId="0" borderId="0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Border="1" applyAlignment="1">
      <alignment/>
      <protection/>
    </xf>
    <xf numFmtId="0" fontId="5" fillId="0" borderId="0" xfId="20" applyFont="1" applyBorder="1" applyAlignment="1">
      <alignment vertical="top" wrapText="1"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vertical="center" wrapText="1"/>
      <protection/>
    </xf>
    <xf numFmtId="0" fontId="5" fillId="0" borderId="0" xfId="20" applyFont="1" applyAlignment="1">
      <alignment horizontal="right" vertical="center" wrapText="1"/>
      <protection/>
    </xf>
    <xf numFmtId="0" fontId="8" fillId="0" borderId="0" xfId="20" applyFont="1" applyAlignment="1">
      <alignment horizontal="center" vertical="top"/>
      <protection/>
    </xf>
    <xf numFmtId="0" fontId="8" fillId="0" borderId="0" xfId="20" applyFont="1" applyBorder="1" applyAlignment="1">
      <alignment vertical="top"/>
      <protection/>
    </xf>
    <xf numFmtId="3" fontId="8" fillId="0" borderId="0" xfId="20" applyNumberFormat="1" applyFont="1">
      <alignment/>
      <protection/>
    </xf>
    <xf numFmtId="0" fontId="5" fillId="0" borderId="7" xfId="20" applyFont="1" applyBorder="1" applyAlignment="1">
      <alignment horizontal="center"/>
      <protection/>
    </xf>
    <xf numFmtId="0" fontId="5" fillId="0" borderId="7" xfId="20" applyFont="1" applyBorder="1" applyAlignment="1">
      <alignment vertical="top"/>
      <protection/>
    </xf>
    <xf numFmtId="3" fontId="5" fillId="0" borderId="7" xfId="20" applyNumberFormat="1" applyFont="1" applyBorder="1" applyAlignment="1">
      <alignment vertical="center" wrapText="1"/>
      <protection/>
    </xf>
    <xf numFmtId="0" fontId="5" fillId="0" borderId="7" xfId="20" applyFont="1" applyBorder="1">
      <alignment/>
      <protection/>
    </xf>
    <xf numFmtId="3" fontId="5" fillId="0" borderId="7" xfId="20" applyNumberFormat="1" applyFont="1" applyBorder="1">
      <alignment/>
      <protection/>
    </xf>
    <xf numFmtId="0" fontId="5" fillId="0" borderId="8" xfId="20" applyFont="1" applyBorder="1" applyAlignment="1">
      <alignment horizontal="center"/>
      <protection/>
    </xf>
    <xf numFmtId="0" fontId="5" fillId="0" borderId="8" xfId="20" applyFont="1" applyBorder="1" applyAlignment="1">
      <alignment vertical="top"/>
      <protection/>
    </xf>
    <xf numFmtId="3" fontId="5" fillId="0" borderId="8" xfId="20" applyNumberFormat="1" applyFont="1" applyBorder="1" applyAlignment="1">
      <alignment vertical="center" wrapText="1"/>
      <protection/>
    </xf>
    <xf numFmtId="0" fontId="5" fillId="0" borderId="8" xfId="20" applyFont="1" applyBorder="1">
      <alignment/>
      <protection/>
    </xf>
    <xf numFmtId="0" fontId="5" fillId="0" borderId="0" xfId="20" applyFont="1" applyBorder="1" applyAlignment="1">
      <alignment vertical="top"/>
      <protection/>
    </xf>
    <xf numFmtId="3" fontId="5" fillId="0" borderId="0" xfId="20" applyNumberFormat="1" applyFont="1" applyBorder="1" applyAlignment="1">
      <alignment vertical="center" wrapText="1"/>
      <protection/>
    </xf>
    <xf numFmtId="3" fontId="5" fillId="0" borderId="19" xfId="20" applyNumberFormat="1" applyFont="1" applyBorder="1">
      <alignment/>
      <protection/>
    </xf>
    <xf numFmtId="0" fontId="8" fillId="0" borderId="0" xfId="20" applyFont="1" applyBorder="1">
      <alignment/>
      <protection/>
    </xf>
    <xf numFmtId="3" fontId="8" fillId="0" borderId="0" xfId="20" applyNumberFormat="1" applyFont="1" applyBorder="1">
      <alignment/>
      <protection/>
    </xf>
    <xf numFmtId="0" fontId="8" fillId="0" borderId="0" xfId="20" applyFont="1" applyBorder="1" applyAlignment="1">
      <alignment horizontal="center" vertical="top"/>
      <protection/>
    </xf>
    <xf numFmtId="0" fontId="8" fillId="0" borderId="0" xfId="20" applyFont="1" applyFill="1" applyBorder="1">
      <alignment/>
      <protection/>
    </xf>
    <xf numFmtId="0" fontId="5" fillId="0" borderId="0" xfId="20" applyFont="1" applyBorder="1" applyAlignment="1">
      <alignment horizontal="center"/>
      <protection/>
    </xf>
    <xf numFmtId="3" fontId="8" fillId="0" borderId="0" xfId="20" applyNumberFormat="1" applyFont="1" applyBorder="1" applyAlignment="1">
      <alignment vertical="center"/>
      <protection/>
    </xf>
    <xf numFmtId="0" fontId="8" fillId="0" borderId="7" xfId="20" applyFont="1" applyBorder="1" applyAlignment="1">
      <alignment horizontal="center"/>
      <protection/>
    </xf>
    <xf numFmtId="0" fontId="9" fillId="0" borderId="0" xfId="20" applyFont="1" applyBorder="1" applyAlignment="1">
      <alignment vertical="top"/>
      <protection/>
    </xf>
    <xf numFmtId="3" fontId="5" fillId="0" borderId="0" xfId="20" applyNumberFormat="1" applyFont="1">
      <alignment/>
      <protection/>
    </xf>
    <xf numFmtId="0" fontId="25" fillId="0" borderId="0" xfId="0" applyFont="1" applyAlignment="1">
      <alignment/>
    </xf>
    <xf numFmtId="0" fontId="8" fillId="0" borderId="0" xfId="20" applyFont="1">
      <alignment/>
      <protection/>
    </xf>
    <xf numFmtId="3" fontId="5" fillId="0" borderId="7" xfId="20" applyNumberFormat="1" applyFont="1" applyBorder="1" applyAlignment="1">
      <alignment vertical="center"/>
      <protection/>
    </xf>
    <xf numFmtId="0" fontId="8" fillId="0" borderId="0" xfId="20" applyFont="1" applyAlignment="1">
      <alignment/>
      <protection/>
    </xf>
    <xf numFmtId="0" fontId="8" fillId="0" borderId="0" xfId="20" applyFont="1" applyBorder="1" applyAlignment="1">
      <alignment horizontal="center"/>
      <protection/>
    </xf>
    <xf numFmtId="0" fontId="8" fillId="0" borderId="0" xfId="20" applyFont="1" applyBorder="1" applyAlignment="1">
      <alignment/>
      <protection/>
    </xf>
    <xf numFmtId="0" fontId="8" fillId="0" borderId="8" xfId="20" applyFont="1" applyBorder="1" applyAlignment="1">
      <alignment horizontal="center"/>
      <protection/>
    </xf>
    <xf numFmtId="0" fontId="8" fillId="0" borderId="8" xfId="20" applyFont="1" applyBorder="1" applyAlignment="1">
      <alignment vertical="top"/>
      <protection/>
    </xf>
    <xf numFmtId="0" fontId="8" fillId="0" borderId="8" xfId="20" applyFont="1" applyBorder="1" applyAlignment="1">
      <alignment/>
      <protection/>
    </xf>
    <xf numFmtId="0" fontId="8" fillId="0" borderId="8" xfId="20" applyFont="1" applyBorder="1">
      <alignment/>
      <protection/>
    </xf>
    <xf numFmtId="3" fontId="8" fillId="0" borderId="8" xfId="20" applyNumberFormat="1" applyFont="1" applyBorder="1">
      <alignment/>
      <protection/>
    </xf>
    <xf numFmtId="3" fontId="5" fillId="0" borderId="0" xfId="20" applyNumberFormat="1" applyFont="1" applyBorder="1">
      <alignment/>
      <protection/>
    </xf>
    <xf numFmtId="0" fontId="5" fillId="0" borderId="7" xfId="20" applyFont="1" applyBorder="1" applyAlignment="1">
      <alignment/>
      <protection/>
    </xf>
    <xf numFmtId="16" fontId="8" fillId="0" borderId="0" xfId="20" applyNumberFormat="1" applyFont="1" applyBorder="1" applyAlignment="1">
      <alignment vertical="top"/>
      <protection/>
    </xf>
    <xf numFmtId="16" fontId="8" fillId="0" borderId="8" xfId="20" applyNumberFormat="1" applyFont="1" applyBorder="1" applyAlignment="1">
      <alignment vertical="top"/>
      <protection/>
    </xf>
    <xf numFmtId="3" fontId="5" fillId="0" borderId="8" xfId="20" applyNumberFormat="1" applyFont="1" applyBorder="1">
      <alignment/>
      <protection/>
    </xf>
    <xf numFmtId="0" fontId="8" fillId="0" borderId="8" xfId="20" applyFont="1" applyBorder="1" applyAlignment="1">
      <alignment horizontal="center" vertical="center" wrapText="1"/>
      <protection/>
    </xf>
    <xf numFmtId="2" fontId="5" fillId="0" borderId="0" xfId="20" applyNumberFormat="1" applyFont="1" applyAlignment="1">
      <alignment horizontal="center" vertical="center" wrapText="1"/>
      <protection/>
    </xf>
    <xf numFmtId="3" fontId="8" fillId="0" borderId="7" xfId="20" applyNumberFormat="1" applyFont="1" applyBorder="1">
      <alignment/>
      <protection/>
    </xf>
    <xf numFmtId="3" fontId="19" fillId="0" borderId="17" xfId="19" applyNumberFormat="1" applyFont="1" applyFill="1" applyBorder="1">
      <alignment/>
      <protection/>
    </xf>
    <xf numFmtId="0" fontId="21" fillId="0" borderId="15" xfId="19" applyFont="1" applyBorder="1">
      <alignment/>
      <protection/>
    </xf>
    <xf numFmtId="0" fontId="19" fillId="0" borderId="5" xfId="19" applyFont="1" applyBorder="1" applyAlignment="1">
      <alignment horizontal="left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4" fillId="0" borderId="8" xfId="0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/>
    </xf>
    <xf numFmtId="164" fontId="16" fillId="0" borderId="0" xfId="0" applyNumberFormat="1" applyFont="1" applyAlignment="1">
      <alignment horizontal="center"/>
    </xf>
    <xf numFmtId="3" fontId="16" fillId="0" borderId="8" xfId="0" applyNumberFormat="1" applyFont="1" applyBorder="1" applyAlignment="1">
      <alignment/>
    </xf>
    <xf numFmtId="0" fontId="14" fillId="0" borderId="8" xfId="0" applyFont="1" applyFill="1" applyBorder="1" applyAlignment="1">
      <alignment/>
    </xf>
    <xf numFmtId="0" fontId="4" fillId="0" borderId="7" xfId="20" applyFont="1" applyBorder="1" applyAlignment="1">
      <alignment horizontal="left" vertical="center"/>
      <protection/>
    </xf>
    <xf numFmtId="0" fontId="4" fillId="0" borderId="5" xfId="20" applyFont="1" applyBorder="1" applyAlignment="1">
      <alignment horizontal="left" vertical="center"/>
      <protection/>
    </xf>
    <xf numFmtId="0" fontId="4" fillId="0" borderId="7" xfId="20" applyFont="1" applyBorder="1" applyAlignment="1">
      <alignment horizontal="left" vertical="center" wrapText="1"/>
      <protection/>
    </xf>
    <xf numFmtId="0" fontId="4" fillId="0" borderId="5" xfId="20" applyFont="1" applyBorder="1" applyAlignment="1">
      <alignment horizontal="left" vertical="center" wrapText="1"/>
      <protection/>
    </xf>
    <xf numFmtId="3" fontId="18" fillId="0" borderId="0" xfId="20" applyNumberFormat="1" applyFont="1">
      <alignment/>
      <protection/>
    </xf>
    <xf numFmtId="3" fontId="17" fillId="0" borderId="0" xfId="20" applyNumberFormat="1" applyFont="1">
      <alignment/>
      <protection/>
    </xf>
    <xf numFmtId="3" fontId="5" fillId="0" borderId="0" xfId="20" applyNumberFormat="1" applyFont="1" applyAlignment="1">
      <alignment horizontal="center" vertical="center"/>
      <protection/>
    </xf>
    <xf numFmtId="0" fontId="4" fillId="0" borderId="0" xfId="20" applyFont="1" applyBorder="1" applyAlignment="1">
      <alignment horizontal="center"/>
      <protection/>
    </xf>
    <xf numFmtId="0" fontId="0" fillId="0" borderId="19" xfId="20" applyBorder="1">
      <alignment/>
      <protection/>
    </xf>
    <xf numFmtId="0" fontId="2" fillId="0" borderId="8" xfId="20" applyFont="1" applyBorder="1" applyAlignment="1">
      <alignment horizontal="right" vertical="center" wrapText="1"/>
      <protection/>
    </xf>
    <xf numFmtId="0" fontId="8" fillId="0" borderId="16" xfId="20" applyFont="1" applyBorder="1">
      <alignment/>
      <protection/>
    </xf>
    <xf numFmtId="0" fontId="5" fillId="0" borderId="16" xfId="20" applyFont="1" applyBorder="1">
      <alignment/>
      <protection/>
    </xf>
    <xf numFmtId="0" fontId="5" fillId="0" borderId="17" xfId="20" applyFont="1" applyBorder="1">
      <alignment/>
      <protection/>
    </xf>
    <xf numFmtId="0" fontId="5" fillId="0" borderId="17" xfId="20" applyFont="1" applyBorder="1">
      <alignment/>
      <protection/>
    </xf>
    <xf numFmtId="0" fontId="2" fillId="0" borderId="17" xfId="20" applyFont="1" applyBorder="1">
      <alignment/>
      <protection/>
    </xf>
    <xf numFmtId="0" fontId="4" fillId="0" borderId="5" xfId="20" applyFont="1" applyBorder="1">
      <alignment/>
      <protection/>
    </xf>
    <xf numFmtId="0" fontId="5" fillId="0" borderId="18" xfId="20" applyFont="1" applyBorder="1">
      <alignment/>
      <protection/>
    </xf>
    <xf numFmtId="0" fontId="5" fillId="0" borderId="13" xfId="20" applyFont="1" applyBorder="1">
      <alignment/>
      <protection/>
    </xf>
    <xf numFmtId="0" fontId="5" fillId="0" borderId="6" xfId="20" applyFont="1" applyBorder="1">
      <alignment/>
      <protection/>
    </xf>
    <xf numFmtId="0" fontId="5" fillId="0" borderId="5" xfId="20" applyFont="1" applyBorder="1">
      <alignment/>
      <protection/>
    </xf>
    <xf numFmtId="0" fontId="2" fillId="0" borderId="16" xfId="20" applyFont="1" applyBorder="1">
      <alignment/>
      <protection/>
    </xf>
    <xf numFmtId="0" fontId="8" fillId="0" borderId="18" xfId="20" applyFont="1" applyBorder="1">
      <alignment/>
      <protection/>
    </xf>
    <xf numFmtId="0" fontId="5" fillId="0" borderId="13" xfId="20" applyFont="1" applyBorder="1">
      <alignment/>
      <protection/>
    </xf>
    <xf numFmtId="0" fontId="2" fillId="0" borderId="6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2" fillId="0" borderId="18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6" xfId="20" applyFont="1" applyBorder="1">
      <alignment/>
      <protection/>
    </xf>
    <xf numFmtId="0" fontId="4" fillId="0" borderId="5" xfId="20" applyFont="1" applyBorder="1">
      <alignment/>
      <protection/>
    </xf>
    <xf numFmtId="0" fontId="2" fillId="0" borderId="4" xfId="20" applyFont="1" applyBorder="1" applyAlignment="1">
      <alignment horizontal="center" vertical="center" wrapText="1"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 applyAlignment="1">
      <alignment/>
      <protection/>
    </xf>
    <xf numFmtId="3" fontId="8" fillId="0" borderId="7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2" fillId="0" borderId="5" xfId="20" applyNumberFormat="1" applyFont="1" applyBorder="1" applyAlignment="1">
      <alignment horizontal="center"/>
      <protection/>
    </xf>
    <xf numFmtId="3" fontId="2" fillId="0" borderId="17" xfId="20" applyNumberFormat="1" applyFont="1" applyBorder="1">
      <alignment/>
      <protection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8" fillId="0" borderId="8" xfId="20" applyNumberFormat="1" applyFont="1" applyBorder="1" applyAlignment="1">
      <alignment horizontal="center"/>
      <protection/>
    </xf>
    <xf numFmtId="3" fontId="2" fillId="0" borderId="0" xfId="20" applyNumberFormat="1" applyFont="1">
      <alignment/>
      <protection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0" xfId="20" applyNumberFormat="1" applyFont="1">
      <alignment/>
      <protection/>
    </xf>
    <xf numFmtId="0" fontId="4" fillId="0" borderId="14" xfId="20" applyFont="1" applyBorder="1">
      <alignment/>
      <protection/>
    </xf>
    <xf numFmtId="0" fontId="18" fillId="0" borderId="0" xfId="20" applyFont="1">
      <alignment/>
      <protection/>
    </xf>
    <xf numFmtId="3" fontId="2" fillId="0" borderId="8" xfId="20" applyNumberFormat="1" applyFont="1" applyBorder="1">
      <alignment/>
      <protection/>
    </xf>
    <xf numFmtId="0" fontId="4" fillId="0" borderId="15" xfId="20" applyFont="1" applyBorder="1">
      <alignment/>
      <protection/>
    </xf>
    <xf numFmtId="0" fontId="4" fillId="0" borderId="4" xfId="20" applyFont="1" applyBorder="1">
      <alignment/>
      <protection/>
    </xf>
    <xf numFmtId="0" fontId="5" fillId="0" borderId="8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7" xfId="20" applyNumberFormat="1" applyFont="1" applyBorder="1">
      <alignment/>
      <protection/>
    </xf>
    <xf numFmtId="3" fontId="4" fillId="0" borderId="8" xfId="20" applyNumberFormat="1" applyFont="1" applyBorder="1">
      <alignment/>
      <protection/>
    </xf>
    <xf numFmtId="3" fontId="0" fillId="0" borderId="6" xfId="20" applyNumberFormat="1" applyFont="1" applyBorder="1" applyAlignment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8" fillId="0" borderId="7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2" fillId="0" borderId="11" xfId="20" applyNumberFormat="1" applyFont="1" applyBorder="1">
      <alignment/>
      <protection/>
    </xf>
    <xf numFmtId="3" fontId="2" fillId="0" borderId="4" xfId="20" applyNumberFormat="1" applyFont="1" applyBorder="1" applyAlignment="1">
      <alignment horizontal="center"/>
      <protection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4" xfId="20" applyNumberFormat="1" applyFont="1" applyBorder="1">
      <alignment/>
      <protection/>
    </xf>
    <xf numFmtId="3" fontId="4" fillId="0" borderId="15" xfId="20" applyNumberFormat="1" applyFont="1" applyBorder="1">
      <alignment/>
      <protection/>
    </xf>
    <xf numFmtId="3" fontId="8" fillId="0" borderId="7" xfId="20" applyNumberFormat="1" applyFont="1" applyBorder="1" applyAlignment="1">
      <alignment horizontal="center"/>
      <protection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20" applyFont="1" applyBorder="1">
      <alignment/>
      <protection/>
    </xf>
    <xf numFmtId="0" fontId="5" fillId="0" borderId="19" xfId="20" applyFont="1" applyBorder="1">
      <alignment/>
      <protection/>
    </xf>
    <xf numFmtId="0" fontId="5" fillId="0" borderId="8" xfId="20" applyFont="1" applyBorder="1">
      <alignment/>
      <protection/>
    </xf>
    <xf numFmtId="0" fontId="5" fillId="0" borderId="18" xfId="20" applyFont="1" applyBorder="1">
      <alignment/>
      <protection/>
    </xf>
    <xf numFmtId="0" fontId="4" fillId="0" borderId="6" xfId="20" applyFont="1" applyBorder="1" applyAlignment="1">
      <alignment horizontal="left" vertical="center"/>
      <protection/>
    </xf>
    <xf numFmtId="3" fontId="2" fillId="0" borderId="10" xfId="20" applyNumberFormat="1" applyFont="1" applyBorder="1">
      <alignment/>
      <protection/>
    </xf>
    <xf numFmtId="0" fontId="2" fillId="0" borderId="0" xfId="20" applyFont="1">
      <alignment/>
      <protection/>
    </xf>
    <xf numFmtId="3" fontId="3" fillId="0" borderId="0" xfId="20" applyNumberFormat="1" applyFont="1" applyBorder="1" applyAlignment="1">
      <alignment horizontal="right"/>
      <protection/>
    </xf>
    <xf numFmtId="0" fontId="2" fillId="0" borderId="0" xfId="20" applyFont="1" applyBorder="1">
      <alignment/>
      <protection/>
    </xf>
    <xf numFmtId="3" fontId="2" fillId="0" borderId="0" xfId="20" applyNumberFormat="1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right"/>
      <protection/>
    </xf>
    <xf numFmtId="3" fontId="4" fillId="0" borderId="6" xfId="20" applyNumberFormat="1" applyFont="1" applyBorder="1" applyAlignment="1">
      <alignment horizontal="right" vertical="center"/>
      <protection/>
    </xf>
    <xf numFmtId="0" fontId="4" fillId="0" borderId="7" xfId="20" applyFont="1" applyBorder="1">
      <alignment/>
      <protection/>
    </xf>
    <xf numFmtId="0" fontId="4" fillId="0" borderId="8" xfId="20" applyFont="1" applyBorder="1">
      <alignment/>
      <protection/>
    </xf>
    <xf numFmtId="164" fontId="14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/>
    </xf>
    <xf numFmtId="3" fontId="14" fillId="0" borderId="0" xfId="0" applyNumberFormat="1" applyFont="1" applyFill="1" applyAlignment="1">
      <alignment/>
    </xf>
    <xf numFmtId="3" fontId="2" fillId="0" borderId="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0" fontId="21" fillId="0" borderId="0" xfId="19" applyFont="1" applyBorder="1" applyAlignment="1">
      <alignment horizontal="center"/>
      <protection/>
    </xf>
    <xf numFmtId="3" fontId="14" fillId="0" borderId="19" xfId="0" applyNumberFormat="1" applyFont="1" applyBorder="1" applyAlignment="1">
      <alignment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9" fillId="0" borderId="0" xfId="19" applyNumberFormat="1" applyFont="1">
      <alignment/>
      <protection/>
    </xf>
    <xf numFmtId="3" fontId="19" fillId="0" borderId="0" xfId="19" applyNumberFormat="1" applyFont="1" applyAlignment="1">
      <alignment horizontal="center"/>
      <protection/>
    </xf>
    <xf numFmtId="3" fontId="19" fillId="0" borderId="0" xfId="19" applyNumberFormat="1" applyFont="1" applyBorder="1" applyAlignment="1">
      <alignment horizontal="right"/>
      <protection/>
    </xf>
    <xf numFmtId="3" fontId="21" fillId="0" borderId="0" xfId="19" applyNumberFormat="1" applyFont="1" applyBorder="1" applyAlignment="1">
      <alignment horizontal="center"/>
      <protection/>
    </xf>
    <xf numFmtId="3" fontId="19" fillId="0" borderId="0" xfId="19" applyNumberFormat="1" applyFont="1" applyFill="1" applyBorder="1" applyAlignment="1">
      <alignment horizontal="right"/>
      <protection/>
    </xf>
    <xf numFmtId="3" fontId="19" fillId="0" borderId="4" xfId="19" applyNumberFormat="1" applyFont="1" applyBorder="1" applyAlignment="1">
      <alignment horizontal="right"/>
      <protection/>
    </xf>
    <xf numFmtId="0" fontId="26" fillId="0" borderId="0" xfId="19" applyFont="1">
      <alignment/>
      <protection/>
    </xf>
    <xf numFmtId="3" fontId="26" fillId="0" borderId="0" xfId="19" applyNumberFormat="1" applyFont="1">
      <alignment/>
      <protection/>
    </xf>
    <xf numFmtId="3" fontId="21" fillId="0" borderId="0" xfId="19" applyNumberFormat="1" applyFont="1">
      <alignment/>
      <protection/>
    </xf>
    <xf numFmtId="0" fontId="19" fillId="0" borderId="5" xfId="19" applyFont="1" applyFill="1" applyBorder="1">
      <alignment/>
      <protection/>
    </xf>
    <xf numFmtId="0" fontId="19" fillId="0" borderId="7" xfId="19" applyFont="1" applyBorder="1">
      <alignment/>
      <protection/>
    </xf>
    <xf numFmtId="3" fontId="19" fillId="0" borderId="4" xfId="19" applyNumberFormat="1" applyFont="1" applyFill="1" applyBorder="1">
      <alignment/>
      <protection/>
    </xf>
    <xf numFmtId="3" fontId="19" fillId="0" borderId="5" xfId="19" applyNumberFormat="1" applyFont="1" applyBorder="1">
      <alignment/>
      <protection/>
    </xf>
    <xf numFmtId="0" fontId="21" fillId="0" borderId="4" xfId="19" applyFont="1" applyFill="1" applyBorder="1" applyAlignment="1">
      <alignment horizontal="left"/>
      <protection/>
    </xf>
    <xf numFmtId="0" fontId="19" fillId="0" borderId="7" xfId="19" applyFont="1" applyFill="1" applyBorder="1" applyAlignment="1">
      <alignment horizontal="left"/>
      <protection/>
    </xf>
    <xf numFmtId="3" fontId="19" fillId="0" borderId="4" xfId="19" applyNumberFormat="1" applyFont="1" applyFill="1" applyBorder="1" applyAlignment="1">
      <alignment horizontal="left"/>
      <protection/>
    </xf>
    <xf numFmtId="0" fontId="21" fillId="0" borderId="15" xfId="19" applyFont="1" applyFill="1" applyBorder="1" applyAlignment="1">
      <alignment horizontal="left"/>
      <protection/>
    </xf>
    <xf numFmtId="0" fontId="19" fillId="0" borderId="7" xfId="19" applyFont="1" applyFill="1" applyBorder="1">
      <alignment/>
      <protection/>
    </xf>
    <xf numFmtId="3" fontId="19" fillId="0" borderId="17" xfId="19" applyNumberFormat="1" applyFont="1" applyBorder="1">
      <alignment/>
      <protection/>
    </xf>
    <xf numFmtId="0" fontId="19" fillId="0" borderId="8" xfId="19" applyFont="1" applyFill="1" applyBorder="1" applyAlignment="1">
      <alignment horizontal="left"/>
      <protection/>
    </xf>
    <xf numFmtId="0" fontId="19" fillId="0" borderId="8" xfId="19" applyFont="1" applyFill="1" applyBorder="1">
      <alignment/>
      <protection/>
    </xf>
    <xf numFmtId="3" fontId="19" fillId="0" borderId="15" xfId="19" applyNumberFormat="1" applyFont="1" applyFill="1" applyBorder="1">
      <alignment/>
      <protection/>
    </xf>
    <xf numFmtId="3" fontId="19" fillId="0" borderId="13" xfId="19" applyNumberFormat="1" applyFont="1" applyFill="1" applyBorder="1">
      <alignment/>
      <protection/>
    </xf>
    <xf numFmtId="0" fontId="21" fillId="0" borderId="20" xfId="19" applyFont="1" applyFill="1" applyBorder="1" applyAlignment="1">
      <alignment horizontal="left"/>
      <protection/>
    </xf>
    <xf numFmtId="3" fontId="19" fillId="0" borderId="21" xfId="19" applyNumberFormat="1" applyFont="1" applyFill="1" applyBorder="1">
      <alignment/>
      <protection/>
    </xf>
    <xf numFmtId="0" fontId="21" fillId="0" borderId="8" xfId="19" applyFont="1" applyFill="1" applyBorder="1" applyAlignment="1">
      <alignment horizontal="left"/>
      <protection/>
    </xf>
    <xf numFmtId="0" fontId="19" fillId="0" borderId="4" xfId="19" applyFont="1" applyFill="1" applyBorder="1" applyAlignment="1">
      <alignment horizontal="left"/>
      <protection/>
    </xf>
    <xf numFmtId="3" fontId="19" fillId="0" borderId="4" xfId="19" applyNumberFormat="1" applyFont="1" applyFill="1" applyBorder="1" applyAlignment="1">
      <alignment horizontal="right"/>
      <protection/>
    </xf>
    <xf numFmtId="0" fontId="28" fillId="0" borderId="7" xfId="19" applyFont="1" applyFill="1" applyBorder="1">
      <alignment/>
      <protection/>
    </xf>
    <xf numFmtId="3" fontId="28" fillId="0" borderId="4" xfId="19" applyNumberFormat="1" applyFont="1" applyFill="1" applyBorder="1">
      <alignment/>
      <protection/>
    </xf>
    <xf numFmtId="3" fontId="28" fillId="0" borderId="4" xfId="19" applyNumberFormat="1" applyFont="1" applyFill="1" applyBorder="1" applyAlignment="1">
      <alignment horizontal="right" wrapText="1"/>
      <protection/>
    </xf>
    <xf numFmtId="3" fontId="28" fillId="0" borderId="5" xfId="19" applyNumberFormat="1" applyFont="1" applyFill="1" applyBorder="1" applyAlignment="1">
      <alignment horizontal="right"/>
      <protection/>
    </xf>
    <xf numFmtId="3" fontId="28" fillId="0" borderId="14" xfId="19" applyNumberFormat="1" applyFont="1" applyFill="1" applyBorder="1" applyAlignment="1">
      <alignment horizontal="right" wrapText="1"/>
      <protection/>
    </xf>
    <xf numFmtId="3" fontId="28" fillId="0" borderId="12" xfId="19" applyNumberFormat="1" applyFont="1" applyFill="1" applyBorder="1" applyAlignment="1">
      <alignment horizontal="right"/>
      <protection/>
    </xf>
    <xf numFmtId="0" fontId="19" fillId="0" borderId="0" xfId="19" applyFont="1" applyFill="1">
      <alignment/>
      <protection/>
    </xf>
    <xf numFmtId="0" fontId="28" fillId="0" borderId="0" xfId="19" applyFont="1" applyFill="1" applyBorder="1">
      <alignment/>
      <protection/>
    </xf>
    <xf numFmtId="3" fontId="28" fillId="0" borderId="15" xfId="19" applyNumberFormat="1" applyFont="1" applyFill="1" applyBorder="1">
      <alignment/>
      <protection/>
    </xf>
    <xf numFmtId="3" fontId="19" fillId="0" borderId="12" xfId="22" applyNumberFormat="1" applyFont="1" applyFill="1" applyBorder="1">
      <alignment/>
      <protection/>
    </xf>
    <xf numFmtId="3" fontId="19" fillId="0" borderId="5" xfId="22" applyNumberFormat="1" applyFont="1" applyFill="1" applyBorder="1">
      <alignment/>
      <protection/>
    </xf>
    <xf numFmtId="3" fontId="19" fillId="0" borderId="15" xfId="19" applyNumberFormat="1" applyFont="1" applyFill="1" applyBorder="1" applyAlignment="1">
      <alignment horizontal="left"/>
      <protection/>
    </xf>
    <xf numFmtId="0" fontId="22" fillId="0" borderId="7" xfId="19" applyFont="1" applyFill="1" applyBorder="1">
      <alignment/>
      <protection/>
    </xf>
    <xf numFmtId="0" fontId="21" fillId="0" borderId="14" xfId="19" applyFont="1" applyFill="1" applyBorder="1" applyAlignment="1">
      <alignment horizontal="left"/>
      <protection/>
    </xf>
    <xf numFmtId="3" fontId="19" fillId="0" borderId="10" xfId="19" applyNumberFormat="1" applyFont="1" applyFill="1" applyBorder="1">
      <alignment/>
      <protection/>
    </xf>
    <xf numFmtId="3" fontId="22" fillId="0" borderId="5" xfId="19" applyNumberFormat="1" applyFont="1" applyBorder="1">
      <alignment/>
      <protection/>
    </xf>
    <xf numFmtId="0" fontId="26" fillId="0" borderId="0" xfId="19" applyFont="1" applyBorder="1" applyProtection="1">
      <alignment/>
      <protection locked="0"/>
    </xf>
    <xf numFmtId="0" fontId="21" fillId="0" borderId="4" xfId="19" applyFont="1" applyBorder="1">
      <alignment/>
      <protection/>
    </xf>
    <xf numFmtId="0" fontId="21" fillId="0" borderId="7" xfId="19" applyFont="1" applyBorder="1">
      <alignment/>
      <protection/>
    </xf>
    <xf numFmtId="3" fontId="19" fillId="0" borderId="13" xfId="19" applyNumberFormat="1" applyFont="1" applyBorder="1">
      <alignment/>
      <protection/>
    </xf>
    <xf numFmtId="3" fontId="21" fillId="0" borderId="4" xfId="19" applyNumberFormat="1" applyFont="1" applyBorder="1" applyAlignment="1">
      <alignment horizontal="right"/>
      <protection/>
    </xf>
    <xf numFmtId="0" fontId="21" fillId="0" borderId="0" xfId="19" applyFont="1" applyBorder="1">
      <alignment/>
      <protection/>
    </xf>
    <xf numFmtId="3" fontId="21" fillId="0" borderId="0" xfId="19" applyNumberFormat="1" applyFont="1" applyBorder="1" applyAlignment="1">
      <alignment horizontal="right"/>
      <protection/>
    </xf>
    <xf numFmtId="3" fontId="21" fillId="0" borderId="0" xfId="19" applyNumberFormat="1" applyFont="1" applyFill="1" applyBorder="1">
      <alignment/>
      <protection/>
    </xf>
    <xf numFmtId="3" fontId="16" fillId="0" borderId="19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0" xfId="20" applyNumberFormat="1" applyFont="1" applyFill="1">
      <alignment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6" fillId="0" borderId="6" xfId="0" applyNumberFormat="1" applyFont="1" applyFill="1" applyBorder="1" applyAlignment="1">
      <alignment horizontal="center" vertical="center" wrapText="1"/>
    </xf>
    <xf numFmtId="3" fontId="2" fillId="0" borderId="0" xfId="20" applyNumberFormat="1" applyFont="1" applyFill="1" applyBorder="1">
      <alignment/>
      <protection/>
    </xf>
    <xf numFmtId="3" fontId="4" fillId="0" borderId="6" xfId="20" applyNumberFormat="1" applyFont="1" applyFill="1" applyBorder="1">
      <alignment/>
      <protection/>
    </xf>
    <xf numFmtId="3" fontId="2" fillId="0" borderId="8" xfId="20" applyNumberFormat="1" applyFont="1" applyFill="1" applyBorder="1">
      <alignment/>
      <protection/>
    </xf>
    <xf numFmtId="3" fontId="4" fillId="0" borderId="8" xfId="20" applyNumberFormat="1" applyFont="1" applyFill="1" applyBorder="1">
      <alignment/>
      <protection/>
    </xf>
    <xf numFmtId="3" fontId="4" fillId="0" borderId="7" xfId="20" applyNumberFormat="1" applyFont="1" applyFill="1" applyBorder="1">
      <alignment/>
      <protection/>
    </xf>
    <xf numFmtId="3" fontId="18" fillId="0" borderId="0" xfId="20" applyNumberFormat="1" applyFont="1" applyFill="1">
      <alignment/>
      <protection/>
    </xf>
    <xf numFmtId="3" fontId="17" fillId="0" borderId="0" xfId="20" applyNumberFormat="1" applyFont="1" applyFill="1">
      <alignment/>
      <protection/>
    </xf>
    <xf numFmtId="3" fontId="2" fillId="0" borderId="7" xfId="0" applyNumberFormat="1" applyFont="1" applyFill="1" applyBorder="1" applyAlignment="1">
      <alignment horizontal="center"/>
    </xf>
    <xf numFmtId="0" fontId="21" fillId="0" borderId="0" xfId="19" applyFont="1" applyFill="1">
      <alignment/>
      <protection/>
    </xf>
    <xf numFmtId="3" fontId="21" fillId="0" borderId="0" xfId="19" applyNumberFormat="1" applyFont="1" applyFill="1">
      <alignment/>
      <protection/>
    </xf>
    <xf numFmtId="0" fontId="19" fillId="0" borderId="4" xfId="19" applyFont="1" applyFill="1" applyBorder="1">
      <alignment/>
      <protection/>
    </xf>
    <xf numFmtId="0" fontId="2" fillId="0" borderId="8" xfId="20" applyFont="1" applyBorder="1">
      <alignment/>
      <protection/>
    </xf>
    <xf numFmtId="3" fontId="2" fillId="0" borderId="18" xfId="20" applyNumberFormat="1" applyFont="1" applyBorder="1">
      <alignment/>
      <protection/>
    </xf>
    <xf numFmtId="0" fontId="6" fillId="0" borderId="16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16" xfId="20" applyBorder="1">
      <alignment/>
      <protection/>
    </xf>
    <xf numFmtId="0" fontId="0" fillId="0" borderId="4" xfId="20" applyBorder="1">
      <alignment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1" fontId="2" fillId="0" borderId="0" xfId="0" applyNumberFormat="1" applyFont="1" applyAlignment="1">
      <alignment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3" fontId="2" fillId="0" borderId="8" xfId="0" applyNumberFormat="1" applyFont="1" applyFill="1" applyBorder="1" applyAlignment="1">
      <alignment/>
    </xf>
    <xf numFmtId="1" fontId="2" fillId="0" borderId="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" fontId="4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1" fontId="4" fillId="0" borderId="7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4" fillId="0" borderId="7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1" fontId="16" fillId="0" borderId="7" xfId="0" applyNumberFormat="1" applyFont="1" applyBorder="1" applyAlignment="1">
      <alignment/>
    </xf>
    <xf numFmtId="1" fontId="14" fillId="0" borderId="7" xfId="0" applyNumberFormat="1" applyFont="1" applyBorder="1" applyAlignment="1">
      <alignment/>
    </xf>
    <xf numFmtId="3" fontId="14" fillId="0" borderId="8" xfId="0" applyNumberFormat="1" applyFont="1" applyFill="1" applyBorder="1" applyAlignment="1">
      <alignment/>
    </xf>
    <xf numFmtId="3" fontId="2" fillId="0" borderId="15" xfId="20" applyNumberFormat="1" applyFont="1" applyBorder="1">
      <alignment/>
      <protection/>
    </xf>
    <xf numFmtId="3" fontId="4" fillId="0" borderId="11" xfId="20" applyNumberFormat="1" applyFont="1" applyBorder="1">
      <alignment/>
      <protection/>
    </xf>
    <xf numFmtId="3" fontId="4" fillId="0" borderId="4" xfId="20" applyNumberFormat="1" applyFont="1" applyBorder="1">
      <alignment/>
      <protection/>
    </xf>
    <xf numFmtId="1" fontId="2" fillId="0" borderId="0" xfId="20" applyNumberFormat="1" applyFont="1">
      <alignment/>
      <protection/>
    </xf>
    <xf numFmtId="1" fontId="2" fillId="0" borderId="5" xfId="20" applyNumberFormat="1" applyFont="1" applyBorder="1" applyAlignment="1">
      <alignment horizontal="center"/>
      <protection/>
    </xf>
    <xf numFmtId="1" fontId="4" fillId="0" borderId="5" xfId="0" applyNumberFormat="1" applyFont="1" applyBorder="1" applyAlignment="1">
      <alignment horizontal="center" vertical="center" wrapText="1"/>
    </xf>
    <xf numFmtId="1" fontId="2" fillId="0" borderId="11" xfId="20" applyNumberFormat="1" applyFont="1" applyBorder="1">
      <alignment/>
      <protection/>
    </xf>
    <xf numFmtId="1" fontId="2" fillId="0" borderId="16" xfId="20" applyNumberFormat="1" applyFont="1" applyBorder="1">
      <alignment/>
      <protection/>
    </xf>
    <xf numFmtId="1" fontId="4" fillId="0" borderId="0" xfId="20" applyNumberFormat="1" applyFont="1">
      <alignment/>
      <protection/>
    </xf>
    <xf numFmtId="1" fontId="4" fillId="0" borderId="11" xfId="20" applyNumberFormat="1" applyFont="1" applyBorder="1">
      <alignment/>
      <protection/>
    </xf>
    <xf numFmtId="1" fontId="4" fillId="0" borderId="6" xfId="20" applyNumberFormat="1" applyFont="1" applyBorder="1">
      <alignment/>
      <protection/>
    </xf>
    <xf numFmtId="1" fontId="0" fillId="0" borderId="7" xfId="20" applyNumberFormat="1" applyFont="1" applyBorder="1" applyAlignment="1">
      <alignment horizontal="center"/>
      <protection/>
    </xf>
    <xf numFmtId="1" fontId="0" fillId="0" borderId="0" xfId="20" applyNumberFormat="1" applyFont="1" applyBorder="1">
      <alignment/>
      <protection/>
    </xf>
    <xf numFmtId="1" fontId="4" fillId="0" borderId="0" xfId="0" applyNumberFormat="1" applyFont="1" applyBorder="1" applyAlignment="1">
      <alignment horizontal="center" vertical="center" wrapText="1"/>
    </xf>
    <xf numFmtId="1" fontId="6" fillId="0" borderId="0" xfId="20" applyNumberFormat="1" applyFont="1">
      <alignment/>
      <protection/>
    </xf>
    <xf numFmtId="1" fontId="6" fillId="0" borderId="7" xfId="20" applyNumberFormat="1" applyFont="1" applyBorder="1">
      <alignment/>
      <protection/>
    </xf>
    <xf numFmtId="1" fontId="0" fillId="0" borderId="0" xfId="20" applyNumberFormat="1" applyFont="1">
      <alignment/>
      <protection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3" fontId="0" fillId="0" borderId="0" xfId="20" applyNumberFormat="1" applyFont="1" applyBorder="1" applyAlignment="1">
      <alignment horizontal="center" vertical="top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3" fontId="0" fillId="0" borderId="0" xfId="20" applyNumberFormat="1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/>
      <protection/>
    </xf>
    <xf numFmtId="3" fontId="6" fillId="0" borderId="6" xfId="20" applyNumberFormat="1" applyFont="1" applyBorder="1" applyAlignment="1">
      <alignment horizontal="center" vertical="center" wrapText="1"/>
      <protection/>
    </xf>
    <xf numFmtId="3" fontId="6" fillId="0" borderId="0" xfId="20" applyNumberFormat="1" applyFont="1">
      <alignment/>
      <protection/>
    </xf>
    <xf numFmtId="3" fontId="6" fillId="0" borderId="0" xfId="20" applyNumberFormat="1" applyFont="1" applyBorder="1">
      <alignment/>
      <protection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 applyProtection="1">
      <alignment horizontal="center" vertical="center" wrapText="1"/>
      <protection locked="0"/>
    </xf>
    <xf numFmtId="3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4" fillId="0" borderId="14" xfId="20" applyNumberFormat="1" applyFont="1" applyBorder="1">
      <alignment/>
      <protection/>
    </xf>
    <xf numFmtId="3" fontId="2" fillId="0" borderId="2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3" fontId="2" fillId="0" borderId="14" xfId="20" applyNumberFormat="1" applyFont="1" applyBorder="1" applyAlignment="1">
      <alignment horizontal="center"/>
      <protection/>
    </xf>
    <xf numFmtId="3" fontId="2" fillId="0" borderId="11" xfId="20" applyNumberFormat="1" applyFont="1" applyBorder="1" applyAlignment="1">
      <alignment horizontal="center"/>
      <protection/>
    </xf>
    <xf numFmtId="3" fontId="4" fillId="0" borderId="4" xfId="20" applyNumberFormat="1" applyFont="1" applyBorder="1" applyAlignment="1">
      <alignment horizontal="center" vertical="center" wrapText="1"/>
      <protection/>
    </xf>
    <xf numFmtId="3" fontId="4" fillId="0" borderId="0" xfId="20" applyNumberFormat="1" applyFont="1" applyAlignment="1">
      <alignment horizontal="center" vertical="center" wrapText="1"/>
      <protection/>
    </xf>
    <xf numFmtId="3" fontId="4" fillId="0" borderId="0" xfId="20" applyNumberFormat="1" applyFont="1">
      <alignment/>
      <protection/>
    </xf>
    <xf numFmtId="0" fontId="19" fillId="0" borderId="5" xfId="19" applyFont="1" applyBorder="1">
      <alignment/>
      <protection/>
    </xf>
    <xf numFmtId="3" fontId="21" fillId="0" borderId="19" xfId="19" applyNumberFormat="1" applyFont="1" applyFill="1" applyBorder="1">
      <alignment/>
      <protection/>
    </xf>
    <xf numFmtId="0" fontId="19" fillId="0" borderId="15" xfId="19" applyFont="1" applyBorder="1">
      <alignment/>
      <protection/>
    </xf>
    <xf numFmtId="0" fontId="19" fillId="0" borderId="8" xfId="19" applyFont="1" applyBorder="1">
      <alignment/>
      <protection/>
    </xf>
    <xf numFmtId="3" fontId="19" fillId="0" borderId="5" xfId="19" applyNumberFormat="1" applyFont="1" applyBorder="1" applyAlignment="1">
      <alignment horizontal="right"/>
      <protection/>
    </xf>
    <xf numFmtId="3" fontId="0" fillId="0" borderId="6" xfId="20" applyNumberFormat="1" applyFont="1" applyBorder="1">
      <alignment/>
      <protection/>
    </xf>
    <xf numFmtId="3" fontId="0" fillId="0" borderId="18" xfId="20" applyNumberFormat="1" applyFont="1" applyBorder="1">
      <alignment/>
      <protection/>
    </xf>
    <xf numFmtId="0" fontId="7" fillId="0" borderId="0" xfId="20" applyFont="1" applyAlignment="1">
      <alignment horizontal="right"/>
      <protection/>
    </xf>
    <xf numFmtId="0" fontId="6" fillId="0" borderId="6" xfId="20" applyFont="1" applyBorder="1" applyAlignment="1">
      <alignment horizontal="center"/>
      <protection/>
    </xf>
    <xf numFmtId="0" fontId="29" fillId="0" borderId="0" xfId="20" applyFont="1">
      <alignment/>
      <protection/>
    </xf>
    <xf numFmtId="0" fontId="30" fillId="0" borderId="0" xfId="20" applyFont="1" applyAlignment="1">
      <alignment horizontal="right"/>
      <protection/>
    </xf>
    <xf numFmtId="0" fontId="30" fillId="0" borderId="0" xfId="20" applyFont="1" applyAlignment="1">
      <alignment/>
      <protection/>
    </xf>
    <xf numFmtId="0" fontId="31" fillId="0" borderId="0" xfId="20" applyFont="1" applyAlignment="1">
      <alignment/>
      <protection/>
    </xf>
    <xf numFmtId="0" fontId="31" fillId="0" borderId="0" xfId="20" applyFont="1">
      <alignment/>
      <protection/>
    </xf>
    <xf numFmtId="0" fontId="29" fillId="0" borderId="6" xfId="20" applyFont="1" applyBorder="1">
      <alignment/>
      <protection/>
    </xf>
    <xf numFmtId="3" fontId="29" fillId="0" borderId="6" xfId="20" applyNumberFormat="1" applyFont="1" applyBorder="1">
      <alignment/>
      <protection/>
    </xf>
    <xf numFmtId="3" fontId="31" fillId="0" borderId="6" xfId="20" applyNumberFormat="1" applyFont="1" applyBorder="1">
      <alignment/>
      <protection/>
    </xf>
    <xf numFmtId="0" fontId="29" fillId="0" borderId="11" xfId="20" applyFont="1" applyBorder="1">
      <alignment/>
      <protection/>
    </xf>
    <xf numFmtId="3" fontId="29" fillId="0" borderId="11" xfId="20" applyNumberFormat="1" applyFont="1" applyBorder="1">
      <alignment/>
      <protection/>
    </xf>
    <xf numFmtId="0" fontId="29" fillId="0" borderId="22" xfId="20" applyFont="1" applyBorder="1">
      <alignment/>
      <protection/>
    </xf>
    <xf numFmtId="3" fontId="29" fillId="0" borderId="22" xfId="20" applyNumberFormat="1" applyFont="1" applyBorder="1">
      <alignment/>
      <protection/>
    </xf>
    <xf numFmtId="3" fontId="31" fillId="0" borderId="22" xfId="20" applyNumberFormat="1" applyFont="1" applyBorder="1">
      <alignment/>
      <protection/>
    </xf>
    <xf numFmtId="0" fontId="31" fillId="0" borderId="23" xfId="20" applyFont="1" applyBorder="1">
      <alignment/>
      <protection/>
    </xf>
    <xf numFmtId="3" fontId="31" fillId="0" borderId="24" xfId="20" applyNumberFormat="1" applyFont="1" applyBorder="1">
      <alignment/>
      <protection/>
    </xf>
    <xf numFmtId="0" fontId="29" fillId="0" borderId="18" xfId="20" applyFont="1" applyBorder="1">
      <alignment/>
      <protection/>
    </xf>
    <xf numFmtId="3" fontId="29" fillId="0" borderId="18" xfId="20" applyNumberFormat="1" applyFont="1" applyBorder="1">
      <alignment/>
      <protection/>
    </xf>
    <xf numFmtId="3" fontId="29" fillId="0" borderId="5" xfId="20" applyNumberFormat="1" applyFont="1" applyBorder="1">
      <alignment/>
      <protection/>
    </xf>
    <xf numFmtId="3" fontId="29" fillId="0" borderId="4" xfId="20" applyNumberFormat="1" applyFont="1" applyBorder="1">
      <alignment/>
      <protection/>
    </xf>
    <xf numFmtId="0" fontId="31" fillId="0" borderId="25" xfId="20" applyFont="1" applyBorder="1">
      <alignment/>
      <protection/>
    </xf>
    <xf numFmtId="0" fontId="9" fillId="0" borderId="0" xfId="20" applyFont="1" applyAlignment="1">
      <alignment horizontal="right"/>
      <protection/>
    </xf>
    <xf numFmtId="3" fontId="31" fillId="0" borderId="18" xfId="20" applyNumberFormat="1" applyFont="1" applyBorder="1">
      <alignment/>
      <protection/>
    </xf>
    <xf numFmtId="3" fontId="31" fillId="0" borderId="26" xfId="20" applyNumberFormat="1" applyFont="1" applyBorder="1">
      <alignment/>
      <protection/>
    </xf>
    <xf numFmtId="0" fontId="31" fillId="0" borderId="26" xfId="20" applyFont="1" applyBorder="1">
      <alignment/>
      <protection/>
    </xf>
    <xf numFmtId="0" fontId="31" fillId="0" borderId="0" xfId="20" applyFont="1" applyBorder="1">
      <alignment/>
      <protection/>
    </xf>
    <xf numFmtId="0" fontId="31" fillId="0" borderId="18" xfId="20" applyFont="1" applyBorder="1">
      <alignment/>
      <protection/>
    </xf>
    <xf numFmtId="0" fontId="29" fillId="0" borderId="0" xfId="20" applyFont="1" applyBorder="1">
      <alignment/>
      <protection/>
    </xf>
    <xf numFmtId="0" fontId="31" fillId="0" borderId="6" xfId="20" applyFont="1" applyBorder="1">
      <alignment/>
      <protection/>
    </xf>
    <xf numFmtId="9" fontId="29" fillId="0" borderId="6" xfId="20" applyNumberFormat="1" applyFont="1" applyBorder="1">
      <alignment/>
      <protection/>
    </xf>
    <xf numFmtId="0" fontId="29" fillId="0" borderId="0" xfId="20" applyFont="1" applyFill="1" applyBorder="1">
      <alignment/>
      <protection/>
    </xf>
    <xf numFmtId="0" fontId="6" fillId="0" borderId="6" xfId="21" applyFont="1" applyBorder="1" applyAlignment="1">
      <alignment horizontal="center" vertical="top" wrapText="1"/>
      <protection/>
    </xf>
    <xf numFmtId="0" fontId="3" fillId="0" borderId="0" xfId="20" applyFont="1" applyAlignment="1">
      <alignment horizontal="right"/>
      <protection/>
    </xf>
    <xf numFmtId="0" fontId="4" fillId="0" borderId="0" xfId="20" applyFont="1" applyAlignment="1">
      <alignment horizontal="center" wrapText="1"/>
      <protection/>
    </xf>
    <xf numFmtId="3" fontId="4" fillId="0" borderId="8" xfId="20" applyNumberFormat="1" applyFont="1" applyBorder="1" applyAlignment="1">
      <alignment horizontal="right"/>
      <protection/>
    </xf>
    <xf numFmtId="0" fontId="8" fillId="0" borderId="7" xfId="20" applyFont="1" applyBorder="1" applyAlignment="1">
      <alignment horizontal="center" vertical="top" wrapText="1"/>
      <protection/>
    </xf>
    <xf numFmtId="3" fontId="6" fillId="0" borderId="6" xfId="21" applyNumberFormat="1" applyFont="1" applyBorder="1" applyAlignment="1">
      <alignment horizontal="center" vertical="center" wrapText="1"/>
      <protection/>
    </xf>
    <xf numFmtId="0" fontId="6" fillId="0" borderId="4" xfId="21" applyFont="1" applyFill="1" applyBorder="1" applyAlignment="1">
      <alignment horizontal="left" vertical="center" wrapText="1"/>
      <protection/>
    </xf>
    <xf numFmtId="0" fontId="6" fillId="0" borderId="5" xfId="21" applyFont="1" applyFill="1" applyBorder="1" applyAlignment="1">
      <alignment horizontal="left" vertical="center" wrapText="1"/>
      <protection/>
    </xf>
    <xf numFmtId="0" fontId="6" fillId="0" borderId="0" xfId="21" applyFont="1" applyBorder="1" applyAlignment="1">
      <alignment horizontal="right" vertical="top"/>
      <protection/>
    </xf>
    <xf numFmtId="14" fontId="0" fillId="0" borderId="8" xfId="21" applyNumberFormat="1" applyFont="1" applyBorder="1" applyAlignment="1">
      <alignment horizontal="left"/>
      <protection/>
    </xf>
    <xf numFmtId="14" fontId="0" fillId="0" borderId="8" xfId="21" applyNumberFormat="1" applyBorder="1" applyAlignment="1">
      <alignment horizontal="left"/>
      <protection/>
    </xf>
    <xf numFmtId="3" fontId="0" fillId="0" borderId="7" xfId="21" applyNumberFormat="1" applyFont="1" applyBorder="1" applyAlignment="1">
      <alignment horizontal="left"/>
      <protection/>
    </xf>
    <xf numFmtId="3" fontId="0" fillId="0" borderId="7" xfId="21" applyNumberFormat="1" applyBorder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38" fillId="0" borderId="0" xfId="0" applyFont="1" applyBorder="1" applyAlignment="1">
      <alignment vertical="top"/>
    </xf>
    <xf numFmtId="0" fontId="0" fillId="0" borderId="7" xfId="20" applyFont="1" applyBorder="1" applyAlignment="1">
      <alignment horizontal="center"/>
      <protection/>
    </xf>
    <xf numFmtId="0" fontId="7" fillId="0" borderId="0" xfId="20" applyFont="1" applyAlignment="1">
      <alignment horizontal="left"/>
      <protection/>
    </xf>
    <xf numFmtId="3" fontId="0" fillId="0" borderId="0" xfId="20" applyNumberFormat="1" applyFont="1" applyBorder="1" applyAlignment="1">
      <alignment horizontal="center"/>
      <protection/>
    </xf>
    <xf numFmtId="3" fontId="6" fillId="0" borderId="0" xfId="20" applyNumberFormat="1" applyFont="1" applyAlignment="1">
      <alignment horizontal="center" vertical="center"/>
      <protection/>
    </xf>
    <xf numFmtId="0" fontId="0" fillId="0" borderId="0" xfId="20" applyFont="1" applyAlignment="1">
      <alignment horizontal="center" vertical="top"/>
      <protection/>
    </xf>
    <xf numFmtId="0" fontId="6" fillId="0" borderId="7" xfId="20" applyFont="1" applyBorder="1" applyAlignment="1">
      <alignment horizontal="center"/>
      <protection/>
    </xf>
    <xf numFmtId="3" fontId="6" fillId="0" borderId="7" xfId="20" applyNumberFormat="1" applyFont="1" applyBorder="1">
      <alignment/>
      <protection/>
    </xf>
    <xf numFmtId="0" fontId="6" fillId="0" borderId="8" xfId="20" applyFont="1" applyBorder="1" applyAlignment="1">
      <alignment horizontal="center"/>
      <protection/>
    </xf>
    <xf numFmtId="3" fontId="6" fillId="0" borderId="19" xfId="20" applyNumberFormat="1" applyFont="1" applyBorder="1">
      <alignment/>
      <protection/>
    </xf>
    <xf numFmtId="3" fontId="0" fillId="0" borderId="8" xfId="20" applyNumberFormat="1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0" fillId="0" borderId="7" xfId="20" applyFont="1" applyBorder="1">
      <alignment/>
      <protection/>
    </xf>
    <xf numFmtId="0" fontId="1" fillId="0" borderId="0" xfId="0" applyFont="1" applyAlignment="1">
      <alignment/>
    </xf>
    <xf numFmtId="0" fontId="0" fillId="0" borderId="0" xfId="20" applyFont="1">
      <alignment/>
      <protection/>
    </xf>
    <xf numFmtId="3" fontId="17" fillId="0" borderId="0" xfId="20" applyNumberFormat="1" applyFont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8" xfId="20" applyFont="1" applyBorder="1" applyAlignment="1">
      <alignment horizontal="center"/>
      <protection/>
    </xf>
    <xf numFmtId="0" fontId="0" fillId="0" borderId="5" xfId="21" applyFont="1" applyFill="1" applyBorder="1" applyAlignment="1">
      <alignment horizontal="left" vertical="center" wrapText="1"/>
      <protection/>
    </xf>
    <xf numFmtId="3" fontId="0" fillId="0" borderId="4" xfId="21" applyNumberFormat="1" applyFont="1" applyBorder="1" applyAlignment="1">
      <alignment horizontal="center" vertical="center"/>
      <protection/>
    </xf>
    <xf numFmtId="3" fontId="0" fillId="0" borderId="7" xfId="21" applyNumberFormat="1" applyFont="1" applyBorder="1" applyAlignment="1">
      <alignment horizontal="center" vertical="center"/>
      <protection/>
    </xf>
    <xf numFmtId="3" fontId="0" fillId="0" borderId="5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 horizontal="right"/>
      <protection/>
    </xf>
    <xf numFmtId="0" fontId="6" fillId="0" borderId="6" xfId="21" applyFont="1" applyBorder="1" applyAlignment="1">
      <alignment horizontal="center" vertical="center" wrapText="1"/>
      <protection/>
    </xf>
    <xf numFmtId="0" fontId="7" fillId="0" borderId="0" xfId="21" applyFont="1" applyAlignment="1">
      <alignment horizontal="right"/>
      <protection/>
    </xf>
    <xf numFmtId="3" fontId="6" fillId="0" borderId="8" xfId="20" applyNumberFormat="1" applyFont="1" applyBorder="1">
      <alignment/>
      <protection/>
    </xf>
    <xf numFmtId="0" fontId="39" fillId="0" borderId="0" xfId="0" applyFont="1" applyBorder="1" applyAlignment="1">
      <alignment vertical="top"/>
    </xf>
    <xf numFmtId="3" fontId="0" fillId="0" borderId="0" xfId="20" applyNumberFormat="1">
      <alignment/>
      <protection/>
    </xf>
    <xf numFmtId="0" fontId="0" fillId="0" borderId="6" xfId="20" applyBorder="1" applyAlignment="1">
      <alignment horizontal="center"/>
      <protection/>
    </xf>
    <xf numFmtId="3" fontId="0" fillId="0" borderId="6" xfId="20" applyNumberFormat="1" applyBorder="1" applyAlignment="1">
      <alignment horizontal="center"/>
      <protection/>
    </xf>
    <xf numFmtId="0" fontId="6" fillId="0" borderId="6" xfId="20" applyFont="1" applyBorder="1">
      <alignment/>
      <protection/>
    </xf>
    <xf numFmtId="3" fontId="0" fillId="0" borderId="6" xfId="20" applyNumberFormat="1" applyBorder="1">
      <alignment/>
      <protection/>
    </xf>
    <xf numFmtId="0" fontId="11" fillId="0" borderId="6" xfId="20" applyFont="1" applyBorder="1">
      <alignment/>
      <protection/>
    </xf>
    <xf numFmtId="3" fontId="0" fillId="0" borderId="16" xfId="20" applyNumberFormat="1" applyFill="1" applyBorder="1">
      <alignment/>
      <protection/>
    </xf>
    <xf numFmtId="0" fontId="1" fillId="0" borderId="0" xfId="23">
      <alignment/>
      <protection/>
    </xf>
    <xf numFmtId="0" fontId="1" fillId="0" borderId="0" xfId="23" applyFont="1" applyFill="1">
      <alignment/>
      <protection/>
    </xf>
    <xf numFmtId="0" fontId="10" fillId="0" borderId="6" xfId="23" applyFont="1" applyBorder="1" applyAlignment="1">
      <alignment horizontal="center" vertical="center" wrapText="1"/>
      <protection/>
    </xf>
    <xf numFmtId="0" fontId="10" fillId="0" borderId="6" xfId="23" applyFont="1" applyFill="1" applyBorder="1" applyAlignment="1">
      <alignment horizontal="center" vertical="center" wrapText="1"/>
      <protection/>
    </xf>
    <xf numFmtId="0" fontId="10" fillId="0" borderId="0" xfId="23" applyFont="1" applyAlignment="1">
      <alignment vertical="center" wrapText="1"/>
      <protection/>
    </xf>
    <xf numFmtId="0" fontId="1" fillId="0" borderId="6" xfId="23" applyBorder="1" applyAlignment="1">
      <alignment wrapText="1"/>
      <protection/>
    </xf>
    <xf numFmtId="3" fontId="1" fillId="0" borderId="6" xfId="23" applyNumberFormat="1" applyBorder="1">
      <alignment/>
      <protection/>
    </xf>
    <xf numFmtId="3" fontId="1" fillId="0" borderId="6" xfId="23" applyNumberFormat="1" applyFont="1" applyFill="1" applyBorder="1">
      <alignment/>
      <protection/>
    </xf>
    <xf numFmtId="0" fontId="1" fillId="0" borderId="4" xfId="23" applyBorder="1" applyAlignment="1">
      <alignment wrapText="1"/>
      <protection/>
    </xf>
    <xf numFmtId="0" fontId="1" fillId="0" borderId="6" xfId="23" applyFont="1" applyBorder="1" applyAlignment="1">
      <alignment wrapText="1"/>
      <protection/>
    </xf>
    <xf numFmtId="3" fontId="10" fillId="0" borderId="6" xfId="23" applyNumberFormat="1" applyFont="1" applyBorder="1">
      <alignment/>
      <protection/>
    </xf>
    <xf numFmtId="0" fontId="0" fillId="0" borderId="0" xfId="20" applyFont="1" applyAlignment="1">
      <alignment horizontal="right"/>
      <protection/>
    </xf>
    <xf numFmtId="0" fontId="6" fillId="0" borderId="6" xfId="20" applyFont="1" applyBorder="1" applyAlignment="1">
      <alignment horizontal="center" vertical="center" wrapText="1"/>
      <protection/>
    </xf>
    <xf numFmtId="0" fontId="0" fillId="0" borderId="6" xfId="20" applyFont="1" applyBorder="1" applyAlignment="1">
      <alignment horizontal="center" vertical="center" wrapText="1"/>
      <protection/>
    </xf>
    <xf numFmtId="0" fontId="0" fillId="0" borderId="6" xfId="20" applyFont="1" applyBorder="1" applyAlignment="1">
      <alignment horizontal="left" vertical="center" wrapText="1"/>
      <protection/>
    </xf>
    <xf numFmtId="0" fontId="0" fillId="0" borderId="4" xfId="21" applyFont="1" applyFill="1" applyBorder="1" applyAlignment="1">
      <alignment horizontal="left" vertical="center" wrapText="1"/>
      <protection/>
    </xf>
    <xf numFmtId="0" fontId="0" fillId="0" borderId="6" xfId="20" applyFont="1" applyBorder="1">
      <alignment/>
      <protection/>
    </xf>
    <xf numFmtId="3" fontId="0" fillId="0" borderId="11" xfId="20" applyNumberFormat="1" applyFont="1" applyBorder="1" applyAlignment="1">
      <alignment horizontal="right" vertical="center"/>
      <protection/>
    </xf>
    <xf numFmtId="3" fontId="0" fillId="0" borderId="6" xfId="20" applyNumberFormat="1" applyFont="1" applyBorder="1" applyAlignment="1">
      <alignment horizontal="right" vertical="center"/>
      <protection/>
    </xf>
    <xf numFmtId="0" fontId="19" fillId="0" borderId="6" xfId="24" applyFont="1" applyBorder="1" applyAlignment="1">
      <alignment horizontal="left" vertical="center" wrapText="1"/>
      <protection/>
    </xf>
    <xf numFmtId="0" fontId="19" fillId="0" borderId="6" xfId="24" applyFont="1" applyBorder="1">
      <alignment/>
      <protection/>
    </xf>
    <xf numFmtId="3" fontId="0" fillId="0" borderId="6" xfId="20" applyNumberFormat="1" applyFont="1" applyBorder="1">
      <alignment/>
      <protection/>
    </xf>
    <xf numFmtId="0" fontId="0" fillId="0" borderId="4" xfId="20" applyFont="1" applyBorder="1">
      <alignment/>
      <protection/>
    </xf>
    <xf numFmtId="0" fontId="6" fillId="0" borderId="5" xfId="20" applyFont="1" applyBorder="1">
      <alignment/>
      <protection/>
    </xf>
    <xf numFmtId="3" fontId="6" fillId="0" borderId="6" xfId="20" applyNumberFormat="1" applyFont="1" applyBorder="1">
      <alignment/>
      <protection/>
    </xf>
    <xf numFmtId="0" fontId="4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16" fillId="0" borderId="8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6" fillId="0" borderId="0" xfId="0" applyFont="1" applyAlignment="1">
      <alignment/>
    </xf>
    <xf numFmtId="1" fontId="7" fillId="0" borderId="0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5" fillId="0" borderId="8" xfId="0" applyNumberFormat="1" applyFont="1" applyBorder="1" applyAlignment="1">
      <alignment horizontal="right"/>
    </xf>
    <xf numFmtId="3" fontId="6" fillId="0" borderId="6" xfId="21" applyNumberFormat="1" applyFont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left" vertical="top" wrapText="1"/>
      <protection/>
    </xf>
    <xf numFmtId="0" fontId="6" fillId="0" borderId="5" xfId="21" applyFont="1" applyBorder="1" applyAlignment="1">
      <alignment horizontal="left" vertical="top" wrapText="1"/>
      <protection/>
    </xf>
    <xf numFmtId="0" fontId="4" fillId="0" borderId="0" xfId="21" applyFont="1" applyAlignment="1">
      <alignment horizontal="center" vertical="top"/>
      <protection/>
    </xf>
    <xf numFmtId="0" fontId="3" fillId="0" borderId="0" xfId="21" applyFont="1" applyAlignment="1">
      <alignment horizontal="center" vertical="top"/>
      <protection/>
    </xf>
    <xf numFmtId="0" fontId="6" fillId="0" borderId="0" xfId="21" applyFont="1" applyFill="1" applyBorder="1" applyAlignment="1">
      <alignment horizontal="left" vertical="center" wrapText="1"/>
      <protection/>
    </xf>
    <xf numFmtId="0" fontId="7" fillId="0" borderId="0" xfId="20" applyFont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8" xfId="20" applyFont="1" applyBorder="1" applyAlignment="1">
      <alignment horizontal="right"/>
      <protection/>
    </xf>
    <xf numFmtId="3" fontId="6" fillId="0" borderId="6" xfId="20" applyNumberFormat="1" applyFont="1" applyBorder="1" applyAlignment="1">
      <alignment horizontal="center" vertical="center" wrapText="1"/>
      <protection/>
    </xf>
    <xf numFmtId="3" fontId="6" fillId="0" borderId="11" xfId="20" applyNumberFormat="1" applyFont="1" applyBorder="1" applyAlignment="1">
      <alignment horizontal="center" vertical="center"/>
      <protection/>
    </xf>
    <xf numFmtId="3" fontId="6" fillId="0" borderId="18" xfId="20" applyNumberFormat="1" applyFont="1" applyBorder="1" applyAlignment="1">
      <alignment horizontal="center" vertical="center"/>
      <protection/>
    </xf>
    <xf numFmtId="3" fontId="6" fillId="0" borderId="4" xfId="20" applyNumberFormat="1" applyFont="1" applyBorder="1" applyAlignment="1">
      <alignment horizontal="center" vertical="center" wrapText="1"/>
      <protection/>
    </xf>
    <xf numFmtId="3" fontId="6" fillId="0" borderId="7" xfId="20" applyNumberFormat="1" applyFont="1" applyBorder="1" applyAlignment="1">
      <alignment horizontal="center" vertical="center" wrapText="1"/>
      <protection/>
    </xf>
    <xf numFmtId="3" fontId="6" fillId="0" borderId="5" xfId="20" applyNumberFormat="1" applyFont="1" applyBorder="1" applyAlignment="1">
      <alignment horizontal="center" vertical="center" wrapText="1"/>
      <protection/>
    </xf>
    <xf numFmtId="0" fontId="6" fillId="0" borderId="18" xfId="20" applyFont="1" applyBorder="1" applyAlignment="1">
      <alignment horizontal="center" vertical="center" wrapText="1"/>
      <protection/>
    </xf>
    <xf numFmtId="3" fontId="6" fillId="0" borderId="18" xfId="20" applyNumberFormat="1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top" wrapText="1"/>
      <protection/>
    </xf>
    <xf numFmtId="0" fontId="6" fillId="0" borderId="16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6" fillId="0" borderId="0" xfId="20" applyFont="1" applyBorder="1" applyAlignment="1">
      <alignment horizontal="right"/>
      <protection/>
    </xf>
    <xf numFmtId="3" fontId="6" fillId="0" borderId="0" xfId="20" applyNumberFormat="1" applyFont="1" applyAlignment="1">
      <alignment horizontal="right"/>
      <protection/>
    </xf>
    <xf numFmtId="3" fontId="7" fillId="0" borderId="0" xfId="20" applyNumberFormat="1" applyFont="1" applyAlignment="1">
      <alignment horizontal="right"/>
      <protection/>
    </xf>
    <xf numFmtId="0" fontId="0" fillId="0" borderId="7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8" fillId="0" borderId="4" xfId="20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4" fillId="0" borderId="0" xfId="20" applyFont="1" applyAlignment="1">
      <alignment horizontal="center"/>
      <protection/>
    </xf>
    <xf numFmtId="0" fontId="5" fillId="0" borderId="7" xfId="20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2" fillId="0" borderId="7" xfId="20" applyFont="1" applyBorder="1" applyAlignment="1">
      <alignment horizontal="center" vertical="center" wrapText="1"/>
      <protection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2" fillId="0" borderId="4" xfId="20" applyFont="1" applyBorder="1" applyAlignment="1">
      <alignment horizontal="center" vertical="center" wrapText="1"/>
      <protection/>
    </xf>
    <xf numFmtId="0" fontId="8" fillId="0" borderId="7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15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left"/>
      <protection/>
    </xf>
    <xf numFmtId="0" fontId="4" fillId="0" borderId="5" xfId="20" applyFont="1" applyBorder="1" applyAlignment="1">
      <alignment horizontal="left"/>
      <protection/>
    </xf>
    <xf numFmtId="0" fontId="4" fillId="0" borderId="4" xfId="20" applyFont="1" applyBorder="1" applyAlignment="1">
      <alignment horizontal="left" vertical="center"/>
      <protection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4" xfId="20" applyFont="1" applyBorder="1" applyAlignment="1">
      <alignment horizontal="left" vertical="center" wrapText="1"/>
      <protection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6" xfId="20" applyFont="1" applyBorder="1" applyAlignment="1">
      <alignment horizontal="center" vertical="center" wrapText="1"/>
      <protection/>
    </xf>
    <xf numFmtId="0" fontId="6" fillId="0" borderId="6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30" fillId="0" borderId="0" xfId="20" applyFont="1" applyAlignment="1">
      <alignment horizontal="right"/>
      <protection/>
    </xf>
    <xf numFmtId="0" fontId="31" fillId="0" borderId="11" xfId="20" applyFont="1" applyBorder="1" applyAlignment="1">
      <alignment horizontal="center" vertical="center" wrapText="1"/>
      <protection/>
    </xf>
    <xf numFmtId="0" fontId="31" fillId="0" borderId="18" xfId="20" applyFont="1" applyBorder="1" applyAlignment="1">
      <alignment horizontal="center" vertical="center" wrapText="1"/>
      <protection/>
    </xf>
    <xf numFmtId="0" fontId="31" fillId="0" borderId="0" xfId="20" applyFont="1" applyAlignment="1">
      <alignment horizontal="center"/>
      <protection/>
    </xf>
    <xf numFmtId="0" fontId="31" fillId="0" borderId="8" xfId="20" applyFont="1" applyBorder="1" applyAlignment="1">
      <alignment horizontal="right"/>
      <protection/>
    </xf>
    <xf numFmtId="0" fontId="31" fillId="0" borderId="6" xfId="20" applyFont="1" applyBorder="1" applyAlignment="1">
      <alignment horizontal="center" vertical="center"/>
      <protection/>
    </xf>
    <xf numFmtId="0" fontId="31" fillId="0" borderId="11" xfId="20" applyFont="1" applyBorder="1" applyAlignment="1">
      <alignment horizontal="center" wrapText="1"/>
      <protection/>
    </xf>
    <xf numFmtId="0" fontId="31" fillId="0" borderId="18" xfId="20" applyFont="1" applyBorder="1" applyAlignment="1">
      <alignment horizontal="center" wrapText="1"/>
      <protection/>
    </xf>
    <xf numFmtId="0" fontId="20" fillId="0" borderId="0" xfId="19" applyFont="1" applyBorder="1" applyAlignment="1">
      <alignment horizontal="right"/>
      <protection/>
    </xf>
    <xf numFmtId="0" fontId="21" fillId="0" borderId="0" xfId="19" applyFont="1" applyBorder="1" applyAlignment="1">
      <alignment horizontal="center"/>
      <protection/>
    </xf>
    <xf numFmtId="0" fontId="21" fillId="0" borderId="4" xfId="19" applyFont="1" applyBorder="1" applyAlignment="1">
      <alignment horizontal="left"/>
      <protection/>
    </xf>
    <xf numFmtId="0" fontId="21" fillId="0" borderId="7" xfId="19" applyFont="1" applyBorder="1" applyAlignment="1">
      <alignment horizontal="left"/>
      <protection/>
    </xf>
    <xf numFmtId="0" fontId="19" fillId="0" borderId="8" xfId="19" applyFont="1" applyFill="1" applyBorder="1" applyAlignment="1">
      <alignment horizontal="left"/>
      <protection/>
    </xf>
    <xf numFmtId="0" fontId="4" fillId="0" borderId="0" xfId="20" applyFont="1" applyBorder="1" applyAlignment="1">
      <alignment horizontal="center"/>
      <protection/>
    </xf>
    <xf numFmtId="0" fontId="4" fillId="0" borderId="7" xfId="20" applyFont="1" applyBorder="1" applyAlignment="1">
      <alignment horizontal="left" vertical="center"/>
      <protection/>
    </xf>
    <xf numFmtId="0" fontId="15" fillId="0" borderId="0" xfId="19" applyFont="1" applyBorder="1" applyAlignment="1">
      <alignment horizontal="right"/>
      <protection/>
    </xf>
    <xf numFmtId="0" fontId="10" fillId="0" borderId="0" xfId="23" applyFont="1" applyAlignment="1">
      <alignment horizontal="center"/>
      <protection/>
    </xf>
    <xf numFmtId="0" fontId="10" fillId="0" borderId="4" xfId="23" applyFont="1" applyBorder="1" applyAlignment="1">
      <alignment horizontal="left"/>
      <protection/>
    </xf>
    <xf numFmtId="0" fontId="10" fillId="0" borderId="5" xfId="23" applyFont="1" applyBorder="1" applyAlignment="1">
      <alignment horizontal="left"/>
      <protection/>
    </xf>
    <xf numFmtId="0" fontId="30" fillId="0" borderId="0" xfId="23" applyFont="1" applyFill="1" applyAlignment="1">
      <alignment horizontal="right"/>
      <protection/>
    </xf>
    <xf numFmtId="0" fontId="10" fillId="0" borderId="8" xfId="23" applyFont="1" applyBorder="1" applyAlignment="1">
      <alignment horizontal="right"/>
      <protection/>
    </xf>
    <xf numFmtId="0" fontId="4" fillId="0" borderId="0" xfId="20" applyFont="1" applyAlignment="1">
      <alignment horizontal="center"/>
      <protection/>
    </xf>
  </cellXfs>
  <cellStyles count="14">
    <cellStyle name="Normal" xfId="0"/>
    <cellStyle name="Comma" xfId="15"/>
    <cellStyle name="Comma [0]" xfId="16"/>
    <cellStyle name="Hyperlink" xfId="17"/>
    <cellStyle name="Followed Hyperlink" xfId="18"/>
    <cellStyle name="Normál_2010 I. névi rendmód" xfId="19"/>
    <cellStyle name="Normál_2012 évi kv. II. forduló" xfId="20"/>
    <cellStyle name="Normál_2013 hitel tábla" xfId="21"/>
    <cellStyle name="Normál_39212201 - 2009_ev" xfId="22"/>
    <cellStyle name="Normál_Európai Uniós támogatással megvalósuló projektek 2013-ban A" xfId="23"/>
    <cellStyle name="Normál_mellékletek (uniós,közvetett)" xfId="24"/>
    <cellStyle name="Currency" xfId="25"/>
    <cellStyle name="Currency [0]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35</xdr:row>
      <xdr:rowOff>0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457200" y="2200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23825" cy="228600"/>
    <xdr:sp>
      <xdr:nvSpPr>
        <xdr:cNvPr id="2" name="TextBox 2"/>
        <xdr:cNvSpPr txBox="1">
          <a:spLocks noChangeArrowheads="1"/>
        </xdr:cNvSpPr>
      </xdr:nvSpPr>
      <xdr:spPr>
        <a:xfrm>
          <a:off x="457200" y="2200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>
      <xdr:nvSpPr>
        <xdr:cNvPr id="3" name="TextBox 3"/>
        <xdr:cNvSpPr txBox="1">
          <a:spLocks noChangeArrowheads="1"/>
        </xdr:cNvSpPr>
      </xdr:nvSpPr>
      <xdr:spPr>
        <a:xfrm>
          <a:off x="457200" y="1600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19050</xdr:colOff>
      <xdr:row>109</xdr:row>
      <xdr:rowOff>0</xdr:rowOff>
    </xdr:from>
    <xdr:to>
      <xdr:col>5</xdr:col>
      <xdr:colOff>200025</xdr:colOff>
      <xdr:row>109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77500" y="170021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szeln&#233;\Documents\kv.besz&#225;molo\2013\k&#246;lts&#233;gvet&#233;s\2013%20&#233;vi%20kv.%20I.%20fordul&#2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3.I.egys&#233;g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szeln&#233;\Documents\kv.besz&#225;molo\2012\k&#246;lts&#233;gvet&#233;s\k&#246;lts&#233;gvet&#233;s\2012%20&#233;vi%20kv.%20II.%20fordul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bevétel"/>
      <sheetName val="címrendes kiadás"/>
      <sheetName val="Önkorm.bevétel"/>
      <sheetName val="Hivatal bevétel"/>
      <sheetName val="Önkorm.kiadás"/>
      <sheetName val="Hivatal kiad."/>
      <sheetName val="hitel 3.sz."/>
      <sheetName val="4.sz.mell. (2)"/>
      <sheetName val="5.mell. (2)"/>
      <sheetName val="6.mell.(2)"/>
      <sheetName val="7.mell (2)"/>
      <sheetName val="9.m.II.f."/>
      <sheetName val="10.mell "/>
      <sheetName val="10.mell  összehasonlító"/>
      <sheetName val="11a melléklet"/>
      <sheetName val="11b melléklet"/>
      <sheetName val="12. melléklet"/>
      <sheetName val="13.mell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bevétel"/>
      <sheetName val="címrendes kiadás"/>
      <sheetName val="Önkorm.bevétel"/>
      <sheetName val="Hivatal bevétel"/>
      <sheetName val="Önkorm.kiadás"/>
      <sheetName val="Hivatal kiad."/>
      <sheetName val="hitel 3.sz."/>
      <sheetName val="4.sz.mell. (2)"/>
      <sheetName val="5.mell. (2)"/>
      <sheetName val="kötelező-nem kötelező"/>
      <sheetName val="6.mell.(2)"/>
      <sheetName val="7.mell (2)"/>
      <sheetName val="9.m.II.f."/>
      <sheetName val="10.mell "/>
      <sheetName val="11a melléklet"/>
      <sheetName val="11b melléklet"/>
      <sheetName val="12. melléklet"/>
      <sheetName val="13.mell."/>
    </sheetNames>
    <sheetDataSet>
      <sheetData sheetId="8">
        <row r="11">
          <cell r="F11">
            <v>156322</v>
          </cell>
        </row>
        <row r="12">
          <cell r="F12">
            <v>685000</v>
          </cell>
        </row>
        <row r="15">
          <cell r="F15">
            <v>87530</v>
          </cell>
        </row>
        <row r="21">
          <cell r="F21">
            <v>0</v>
          </cell>
        </row>
        <row r="22">
          <cell r="F22">
            <v>500</v>
          </cell>
        </row>
        <row r="24">
          <cell r="F24">
            <v>3100</v>
          </cell>
        </row>
        <row r="29">
          <cell r="F29">
            <v>345173</v>
          </cell>
        </row>
        <row r="30">
          <cell r="F30">
            <v>93125</v>
          </cell>
        </row>
        <row r="31">
          <cell r="F31">
            <v>366927</v>
          </cell>
        </row>
        <row r="33">
          <cell r="F33">
            <v>45885</v>
          </cell>
        </row>
        <row r="34">
          <cell r="F34">
            <v>189482</v>
          </cell>
        </row>
        <row r="36">
          <cell r="F36">
            <v>52500</v>
          </cell>
        </row>
        <row r="58">
          <cell r="F58">
            <v>69579</v>
          </cell>
        </row>
        <row r="59">
          <cell r="F59">
            <v>138750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bevétel"/>
      <sheetName val="címrendes kiadás"/>
      <sheetName val="Önkorm.bevétel"/>
      <sheetName val="Hivatal bevétel"/>
      <sheetName val="Önkorm.kiadás"/>
      <sheetName val="Hivatal kiad."/>
      <sheetName val="hitel 3.sz. (jó)"/>
      <sheetName val="kisebbs.eredeti "/>
      <sheetName val="4.sz.mell. (2)"/>
      <sheetName val="5.mell. (2)"/>
      <sheetName val="6.mell.(2)"/>
      <sheetName val="7.mell (2)"/>
      <sheetName val="9.m.II.f."/>
      <sheetName val="10.mell (2)"/>
      <sheetName val="10.mell"/>
      <sheetName val="11a melléklet"/>
      <sheetName val="11b melléklet"/>
      <sheetName val="12.mell."/>
      <sheetName val="13.mell."/>
    </sheetNames>
    <sheetDataSet>
      <sheetData sheetId="0">
        <row r="160">
          <cell r="M160">
            <v>0</v>
          </cell>
        </row>
      </sheetData>
      <sheetData sheetId="9">
        <row r="42">
          <cell r="F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P164"/>
  <sheetViews>
    <sheetView view="pageBreakPreview" zoomScale="75" zoomScaleSheetLayoutView="75" workbookViewId="0" topLeftCell="A112">
      <selection activeCell="A75" sqref="A75"/>
    </sheetView>
  </sheetViews>
  <sheetFormatPr defaultColWidth="9.00390625" defaultRowHeight="12.75"/>
  <cols>
    <col min="1" max="1" width="2.75390625" style="1" customWidth="1"/>
    <col min="2" max="2" width="3.125" style="1" customWidth="1"/>
    <col min="3" max="3" width="4.625" style="1" customWidth="1"/>
    <col min="4" max="4" width="4.00390625" style="1" customWidth="1"/>
    <col min="5" max="5" width="3.375" style="1" customWidth="1"/>
    <col min="6" max="6" width="2.75390625" style="2" customWidth="1"/>
    <col min="7" max="7" width="3.25390625" style="2" customWidth="1"/>
    <col min="8" max="8" width="3.125" style="2" customWidth="1"/>
    <col min="9" max="9" width="4.875" style="2" customWidth="1"/>
    <col min="10" max="10" width="2.375" style="2" customWidth="1"/>
    <col min="11" max="11" width="2.875" style="2" customWidth="1"/>
    <col min="12" max="12" width="52.75390625" style="2" customWidth="1"/>
    <col min="13" max="13" width="16.625" style="3" customWidth="1"/>
    <col min="14" max="14" width="10.125" style="3" hidden="1" customWidth="1"/>
    <col min="15" max="15" width="12.25390625" style="3" hidden="1" customWidth="1"/>
    <col min="16" max="16" width="10.25390625" style="3" hidden="1" customWidth="1"/>
    <col min="17" max="17" width="9.00390625" style="3" hidden="1" customWidth="1"/>
    <col min="18" max="18" width="11.25390625" style="626" hidden="1" customWidth="1"/>
    <col min="19" max="19" width="12.25390625" style="626" customWidth="1"/>
    <col min="20" max="20" width="10.75390625" style="3" hidden="1" customWidth="1"/>
    <col min="21" max="21" width="9.125" style="655" hidden="1" customWidth="1"/>
    <col min="22" max="22" width="9.875" style="102" bestFit="1" customWidth="1"/>
    <col min="23" max="23" width="11.75390625" style="102" bestFit="1" customWidth="1"/>
    <col min="24" max="16384" width="9.125" style="2" customWidth="1"/>
  </cols>
  <sheetData>
    <row r="1" ht="15.75">
      <c r="M1" s="221"/>
    </row>
    <row r="2" spans="12:23" ht="15" customHeight="1">
      <c r="L2" s="873" t="s">
        <v>826</v>
      </c>
      <c r="M2" s="873"/>
      <c r="N2" s="874"/>
      <c r="O2" s="874"/>
      <c r="P2" s="875"/>
      <c r="Q2" s="875"/>
      <c r="R2" s="875"/>
      <c r="S2" s="875"/>
      <c r="T2" s="875"/>
      <c r="U2" s="875"/>
      <c r="V2" s="875"/>
      <c r="W2" s="875"/>
    </row>
    <row r="3" spans="12:13" ht="15" customHeight="1">
      <c r="L3" s="221"/>
      <c r="M3" s="221"/>
    </row>
    <row r="4" spans="12:13" ht="15" customHeight="1">
      <c r="L4" s="221"/>
      <c r="M4" s="221"/>
    </row>
    <row r="5" spans="1:23" ht="15.75">
      <c r="A5" s="876" t="s">
        <v>281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5"/>
      <c r="N5" s="875"/>
      <c r="O5" s="875"/>
      <c r="P5" s="875"/>
      <c r="Q5" s="875"/>
      <c r="R5" s="875"/>
      <c r="S5" s="875"/>
      <c r="T5" s="875"/>
      <c r="U5" s="875"/>
      <c r="V5" s="875"/>
      <c r="W5" s="875"/>
    </row>
    <row r="6" spans="1:12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23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871" t="s">
        <v>35</v>
      </c>
      <c r="M8" s="871"/>
      <c r="N8" s="872"/>
      <c r="O8" s="872"/>
      <c r="P8" s="872"/>
      <c r="Q8" s="872"/>
      <c r="R8" s="872"/>
      <c r="S8" s="872"/>
      <c r="T8" s="872"/>
      <c r="U8" s="872"/>
      <c r="V8" s="872"/>
      <c r="W8" s="872"/>
    </row>
    <row r="9" spans="1:23" s="7" customFormat="1" ht="95.25">
      <c r="A9" s="6" t="s">
        <v>36</v>
      </c>
      <c r="B9" s="6" t="s">
        <v>37</v>
      </c>
      <c r="C9" s="6" t="s">
        <v>38</v>
      </c>
      <c r="D9" s="6" t="s">
        <v>39</v>
      </c>
      <c r="E9" s="6" t="s">
        <v>40</v>
      </c>
      <c r="F9" s="6" t="s">
        <v>41</v>
      </c>
      <c r="G9" s="6" t="s">
        <v>42</v>
      </c>
      <c r="H9" s="6" t="s">
        <v>43</v>
      </c>
      <c r="I9" s="6" t="s">
        <v>44</v>
      </c>
      <c r="J9" s="6" t="s">
        <v>45</v>
      </c>
      <c r="K9" s="6" t="s">
        <v>46</v>
      </c>
      <c r="L9" s="728" t="s">
        <v>47</v>
      </c>
      <c r="M9" s="729" t="s">
        <v>464</v>
      </c>
      <c r="N9" s="729" t="s">
        <v>366</v>
      </c>
      <c r="O9" s="729" t="s">
        <v>191</v>
      </c>
      <c r="P9" s="132" t="s">
        <v>483</v>
      </c>
      <c r="Q9" s="132" t="s">
        <v>484</v>
      </c>
      <c r="R9" s="730" t="s">
        <v>366</v>
      </c>
      <c r="S9" s="730" t="s">
        <v>529</v>
      </c>
      <c r="T9" s="132" t="s">
        <v>648</v>
      </c>
      <c r="U9" s="731" t="s">
        <v>484</v>
      </c>
      <c r="V9" s="750" t="s">
        <v>366</v>
      </c>
      <c r="W9" s="750" t="s">
        <v>675</v>
      </c>
    </row>
    <row r="10" spans="1:42" s="7" customFormat="1" ht="15">
      <c r="A10" s="134" t="s">
        <v>309</v>
      </c>
      <c r="B10" s="134" t="s">
        <v>310</v>
      </c>
      <c r="C10" s="134" t="s">
        <v>311</v>
      </c>
      <c r="D10" s="134" t="s">
        <v>312</v>
      </c>
      <c r="E10" s="134" t="s">
        <v>313</v>
      </c>
      <c r="F10" s="134" t="s">
        <v>314</v>
      </c>
      <c r="G10" s="134" t="s">
        <v>315</v>
      </c>
      <c r="H10" s="134" t="s">
        <v>316</v>
      </c>
      <c r="I10" s="134" t="s">
        <v>317</v>
      </c>
      <c r="J10" s="134" t="s">
        <v>318</v>
      </c>
      <c r="K10" s="134" t="s">
        <v>319</v>
      </c>
      <c r="L10" s="134" t="s">
        <v>320</v>
      </c>
      <c r="M10" s="135" t="s">
        <v>321</v>
      </c>
      <c r="N10" s="319" t="s">
        <v>322</v>
      </c>
      <c r="O10" s="319" t="s">
        <v>485</v>
      </c>
      <c r="P10" s="135" t="s">
        <v>323</v>
      </c>
      <c r="Q10" s="135" t="s">
        <v>482</v>
      </c>
      <c r="R10" s="554" t="s">
        <v>323</v>
      </c>
      <c r="S10" s="554" t="s">
        <v>322</v>
      </c>
      <c r="T10" s="135" t="s">
        <v>323</v>
      </c>
      <c r="U10" s="656" t="s">
        <v>482</v>
      </c>
      <c r="V10" s="138" t="s">
        <v>323</v>
      </c>
      <c r="W10" s="138" t="s">
        <v>482</v>
      </c>
      <c r="X10" s="30"/>
      <c r="Y10" s="30"/>
      <c r="Z10" s="3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</row>
    <row r="11" spans="1:42" ht="15">
      <c r="A11" s="8" t="s">
        <v>49</v>
      </c>
      <c r="B11" s="8"/>
      <c r="C11" s="8"/>
      <c r="D11" s="8"/>
      <c r="E11" s="8"/>
      <c r="F11" s="9"/>
      <c r="G11" s="9" t="s">
        <v>50</v>
      </c>
      <c r="H11" s="9"/>
      <c r="I11" s="9"/>
      <c r="J11" s="9"/>
      <c r="K11" s="9"/>
      <c r="L11" s="9"/>
      <c r="N11" s="20"/>
      <c r="O11" s="20"/>
      <c r="P11" s="20"/>
      <c r="Q11" s="20"/>
      <c r="R11" s="21"/>
      <c r="S11" s="21"/>
      <c r="T11" s="20"/>
      <c r="U11" s="657"/>
      <c r="V11" s="433"/>
      <c r="W11" s="433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5">
      <c r="A12" s="10"/>
      <c r="B12" s="10"/>
      <c r="C12" s="10" t="s">
        <v>51</v>
      </c>
      <c r="D12" s="10"/>
      <c r="E12" s="10"/>
      <c r="F12" s="11"/>
      <c r="G12" s="11"/>
      <c r="H12" s="11"/>
      <c r="I12" s="11" t="s">
        <v>52</v>
      </c>
      <c r="J12" s="11"/>
      <c r="K12" s="11"/>
      <c r="L12" s="11"/>
      <c r="M12" s="3">
        <v>141822</v>
      </c>
      <c r="N12" s="128">
        <v>0</v>
      </c>
      <c r="O12" s="128">
        <f>M12+N12</f>
        <v>141822</v>
      </c>
      <c r="P12" s="324">
        <v>66771</v>
      </c>
      <c r="Q12" s="128">
        <f>SUM(P12/O12)*100</f>
        <v>47.08084782332783</v>
      </c>
      <c r="R12" s="21">
        <v>68477</v>
      </c>
      <c r="S12" s="21">
        <f>O12+R12</f>
        <v>210299</v>
      </c>
      <c r="T12" s="128">
        <v>204420</v>
      </c>
      <c r="U12" s="658">
        <f>SUM(T12/S12)*100</f>
        <v>97.20445651191875</v>
      </c>
      <c r="V12" s="433">
        <v>170730</v>
      </c>
      <c r="W12" s="433">
        <f>S12+V12</f>
        <v>381029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23" s="16" customFormat="1" ht="15.75">
      <c r="A13" s="13"/>
      <c r="B13" s="13"/>
      <c r="C13" s="13"/>
      <c r="D13" s="13" t="s">
        <v>49</v>
      </c>
      <c r="E13" s="13"/>
      <c r="F13" s="14"/>
      <c r="G13" s="14"/>
      <c r="H13" s="14"/>
      <c r="I13" s="14"/>
      <c r="J13" s="14" t="s">
        <v>53</v>
      </c>
      <c r="K13" s="14"/>
      <c r="L13" s="14"/>
      <c r="M13" s="15">
        <f>SUM(M12)</f>
        <v>141822</v>
      </c>
      <c r="N13" s="323">
        <f>SUM(N12)</f>
        <v>0</v>
      </c>
      <c r="O13" s="323">
        <f>M13+N13</f>
        <v>141822</v>
      </c>
      <c r="P13" s="323">
        <f>SUM(P12)</f>
        <v>66771</v>
      </c>
      <c r="Q13" s="323">
        <f aca="true" t="shared" si="0" ref="Q13:Q83">SUM(P13/O13)*100</f>
        <v>47.08084782332783</v>
      </c>
      <c r="R13" s="522">
        <f>SUM(R12)</f>
        <v>68477</v>
      </c>
      <c r="S13" s="522">
        <f aca="true" t="shared" si="1" ref="S13:S83">O13+R13</f>
        <v>210299</v>
      </c>
      <c r="T13" s="320">
        <f>SUM(T12)</f>
        <v>204420</v>
      </c>
      <c r="U13" s="664">
        <f aca="true" t="shared" si="2" ref="U13:U83">SUM(T13/S13)*100</f>
        <v>97.20445651191875</v>
      </c>
      <c r="V13" s="323">
        <f>SUM(V12)</f>
        <v>170730</v>
      </c>
      <c r="W13" s="323">
        <f aca="true" t="shared" si="3" ref="W13:W74">S13+V13</f>
        <v>381029</v>
      </c>
    </row>
    <row r="14" spans="1:23" ht="15">
      <c r="A14" s="8"/>
      <c r="B14" s="8"/>
      <c r="C14" s="8"/>
      <c r="D14" s="8" t="s">
        <v>54</v>
      </c>
      <c r="E14" s="8"/>
      <c r="F14" s="9"/>
      <c r="G14" s="9"/>
      <c r="H14" s="9"/>
      <c r="I14" s="9"/>
      <c r="J14" s="9" t="s">
        <v>55</v>
      </c>
      <c r="K14" s="9"/>
      <c r="L14" s="9"/>
      <c r="O14" s="20"/>
      <c r="Q14" s="20"/>
      <c r="S14" s="21"/>
      <c r="U14" s="657"/>
      <c r="W14" s="433"/>
    </row>
    <row r="15" spans="1:23" ht="15">
      <c r="A15" s="17"/>
      <c r="B15" s="17"/>
      <c r="C15" s="17"/>
      <c r="D15" s="17"/>
      <c r="E15" s="18" t="s">
        <v>56</v>
      </c>
      <c r="F15" s="19"/>
      <c r="G15" s="19"/>
      <c r="H15" s="19"/>
      <c r="I15" s="19"/>
      <c r="J15" s="19"/>
      <c r="K15" s="19" t="s">
        <v>57</v>
      </c>
      <c r="L15" s="19"/>
      <c r="O15" s="20"/>
      <c r="Q15" s="20"/>
      <c r="S15" s="21"/>
      <c r="U15" s="657"/>
      <c r="W15" s="433"/>
    </row>
    <row r="16" spans="1:23" ht="15">
      <c r="A16" s="17"/>
      <c r="B16" s="17"/>
      <c r="C16" s="17"/>
      <c r="D16" s="17"/>
      <c r="E16" s="17"/>
      <c r="F16" s="19" t="s">
        <v>58</v>
      </c>
      <c r="G16" s="19"/>
      <c r="H16" s="19"/>
      <c r="I16" s="19"/>
      <c r="J16" s="19"/>
      <c r="K16" s="19"/>
      <c r="L16" s="19" t="s">
        <v>59</v>
      </c>
      <c r="M16" s="3">
        <v>125000</v>
      </c>
      <c r="N16" s="3">
        <v>0</v>
      </c>
      <c r="O16" s="20">
        <f>M16+N16</f>
        <v>125000</v>
      </c>
      <c r="P16" s="3">
        <v>60495</v>
      </c>
      <c r="Q16" s="20">
        <f t="shared" si="0"/>
        <v>48.396</v>
      </c>
      <c r="R16" s="626">
        <v>0</v>
      </c>
      <c r="S16" s="21">
        <f t="shared" si="1"/>
        <v>125000</v>
      </c>
      <c r="T16" s="20">
        <v>69747</v>
      </c>
      <c r="U16" s="657">
        <f t="shared" si="2"/>
        <v>55.7976</v>
      </c>
      <c r="V16" s="102">
        <v>0</v>
      </c>
      <c r="W16" s="433">
        <f t="shared" si="3"/>
        <v>125000</v>
      </c>
    </row>
    <row r="17" spans="1:23" ht="15">
      <c r="A17" s="17"/>
      <c r="B17" s="17"/>
      <c r="C17" s="17"/>
      <c r="D17" s="17"/>
      <c r="E17" s="17"/>
      <c r="F17" s="19" t="s">
        <v>60</v>
      </c>
      <c r="G17" s="19"/>
      <c r="H17" s="19"/>
      <c r="I17" s="19"/>
      <c r="J17" s="19"/>
      <c r="K17" s="19"/>
      <c r="L17" s="19" t="s">
        <v>61</v>
      </c>
      <c r="M17" s="3">
        <v>9000</v>
      </c>
      <c r="N17" s="3">
        <v>0</v>
      </c>
      <c r="O17" s="20">
        <f>M17+N17</f>
        <v>9000</v>
      </c>
      <c r="P17" s="3">
        <v>2543</v>
      </c>
      <c r="Q17" s="20">
        <f t="shared" si="0"/>
        <v>28.255555555555556</v>
      </c>
      <c r="R17" s="626">
        <v>0</v>
      </c>
      <c r="S17" s="21">
        <f t="shared" si="1"/>
        <v>9000</v>
      </c>
      <c r="T17" s="20">
        <v>5209</v>
      </c>
      <c r="U17" s="657">
        <f t="shared" si="2"/>
        <v>57.87777777777777</v>
      </c>
      <c r="V17" s="102">
        <v>190</v>
      </c>
      <c r="W17" s="433">
        <f t="shared" si="3"/>
        <v>9190</v>
      </c>
    </row>
    <row r="18" spans="1:23" ht="15">
      <c r="A18" s="17"/>
      <c r="B18" s="17"/>
      <c r="C18" s="17"/>
      <c r="D18" s="17"/>
      <c r="E18" s="17"/>
      <c r="F18" s="19" t="s">
        <v>62</v>
      </c>
      <c r="G18" s="19"/>
      <c r="H18" s="19"/>
      <c r="I18" s="19"/>
      <c r="J18" s="19"/>
      <c r="K18" s="19"/>
      <c r="L18" s="19" t="s">
        <v>63</v>
      </c>
      <c r="M18" s="3">
        <v>470000</v>
      </c>
      <c r="N18" s="128">
        <v>0</v>
      </c>
      <c r="O18" s="128">
        <f>M18+N18</f>
        <v>470000</v>
      </c>
      <c r="P18" s="128">
        <v>179797</v>
      </c>
      <c r="Q18" s="128">
        <f t="shared" si="0"/>
        <v>38.25468085106383</v>
      </c>
      <c r="R18" s="626">
        <v>0</v>
      </c>
      <c r="S18" s="21">
        <f t="shared" si="1"/>
        <v>470000</v>
      </c>
      <c r="T18" s="20">
        <v>275717</v>
      </c>
      <c r="U18" s="657">
        <f t="shared" si="2"/>
        <v>58.6631914893617</v>
      </c>
      <c r="V18" s="102">
        <v>0</v>
      </c>
      <c r="W18" s="433">
        <f t="shared" si="3"/>
        <v>470000</v>
      </c>
    </row>
    <row r="19" spans="1:23" ht="15">
      <c r="A19" s="17"/>
      <c r="B19" s="17"/>
      <c r="C19" s="17"/>
      <c r="D19" s="17"/>
      <c r="E19" s="17"/>
      <c r="F19" s="19" t="s">
        <v>655</v>
      </c>
      <c r="G19" s="19"/>
      <c r="H19" s="19"/>
      <c r="I19" s="19"/>
      <c r="J19" s="19"/>
      <c r="K19" s="19"/>
      <c r="L19" s="19" t="s">
        <v>656</v>
      </c>
      <c r="M19" s="3">
        <v>0</v>
      </c>
      <c r="N19" s="128"/>
      <c r="O19" s="128"/>
      <c r="P19" s="128"/>
      <c r="Q19" s="128"/>
      <c r="S19" s="21">
        <v>0</v>
      </c>
      <c r="T19" s="128">
        <v>4</v>
      </c>
      <c r="U19" s="658">
        <v>0</v>
      </c>
      <c r="V19" s="102">
        <v>0</v>
      </c>
      <c r="W19" s="433">
        <f t="shared" si="3"/>
        <v>0</v>
      </c>
    </row>
    <row r="20" spans="1:23" s="16" customFormat="1" ht="15.75">
      <c r="A20" s="13"/>
      <c r="B20" s="13"/>
      <c r="C20" s="13"/>
      <c r="D20" s="13"/>
      <c r="E20" s="13" t="s">
        <v>56</v>
      </c>
      <c r="F20" s="14"/>
      <c r="G20" s="14"/>
      <c r="H20" s="14"/>
      <c r="I20" s="14"/>
      <c r="J20" s="14"/>
      <c r="K20" s="14" t="s">
        <v>64</v>
      </c>
      <c r="L20" s="14"/>
      <c r="M20" s="15">
        <f>SUM(M16:M19)</f>
        <v>604000</v>
      </c>
      <c r="N20" s="323">
        <f>SUM(N16:N18)</f>
        <v>0</v>
      </c>
      <c r="O20" s="323">
        <f>M20+N20</f>
        <v>604000</v>
      </c>
      <c r="P20" s="320">
        <f>SUM(P16:P18)</f>
        <v>242835</v>
      </c>
      <c r="Q20" s="510">
        <f t="shared" si="0"/>
        <v>40.204470198675494</v>
      </c>
      <c r="R20" s="522">
        <v>0</v>
      </c>
      <c r="S20" s="522">
        <f t="shared" si="1"/>
        <v>604000</v>
      </c>
      <c r="T20" s="320">
        <f>SUM(T16:T19)</f>
        <v>350677</v>
      </c>
      <c r="U20" s="664">
        <f t="shared" si="2"/>
        <v>58.0591059602649</v>
      </c>
      <c r="V20" s="323">
        <f>SUM(V16:V19)</f>
        <v>190</v>
      </c>
      <c r="W20" s="323">
        <f t="shared" si="3"/>
        <v>604190</v>
      </c>
    </row>
    <row r="21" spans="1:23" ht="15">
      <c r="A21" s="8"/>
      <c r="B21" s="8"/>
      <c r="C21" s="8"/>
      <c r="D21" s="8"/>
      <c r="E21" s="8" t="s">
        <v>65</v>
      </c>
      <c r="F21" s="9"/>
      <c r="G21" s="9"/>
      <c r="H21" s="9"/>
      <c r="I21" s="9"/>
      <c r="J21" s="9"/>
      <c r="K21" s="9" t="s">
        <v>66</v>
      </c>
      <c r="L21" s="9"/>
      <c r="O21" s="20"/>
      <c r="Q21" s="20"/>
      <c r="S21" s="21"/>
      <c r="U21" s="657"/>
      <c r="W21" s="433"/>
    </row>
    <row r="22" spans="1:23" ht="15">
      <c r="A22" s="17"/>
      <c r="B22" s="17"/>
      <c r="C22" s="17"/>
      <c r="D22" s="17"/>
      <c r="E22" s="17"/>
      <c r="F22" s="19" t="s">
        <v>67</v>
      </c>
      <c r="G22" s="19"/>
      <c r="H22" s="19"/>
      <c r="I22" s="19"/>
      <c r="J22" s="19"/>
      <c r="K22" s="19"/>
      <c r="L22" s="19" t="s">
        <v>68</v>
      </c>
      <c r="M22" s="3">
        <v>42000</v>
      </c>
      <c r="N22" s="128">
        <v>0</v>
      </c>
      <c r="O22" s="128">
        <f>M22+N22</f>
        <v>42000</v>
      </c>
      <c r="P22" s="128">
        <v>1223</v>
      </c>
      <c r="Q22" s="128">
        <f t="shared" si="0"/>
        <v>2.9119047619047618</v>
      </c>
      <c r="R22" s="626">
        <v>0</v>
      </c>
      <c r="S22" s="21">
        <f t="shared" si="1"/>
        <v>42000</v>
      </c>
      <c r="T22" s="3">
        <v>21529</v>
      </c>
      <c r="U22" s="658">
        <f t="shared" si="2"/>
        <v>51.25952380952381</v>
      </c>
      <c r="V22" s="102">
        <v>0</v>
      </c>
      <c r="W22" s="433">
        <f t="shared" si="3"/>
        <v>42000</v>
      </c>
    </row>
    <row r="23" spans="1:23" s="16" customFormat="1" ht="15.75">
      <c r="A23" s="13"/>
      <c r="B23" s="13"/>
      <c r="C23" s="13"/>
      <c r="D23" s="13"/>
      <c r="E23" s="13" t="s">
        <v>65</v>
      </c>
      <c r="F23" s="14"/>
      <c r="G23" s="14"/>
      <c r="H23" s="14"/>
      <c r="I23" s="14"/>
      <c r="J23" s="14"/>
      <c r="K23" s="14" t="s">
        <v>64</v>
      </c>
      <c r="L23" s="14"/>
      <c r="M23" s="15">
        <f>SUM(M22:M22)</f>
        <v>42000</v>
      </c>
      <c r="N23" s="323">
        <f>SUM(N22)</f>
        <v>0</v>
      </c>
      <c r="O23" s="323">
        <f>M23+N23</f>
        <v>42000</v>
      </c>
      <c r="P23" s="320">
        <f>SUM(P22)</f>
        <v>1223</v>
      </c>
      <c r="Q23" s="510">
        <f t="shared" si="0"/>
        <v>2.9119047619047618</v>
      </c>
      <c r="R23" s="522">
        <v>0</v>
      </c>
      <c r="S23" s="522">
        <f t="shared" si="1"/>
        <v>42000</v>
      </c>
      <c r="T23" s="320">
        <f>SUM(T22)</f>
        <v>21529</v>
      </c>
      <c r="U23" s="664">
        <f t="shared" si="2"/>
        <v>51.25952380952381</v>
      </c>
      <c r="V23" s="323">
        <f>SUM(V22)</f>
        <v>0</v>
      </c>
      <c r="W23" s="323">
        <f t="shared" si="3"/>
        <v>42000</v>
      </c>
    </row>
    <row r="24" spans="1:23" ht="15">
      <c r="A24" s="17"/>
      <c r="B24" s="17"/>
      <c r="C24" s="17"/>
      <c r="D24" s="17"/>
      <c r="E24" s="17" t="s">
        <v>69</v>
      </c>
      <c r="F24" s="19"/>
      <c r="G24" s="19"/>
      <c r="H24" s="19"/>
      <c r="I24" s="19"/>
      <c r="J24" s="19"/>
      <c r="K24" s="19" t="s">
        <v>70</v>
      </c>
      <c r="L24" s="19"/>
      <c r="O24" s="20"/>
      <c r="Q24" s="20"/>
      <c r="S24" s="21"/>
      <c r="U24" s="657"/>
      <c r="W24" s="433"/>
    </row>
    <row r="25" spans="1:23" ht="15">
      <c r="A25" s="17"/>
      <c r="B25" s="17"/>
      <c r="C25" s="17"/>
      <c r="D25" s="17"/>
      <c r="E25" s="17"/>
      <c r="F25" s="19" t="s">
        <v>71</v>
      </c>
      <c r="G25" s="19"/>
      <c r="H25" s="19"/>
      <c r="I25" s="19"/>
      <c r="J25" s="19"/>
      <c r="K25" s="19"/>
      <c r="L25" s="19" t="s">
        <v>72</v>
      </c>
      <c r="M25" s="3">
        <v>5000</v>
      </c>
      <c r="N25" s="3">
        <v>0</v>
      </c>
      <c r="O25" s="20">
        <f aca="true" t="shared" si="4" ref="O25:O31">M25+N25</f>
        <v>5000</v>
      </c>
      <c r="P25" s="102">
        <v>1241</v>
      </c>
      <c r="Q25" s="20">
        <f t="shared" si="0"/>
        <v>24.82</v>
      </c>
      <c r="R25" s="626">
        <v>0</v>
      </c>
      <c r="S25" s="21">
        <f t="shared" si="1"/>
        <v>5000</v>
      </c>
      <c r="T25" s="20">
        <v>3652</v>
      </c>
      <c r="U25" s="657">
        <f t="shared" si="2"/>
        <v>73.04</v>
      </c>
      <c r="V25" s="102">
        <v>0</v>
      </c>
      <c r="W25" s="433">
        <f t="shared" si="3"/>
        <v>5000</v>
      </c>
    </row>
    <row r="26" spans="1:23" ht="15">
      <c r="A26" s="17"/>
      <c r="B26" s="17"/>
      <c r="C26" s="17"/>
      <c r="D26" s="17"/>
      <c r="E26" s="17"/>
      <c r="F26" s="19" t="s">
        <v>73</v>
      </c>
      <c r="G26" s="19"/>
      <c r="H26" s="19"/>
      <c r="I26" s="19"/>
      <c r="J26" s="19"/>
      <c r="K26" s="19"/>
      <c r="L26" s="19" t="s">
        <v>74</v>
      </c>
      <c r="M26" s="3">
        <v>1000</v>
      </c>
      <c r="N26" s="3">
        <v>0</v>
      </c>
      <c r="O26" s="20">
        <f t="shared" si="4"/>
        <v>1000</v>
      </c>
      <c r="P26" s="102">
        <v>0</v>
      </c>
      <c r="Q26" s="20">
        <f t="shared" si="0"/>
        <v>0</v>
      </c>
      <c r="R26" s="626">
        <v>0</v>
      </c>
      <c r="S26" s="21">
        <f t="shared" si="1"/>
        <v>1000</v>
      </c>
      <c r="T26" s="20">
        <v>0</v>
      </c>
      <c r="U26" s="657">
        <f t="shared" si="2"/>
        <v>0</v>
      </c>
      <c r="V26" s="102">
        <v>0</v>
      </c>
      <c r="W26" s="433">
        <f t="shared" si="3"/>
        <v>1000</v>
      </c>
    </row>
    <row r="27" spans="1:23" ht="15">
      <c r="A27" s="17"/>
      <c r="B27" s="17"/>
      <c r="C27" s="17"/>
      <c r="D27" s="17"/>
      <c r="E27" s="17"/>
      <c r="F27" s="19" t="s">
        <v>75</v>
      </c>
      <c r="G27" s="19"/>
      <c r="H27" s="19"/>
      <c r="I27" s="19"/>
      <c r="J27" s="19"/>
      <c r="K27" s="19"/>
      <c r="L27" s="19" t="s">
        <v>76</v>
      </c>
      <c r="M27" s="3">
        <v>32000</v>
      </c>
      <c r="N27" s="3">
        <v>0</v>
      </c>
      <c r="O27" s="20">
        <f t="shared" si="4"/>
        <v>32000</v>
      </c>
      <c r="P27" s="102">
        <v>9637</v>
      </c>
      <c r="Q27" s="20">
        <f t="shared" si="0"/>
        <v>30.115625</v>
      </c>
      <c r="R27" s="626">
        <v>0</v>
      </c>
      <c r="S27" s="21">
        <f t="shared" si="1"/>
        <v>32000</v>
      </c>
      <c r="T27" s="20">
        <v>11889</v>
      </c>
      <c r="U27" s="657">
        <f t="shared" si="2"/>
        <v>37.153124999999996</v>
      </c>
      <c r="V27" s="102">
        <v>0</v>
      </c>
      <c r="W27" s="433">
        <f t="shared" si="3"/>
        <v>32000</v>
      </c>
    </row>
    <row r="28" spans="1:23" ht="15">
      <c r="A28" s="10"/>
      <c r="B28" s="10"/>
      <c r="C28" s="10"/>
      <c r="D28" s="10"/>
      <c r="E28" s="10"/>
      <c r="F28" s="22" t="s">
        <v>77</v>
      </c>
      <c r="G28" s="11"/>
      <c r="H28" s="11"/>
      <c r="I28" s="11"/>
      <c r="J28" s="11"/>
      <c r="K28" s="11"/>
      <c r="L28" s="11" t="s">
        <v>78</v>
      </c>
      <c r="M28" s="3">
        <v>1000</v>
      </c>
      <c r="N28" s="128">
        <v>0</v>
      </c>
      <c r="O28" s="128">
        <f t="shared" si="4"/>
        <v>1000</v>
      </c>
      <c r="P28" s="324">
        <v>854</v>
      </c>
      <c r="Q28" s="128">
        <f t="shared" si="0"/>
        <v>85.39999999999999</v>
      </c>
      <c r="R28" s="626">
        <v>0</v>
      </c>
      <c r="S28" s="21">
        <f t="shared" si="1"/>
        <v>1000</v>
      </c>
      <c r="T28" s="128">
        <v>2352</v>
      </c>
      <c r="U28" s="658">
        <f t="shared" si="2"/>
        <v>235.2</v>
      </c>
      <c r="V28" s="102">
        <v>0</v>
      </c>
      <c r="W28" s="433">
        <f t="shared" si="3"/>
        <v>1000</v>
      </c>
    </row>
    <row r="29" spans="1:23" s="16" customFormat="1" ht="15.75">
      <c r="A29" s="13"/>
      <c r="B29" s="13"/>
      <c r="C29" s="13"/>
      <c r="D29" s="13"/>
      <c r="E29" s="13" t="s">
        <v>69</v>
      </c>
      <c r="F29" s="14"/>
      <c r="G29" s="14"/>
      <c r="H29" s="14"/>
      <c r="I29" s="14"/>
      <c r="J29" s="14"/>
      <c r="K29" s="14" t="s">
        <v>64</v>
      </c>
      <c r="L29" s="14"/>
      <c r="M29" s="15">
        <f>SUM(M25:M28)</f>
        <v>39000</v>
      </c>
      <c r="N29" s="323">
        <f>SUM(N25:N28)</f>
        <v>0</v>
      </c>
      <c r="O29" s="323">
        <f t="shared" si="4"/>
        <v>39000</v>
      </c>
      <c r="P29" s="323">
        <f>SUM(P25:P28)</f>
        <v>11732</v>
      </c>
      <c r="Q29" s="323">
        <f t="shared" si="0"/>
        <v>30.08205128205128</v>
      </c>
      <c r="R29" s="522">
        <v>0</v>
      </c>
      <c r="S29" s="522">
        <f t="shared" si="1"/>
        <v>39000</v>
      </c>
      <c r="T29" s="23">
        <f>SUM(T25:T28)</f>
        <v>17893</v>
      </c>
      <c r="U29" s="664">
        <f t="shared" si="2"/>
        <v>45.87948717948718</v>
      </c>
      <c r="V29" s="323">
        <f>SUM(V25:V28)</f>
        <v>0</v>
      </c>
      <c r="W29" s="323">
        <f t="shared" si="3"/>
        <v>39000</v>
      </c>
    </row>
    <row r="30" spans="1:23" s="16" customFormat="1" ht="15.75">
      <c r="A30" s="13"/>
      <c r="B30" s="13"/>
      <c r="C30" s="13"/>
      <c r="D30" s="13" t="s">
        <v>54</v>
      </c>
      <c r="E30" s="13"/>
      <c r="G30" s="14"/>
      <c r="H30" s="14"/>
      <c r="I30" s="14"/>
      <c r="J30" s="14" t="s">
        <v>79</v>
      </c>
      <c r="K30" s="14"/>
      <c r="L30" s="14"/>
      <c r="M30" s="15">
        <f>SUM(M20+M23+M29)</f>
        <v>685000</v>
      </c>
      <c r="N30" s="323">
        <v>0</v>
      </c>
      <c r="O30" s="323">
        <f t="shared" si="4"/>
        <v>685000</v>
      </c>
      <c r="P30" s="323">
        <f>P20+P23+P29</f>
        <v>255790</v>
      </c>
      <c r="Q30" s="323">
        <f t="shared" si="0"/>
        <v>37.34160583941606</v>
      </c>
      <c r="R30" s="627">
        <v>0</v>
      </c>
      <c r="S30" s="628">
        <f t="shared" si="1"/>
        <v>685000</v>
      </c>
      <c r="T30" s="320">
        <f>T20+T23+T29</f>
        <v>390099</v>
      </c>
      <c r="U30" s="664">
        <f t="shared" si="2"/>
        <v>56.94875912408759</v>
      </c>
      <c r="V30" s="681">
        <f>V20+V23+V29</f>
        <v>190</v>
      </c>
      <c r="W30" s="663">
        <f t="shared" si="3"/>
        <v>685190</v>
      </c>
    </row>
    <row r="31" spans="1:23" ht="15.75">
      <c r="A31" s="13"/>
      <c r="B31" s="13"/>
      <c r="C31" s="13" t="s">
        <v>51</v>
      </c>
      <c r="D31" s="13"/>
      <c r="E31" s="14" t="s">
        <v>80</v>
      </c>
      <c r="F31" s="14"/>
      <c r="G31" s="24"/>
      <c r="H31" s="14"/>
      <c r="I31" s="14"/>
      <c r="J31" s="14"/>
      <c r="K31" s="14"/>
      <c r="L31" s="14"/>
      <c r="M31" s="15">
        <f>SUM(M13+M30)</f>
        <v>826822</v>
      </c>
      <c r="N31" s="323">
        <v>0</v>
      </c>
      <c r="O31" s="323">
        <f t="shared" si="4"/>
        <v>826822</v>
      </c>
      <c r="P31" s="323">
        <f>P13+P30</f>
        <v>322561</v>
      </c>
      <c r="Q31" s="323">
        <f t="shared" si="0"/>
        <v>39.01214529850439</v>
      </c>
      <c r="R31" s="522">
        <f>R13+R30</f>
        <v>68477</v>
      </c>
      <c r="S31" s="522">
        <f t="shared" si="1"/>
        <v>895299</v>
      </c>
      <c r="T31" s="323">
        <f>T13+T30</f>
        <v>594519</v>
      </c>
      <c r="U31" s="664">
        <f t="shared" si="2"/>
        <v>66.40451960741606</v>
      </c>
      <c r="V31" s="323">
        <f>V13+V30</f>
        <v>170920</v>
      </c>
      <c r="W31" s="323">
        <f t="shared" si="3"/>
        <v>1066219</v>
      </c>
    </row>
    <row r="32" spans="3:23" ht="15">
      <c r="C32" s="1" t="s">
        <v>81</v>
      </c>
      <c r="I32" s="2" t="s">
        <v>82</v>
      </c>
      <c r="O32" s="20"/>
      <c r="Q32" s="20"/>
      <c r="S32" s="21"/>
      <c r="U32" s="657"/>
      <c r="W32" s="433"/>
    </row>
    <row r="33" spans="4:23" ht="15">
      <c r="D33" s="1" t="s">
        <v>49</v>
      </c>
      <c r="J33" s="2" t="s">
        <v>83</v>
      </c>
      <c r="O33" s="20"/>
      <c r="Q33" s="20"/>
      <c r="S33" s="21"/>
      <c r="T33" s="20"/>
      <c r="U33" s="657"/>
      <c r="W33" s="433"/>
    </row>
    <row r="34" spans="5:23" ht="15">
      <c r="E34" s="1" t="s">
        <v>84</v>
      </c>
      <c r="K34" s="2" t="s">
        <v>394</v>
      </c>
      <c r="O34" s="20"/>
      <c r="Q34" s="20"/>
      <c r="S34" s="21"/>
      <c r="T34" s="20"/>
      <c r="U34" s="657"/>
      <c r="W34" s="433"/>
    </row>
    <row r="35" spans="6:23" ht="15">
      <c r="F35" s="2" t="s">
        <v>85</v>
      </c>
      <c r="L35" s="2" t="s">
        <v>395</v>
      </c>
      <c r="M35" s="3">
        <v>160835</v>
      </c>
      <c r="N35" s="3">
        <v>0</v>
      </c>
      <c r="O35" s="20">
        <f>M35+N35</f>
        <v>160835</v>
      </c>
      <c r="P35" s="3">
        <v>25117</v>
      </c>
      <c r="Q35" s="20">
        <f t="shared" si="0"/>
        <v>15.616625734448347</v>
      </c>
      <c r="R35" s="626">
        <v>0</v>
      </c>
      <c r="S35" s="21">
        <f t="shared" si="1"/>
        <v>160835</v>
      </c>
      <c r="T35" s="433">
        <v>80418</v>
      </c>
      <c r="U35" s="657">
        <f t="shared" si="2"/>
        <v>50.00031087760749</v>
      </c>
      <c r="V35" s="102">
        <v>0</v>
      </c>
      <c r="W35" s="433">
        <f t="shared" si="3"/>
        <v>160835</v>
      </c>
    </row>
    <row r="36" spans="6:23" ht="15">
      <c r="F36" s="2" t="s">
        <v>86</v>
      </c>
      <c r="L36" s="2" t="s">
        <v>396</v>
      </c>
      <c r="M36" s="3">
        <v>87084</v>
      </c>
      <c r="N36" s="3">
        <v>0</v>
      </c>
      <c r="O36" s="20">
        <f>M36+N36</f>
        <v>87084</v>
      </c>
      <c r="P36" s="3">
        <v>12975</v>
      </c>
      <c r="Q36" s="20">
        <f t="shared" si="0"/>
        <v>14.899407468650958</v>
      </c>
      <c r="R36" s="626">
        <v>0</v>
      </c>
      <c r="S36" s="21">
        <f t="shared" si="1"/>
        <v>87084</v>
      </c>
      <c r="T36" s="433">
        <v>41484</v>
      </c>
      <c r="U36" s="657">
        <f t="shared" si="2"/>
        <v>47.636764503238254</v>
      </c>
      <c r="V36" s="102">
        <v>-5072</v>
      </c>
      <c r="W36" s="433">
        <f t="shared" si="3"/>
        <v>82012</v>
      </c>
    </row>
    <row r="37" spans="6:23" ht="15">
      <c r="F37" s="2" t="s">
        <v>326</v>
      </c>
      <c r="L37" s="2" t="s">
        <v>397</v>
      </c>
      <c r="M37" s="3">
        <v>31518</v>
      </c>
      <c r="N37" s="3">
        <v>22811</v>
      </c>
      <c r="O37" s="20">
        <f>M37+N37</f>
        <v>54329</v>
      </c>
      <c r="P37" s="3">
        <v>34092</v>
      </c>
      <c r="Q37" s="20">
        <f t="shared" si="0"/>
        <v>62.751016952272266</v>
      </c>
      <c r="R37" s="626">
        <v>22690</v>
      </c>
      <c r="S37" s="21">
        <f t="shared" si="1"/>
        <v>77019</v>
      </c>
      <c r="T37" s="433">
        <v>61260</v>
      </c>
      <c r="U37" s="657">
        <f t="shared" si="2"/>
        <v>79.53881509757332</v>
      </c>
      <c r="V37" s="102">
        <v>123185</v>
      </c>
      <c r="W37" s="433">
        <f t="shared" si="3"/>
        <v>200204</v>
      </c>
    </row>
    <row r="38" spans="6:23" ht="15">
      <c r="F38" s="2" t="s">
        <v>327</v>
      </c>
      <c r="L38" s="2" t="s">
        <v>398</v>
      </c>
      <c r="M38" s="3">
        <v>19452</v>
      </c>
      <c r="N38" s="128">
        <v>0</v>
      </c>
      <c r="O38" s="128">
        <f>M38+N38</f>
        <v>19452</v>
      </c>
      <c r="P38" s="128">
        <v>2529</v>
      </c>
      <c r="Q38" s="128">
        <f t="shared" si="0"/>
        <v>13.001233806292412</v>
      </c>
      <c r="R38" s="626">
        <v>21238</v>
      </c>
      <c r="S38" s="21">
        <f t="shared" si="1"/>
        <v>40690</v>
      </c>
      <c r="T38" s="324">
        <v>31220</v>
      </c>
      <c r="U38" s="658">
        <f t="shared" si="2"/>
        <v>76.72646841975916</v>
      </c>
      <c r="V38" s="102">
        <v>0</v>
      </c>
      <c r="W38" s="433">
        <f t="shared" si="3"/>
        <v>40690</v>
      </c>
    </row>
    <row r="39" spans="1:23" s="16" customFormat="1" ht="15.75">
      <c r="A39" s="13"/>
      <c r="B39" s="13"/>
      <c r="C39" s="13"/>
      <c r="D39" s="13"/>
      <c r="E39" s="25" t="s">
        <v>84</v>
      </c>
      <c r="F39" s="14" t="s">
        <v>87</v>
      </c>
      <c r="G39" s="14"/>
      <c r="H39" s="14"/>
      <c r="I39" s="14"/>
      <c r="J39" s="14"/>
      <c r="K39" s="14" t="s">
        <v>64</v>
      </c>
      <c r="L39" s="14"/>
      <c r="M39" s="15">
        <f>SUM(M35:M38)</f>
        <v>298889</v>
      </c>
      <c r="N39" s="323">
        <f>SUM(N35:N38)</f>
        <v>22811</v>
      </c>
      <c r="O39" s="323">
        <f>M39+N39</f>
        <v>321700</v>
      </c>
      <c r="P39" s="320">
        <f>SUM(P35:P38)</f>
        <v>74713</v>
      </c>
      <c r="Q39" s="323">
        <f t="shared" si="0"/>
        <v>23.22443270127448</v>
      </c>
      <c r="R39" s="522">
        <f>SUM(R35:R38)</f>
        <v>43928</v>
      </c>
      <c r="S39" s="522">
        <f t="shared" si="1"/>
        <v>365628</v>
      </c>
      <c r="T39" s="323">
        <f>SUM(T35:T38)</f>
        <v>214382</v>
      </c>
      <c r="U39" s="664">
        <f t="shared" si="2"/>
        <v>58.63391206362751</v>
      </c>
      <c r="V39" s="323">
        <f>SUM(V35:V38)</f>
        <v>118113</v>
      </c>
      <c r="W39" s="323">
        <f t="shared" si="3"/>
        <v>483741</v>
      </c>
    </row>
    <row r="40" spans="5:23" ht="15">
      <c r="E40" s="1" t="s">
        <v>88</v>
      </c>
      <c r="K40" s="2" t="s">
        <v>89</v>
      </c>
      <c r="O40" s="20"/>
      <c r="Q40" s="20"/>
      <c r="S40" s="21"/>
      <c r="U40" s="657"/>
      <c r="W40" s="433"/>
    </row>
    <row r="41" spans="6:23" ht="15">
      <c r="F41" s="2" t="s">
        <v>90</v>
      </c>
      <c r="L41" s="2" t="s">
        <v>91</v>
      </c>
      <c r="M41" s="3">
        <v>0</v>
      </c>
      <c r="N41" s="3">
        <v>24</v>
      </c>
      <c r="O41" s="20">
        <f aca="true" t="shared" si="5" ref="O41:O56">M41+N41</f>
        <v>24</v>
      </c>
      <c r="P41" s="3">
        <v>24</v>
      </c>
      <c r="Q41" s="20">
        <f t="shared" si="0"/>
        <v>100</v>
      </c>
      <c r="R41" s="626">
        <v>0</v>
      </c>
      <c r="S41" s="21">
        <f t="shared" si="1"/>
        <v>24</v>
      </c>
      <c r="T41" s="20">
        <v>21</v>
      </c>
      <c r="U41" s="657">
        <f t="shared" si="2"/>
        <v>87.5</v>
      </c>
      <c r="V41" s="102">
        <v>36</v>
      </c>
      <c r="W41" s="433">
        <f t="shared" si="3"/>
        <v>60</v>
      </c>
    </row>
    <row r="42" spans="6:23" ht="15">
      <c r="F42" s="2" t="s">
        <v>92</v>
      </c>
      <c r="L42" s="2" t="s">
        <v>399</v>
      </c>
      <c r="M42" s="3">
        <v>0</v>
      </c>
      <c r="N42" s="3">
        <v>0</v>
      </c>
      <c r="O42" s="20">
        <f t="shared" si="5"/>
        <v>0</v>
      </c>
      <c r="P42" s="3">
        <v>432</v>
      </c>
      <c r="Q42" s="20">
        <v>0</v>
      </c>
      <c r="R42" s="626">
        <v>0</v>
      </c>
      <c r="S42" s="21">
        <f t="shared" si="1"/>
        <v>0</v>
      </c>
      <c r="T42" s="20">
        <v>432</v>
      </c>
      <c r="U42" s="657">
        <v>0</v>
      </c>
      <c r="V42" s="102">
        <v>432</v>
      </c>
      <c r="W42" s="433">
        <f t="shared" si="3"/>
        <v>432</v>
      </c>
    </row>
    <row r="43" spans="6:23" ht="15">
      <c r="F43" s="2" t="s">
        <v>93</v>
      </c>
      <c r="L43" s="2" t="s">
        <v>477</v>
      </c>
      <c r="M43" s="3">
        <v>0</v>
      </c>
      <c r="N43" s="3">
        <v>82330</v>
      </c>
      <c r="O43" s="20">
        <f t="shared" si="5"/>
        <v>82330</v>
      </c>
      <c r="P43" s="102">
        <v>81962</v>
      </c>
      <c r="Q43" s="20">
        <f t="shared" si="0"/>
        <v>99.55301834082351</v>
      </c>
      <c r="R43" s="626">
        <v>-368</v>
      </c>
      <c r="S43" s="21">
        <f t="shared" si="1"/>
        <v>81962</v>
      </c>
      <c r="T43" s="20">
        <v>81962</v>
      </c>
      <c r="U43" s="657">
        <f t="shared" si="2"/>
        <v>100</v>
      </c>
      <c r="V43" s="102">
        <v>0</v>
      </c>
      <c r="W43" s="433">
        <f t="shared" si="3"/>
        <v>81962</v>
      </c>
    </row>
    <row r="44" spans="6:23" ht="15">
      <c r="F44" s="2" t="s">
        <v>390</v>
      </c>
      <c r="L44" s="2" t="s">
        <v>400</v>
      </c>
      <c r="M44" s="3">
        <v>0</v>
      </c>
      <c r="N44" s="3">
        <v>0</v>
      </c>
      <c r="O44" s="20">
        <f t="shared" si="5"/>
        <v>0</v>
      </c>
      <c r="P44" s="3">
        <v>0</v>
      </c>
      <c r="Q44" s="20">
        <v>0</v>
      </c>
      <c r="R44" s="626">
        <v>0</v>
      </c>
      <c r="S44" s="21">
        <f t="shared" si="1"/>
        <v>0</v>
      </c>
      <c r="T44" s="20">
        <v>4491</v>
      </c>
      <c r="U44" s="657">
        <v>0</v>
      </c>
      <c r="V44" s="102">
        <v>4491</v>
      </c>
      <c r="W44" s="433">
        <f t="shared" si="3"/>
        <v>4491</v>
      </c>
    </row>
    <row r="45" spans="6:23" ht="15">
      <c r="F45" s="2" t="s">
        <v>391</v>
      </c>
      <c r="L45" s="2" t="s">
        <v>404</v>
      </c>
      <c r="M45" s="3">
        <v>0</v>
      </c>
      <c r="N45" s="3">
        <v>0</v>
      </c>
      <c r="O45" s="20">
        <f t="shared" si="5"/>
        <v>0</v>
      </c>
      <c r="P45" s="3">
        <v>0</v>
      </c>
      <c r="Q45" s="20">
        <v>0</v>
      </c>
      <c r="R45" s="626">
        <v>0</v>
      </c>
      <c r="S45" s="21">
        <f t="shared" si="1"/>
        <v>0</v>
      </c>
      <c r="T45" s="20">
        <v>0</v>
      </c>
      <c r="U45" s="657">
        <v>0</v>
      </c>
      <c r="V45" s="102">
        <v>0</v>
      </c>
      <c r="W45" s="433">
        <f t="shared" si="3"/>
        <v>0</v>
      </c>
    </row>
    <row r="46" spans="6:23" ht="15">
      <c r="F46" s="2" t="s">
        <v>392</v>
      </c>
      <c r="L46" s="2" t="s">
        <v>401</v>
      </c>
      <c r="M46" s="3">
        <v>0</v>
      </c>
      <c r="N46" s="3">
        <v>0</v>
      </c>
      <c r="O46" s="20">
        <f t="shared" si="5"/>
        <v>0</v>
      </c>
      <c r="P46" s="3">
        <v>0</v>
      </c>
      <c r="Q46" s="20">
        <v>0</v>
      </c>
      <c r="R46" s="626">
        <v>0</v>
      </c>
      <c r="S46" s="21">
        <f t="shared" si="1"/>
        <v>0</v>
      </c>
      <c r="T46" s="20">
        <v>0</v>
      </c>
      <c r="U46" s="657">
        <v>0</v>
      </c>
      <c r="V46" s="102">
        <v>545</v>
      </c>
      <c r="W46" s="433">
        <f t="shared" si="3"/>
        <v>545</v>
      </c>
    </row>
    <row r="47" spans="6:23" ht="15">
      <c r="F47" s="2" t="s">
        <v>393</v>
      </c>
      <c r="L47" s="2" t="s">
        <v>405</v>
      </c>
      <c r="M47" s="3">
        <v>0</v>
      </c>
      <c r="N47" s="3">
        <v>362</v>
      </c>
      <c r="O47" s="20">
        <f t="shared" si="5"/>
        <v>362</v>
      </c>
      <c r="P47" s="3">
        <v>1064</v>
      </c>
      <c r="Q47" s="20">
        <f t="shared" si="0"/>
        <v>293.9226519337017</v>
      </c>
      <c r="R47" s="626">
        <v>4371</v>
      </c>
      <c r="S47" s="21">
        <f t="shared" si="1"/>
        <v>4733</v>
      </c>
      <c r="T47" s="20">
        <v>4427</v>
      </c>
      <c r="U47" s="657">
        <f t="shared" si="2"/>
        <v>93.53475596873018</v>
      </c>
      <c r="V47" s="102">
        <v>4329</v>
      </c>
      <c r="W47" s="433">
        <f t="shared" si="3"/>
        <v>9062</v>
      </c>
    </row>
    <row r="48" spans="6:23" ht="15">
      <c r="F48" s="2" t="s">
        <v>402</v>
      </c>
      <c r="L48" s="2" t="s">
        <v>325</v>
      </c>
      <c r="M48" s="3">
        <v>10872</v>
      </c>
      <c r="N48" s="3">
        <v>0</v>
      </c>
      <c r="O48" s="20">
        <f t="shared" si="5"/>
        <v>10872</v>
      </c>
      <c r="P48" s="3">
        <v>1413</v>
      </c>
      <c r="Q48" s="20">
        <f t="shared" si="0"/>
        <v>12.996688741721854</v>
      </c>
      <c r="R48" s="626">
        <v>0</v>
      </c>
      <c r="S48" s="21">
        <f t="shared" si="1"/>
        <v>10872</v>
      </c>
      <c r="T48" s="20">
        <v>5436</v>
      </c>
      <c r="U48" s="657">
        <f t="shared" si="2"/>
        <v>50</v>
      </c>
      <c r="V48" s="102">
        <v>0</v>
      </c>
      <c r="W48" s="433">
        <f t="shared" si="3"/>
        <v>10872</v>
      </c>
    </row>
    <row r="49" spans="6:23" ht="15">
      <c r="F49" s="2" t="s">
        <v>403</v>
      </c>
      <c r="L49" s="2" t="s">
        <v>406</v>
      </c>
      <c r="M49" s="3">
        <v>5306</v>
      </c>
      <c r="N49" s="20">
        <v>0</v>
      </c>
      <c r="O49" s="20">
        <f t="shared" si="5"/>
        <v>5306</v>
      </c>
      <c r="P49" s="20">
        <v>1327</v>
      </c>
      <c r="Q49" s="128">
        <f t="shared" si="0"/>
        <v>25.009423294383716</v>
      </c>
      <c r="R49" s="626">
        <v>-1</v>
      </c>
      <c r="S49" s="21">
        <f t="shared" si="1"/>
        <v>5305</v>
      </c>
      <c r="T49" s="3">
        <v>2653</v>
      </c>
      <c r="U49" s="658">
        <f t="shared" si="2"/>
        <v>50.00942507068803</v>
      </c>
      <c r="V49" s="102">
        <v>0</v>
      </c>
      <c r="W49" s="433">
        <f t="shared" si="3"/>
        <v>5305</v>
      </c>
    </row>
    <row r="50" spans="1:23" s="16" customFormat="1" ht="15.75">
      <c r="A50" s="13"/>
      <c r="B50" s="13"/>
      <c r="C50" s="13"/>
      <c r="D50" s="13"/>
      <c r="E50" s="13" t="s">
        <v>88</v>
      </c>
      <c r="F50" s="14"/>
      <c r="G50" s="14"/>
      <c r="H50" s="14"/>
      <c r="I50" s="14"/>
      <c r="J50" s="14"/>
      <c r="K50" s="14" t="s">
        <v>64</v>
      </c>
      <c r="L50" s="14"/>
      <c r="M50" s="15">
        <f>SUM(M41:M49)</f>
        <v>16178</v>
      </c>
      <c r="N50" s="323">
        <f>SUM(N41:N49)</f>
        <v>82716</v>
      </c>
      <c r="O50" s="323">
        <f>M50+N50</f>
        <v>98894</v>
      </c>
      <c r="P50" s="323">
        <f>SUM(P41:P49)</f>
        <v>86222</v>
      </c>
      <c r="Q50" s="510">
        <f t="shared" si="0"/>
        <v>87.18628025967196</v>
      </c>
      <c r="R50" s="522">
        <f>SUM(R41:R49)</f>
        <v>4002</v>
      </c>
      <c r="S50" s="522">
        <f t="shared" si="1"/>
        <v>102896</v>
      </c>
      <c r="T50" s="320">
        <f>SUM(T41:T49)</f>
        <v>99422</v>
      </c>
      <c r="U50" s="664">
        <f t="shared" si="2"/>
        <v>96.623775462603</v>
      </c>
      <c r="V50" s="323">
        <f>SUM(V41:V49)</f>
        <v>9833</v>
      </c>
      <c r="W50" s="323">
        <f t="shared" si="3"/>
        <v>112729</v>
      </c>
    </row>
    <row r="51" spans="1:23" s="16" customFormat="1" ht="15.75">
      <c r="A51" s="37"/>
      <c r="B51" s="37"/>
      <c r="C51" s="37"/>
      <c r="D51" s="37"/>
      <c r="E51" s="1" t="s">
        <v>152</v>
      </c>
      <c r="F51" s="38"/>
      <c r="G51" s="38"/>
      <c r="H51" s="38"/>
      <c r="I51" s="38"/>
      <c r="J51" s="38"/>
      <c r="K51" s="669" t="s">
        <v>651</v>
      </c>
      <c r="L51" s="38"/>
      <c r="M51" s="665"/>
      <c r="N51" s="666"/>
      <c r="O51" s="666"/>
      <c r="P51" s="666"/>
      <c r="Q51" s="663"/>
      <c r="R51" s="667"/>
      <c r="S51" s="667"/>
      <c r="T51" s="662"/>
      <c r="U51" s="668"/>
      <c r="V51" s="102"/>
      <c r="W51" s="433"/>
    </row>
    <row r="52" spans="1:23" s="16" customFormat="1" ht="15.75">
      <c r="A52" s="4"/>
      <c r="B52" s="4"/>
      <c r="C52" s="4"/>
      <c r="D52" s="4"/>
      <c r="E52" s="17"/>
      <c r="F52" s="19" t="s">
        <v>652</v>
      </c>
      <c r="G52" s="26"/>
      <c r="H52" s="26"/>
      <c r="I52" s="26"/>
      <c r="J52" s="26"/>
      <c r="K52" s="432"/>
      <c r="L52" s="432" t="s">
        <v>383</v>
      </c>
      <c r="M52" s="433">
        <v>0</v>
      </c>
      <c r="N52" s="433"/>
      <c r="O52" s="433"/>
      <c r="P52" s="433"/>
      <c r="Q52" s="433"/>
      <c r="R52" s="670"/>
      <c r="S52" s="670">
        <v>0</v>
      </c>
      <c r="T52" s="433">
        <v>748</v>
      </c>
      <c r="U52" s="671">
        <v>0</v>
      </c>
      <c r="V52" s="102">
        <v>6692</v>
      </c>
      <c r="W52" s="433">
        <f t="shared" si="3"/>
        <v>6692</v>
      </c>
    </row>
    <row r="53" spans="1:23" s="16" customFormat="1" ht="15.75">
      <c r="A53" s="4"/>
      <c r="B53" s="4"/>
      <c r="C53" s="4"/>
      <c r="D53" s="4"/>
      <c r="E53" s="17"/>
      <c r="F53" s="19" t="s">
        <v>653</v>
      </c>
      <c r="G53" s="26"/>
      <c r="H53" s="26"/>
      <c r="I53" s="26"/>
      <c r="J53" s="26"/>
      <c r="K53" s="432"/>
      <c r="L53" s="432" t="s">
        <v>654</v>
      </c>
      <c r="M53" s="433">
        <v>0</v>
      </c>
      <c r="N53" s="433"/>
      <c r="O53" s="433"/>
      <c r="P53" s="433"/>
      <c r="Q53" s="433"/>
      <c r="R53" s="670"/>
      <c r="S53" s="670">
        <v>0</v>
      </c>
      <c r="T53" s="324">
        <v>58560</v>
      </c>
      <c r="U53" s="676">
        <v>0</v>
      </c>
      <c r="V53" s="102">
        <v>0</v>
      </c>
      <c r="W53" s="433">
        <f t="shared" si="3"/>
        <v>0</v>
      </c>
    </row>
    <row r="54" spans="1:23" s="16" customFormat="1" ht="15.75">
      <c r="A54" s="672"/>
      <c r="B54" s="672"/>
      <c r="C54" s="672"/>
      <c r="D54" s="672"/>
      <c r="E54" s="673"/>
      <c r="F54" s="19" t="s">
        <v>679</v>
      </c>
      <c r="G54" s="674"/>
      <c r="H54" s="674"/>
      <c r="I54" s="674"/>
      <c r="J54" s="674"/>
      <c r="K54" s="434"/>
      <c r="L54" s="434" t="s">
        <v>680</v>
      </c>
      <c r="M54" s="324">
        <v>0</v>
      </c>
      <c r="N54" s="324"/>
      <c r="O54" s="324"/>
      <c r="P54" s="324"/>
      <c r="Q54" s="324"/>
      <c r="R54" s="675"/>
      <c r="S54" s="675">
        <v>0</v>
      </c>
      <c r="T54" s="433"/>
      <c r="U54" s="676"/>
      <c r="V54" s="102">
        <v>13338</v>
      </c>
      <c r="W54" s="433">
        <f t="shared" si="3"/>
        <v>13338</v>
      </c>
    </row>
    <row r="55" spans="1:23" s="680" customFormat="1" ht="15.75">
      <c r="A55" s="677"/>
      <c r="B55" s="677"/>
      <c r="C55" s="677"/>
      <c r="D55" s="677"/>
      <c r="E55" s="678" t="s">
        <v>152</v>
      </c>
      <c r="F55" s="679"/>
      <c r="G55" s="679"/>
      <c r="H55" s="679"/>
      <c r="I55" s="679"/>
      <c r="J55" s="679"/>
      <c r="K55" s="679" t="s">
        <v>64</v>
      </c>
      <c r="L55" s="679"/>
      <c r="M55" s="663">
        <f>SUM(M52)</f>
        <v>0</v>
      </c>
      <c r="N55" s="663"/>
      <c r="O55" s="663"/>
      <c r="P55" s="663"/>
      <c r="Q55" s="663"/>
      <c r="R55" s="628"/>
      <c r="S55" s="628">
        <f>SUM(S52)</f>
        <v>0</v>
      </c>
      <c r="T55" s="663">
        <f>SUM(T52:T53)</f>
        <v>59308</v>
      </c>
      <c r="U55" s="664">
        <f>SUM(U52)</f>
        <v>0</v>
      </c>
      <c r="V55" s="323">
        <f>SUM(V52:V54)</f>
        <v>20030</v>
      </c>
      <c r="W55" s="323">
        <f t="shared" si="3"/>
        <v>20030</v>
      </c>
    </row>
    <row r="56" spans="1:23" ht="15.75">
      <c r="A56" s="13"/>
      <c r="B56" s="13"/>
      <c r="C56" s="13" t="s">
        <v>81</v>
      </c>
      <c r="D56" s="13"/>
      <c r="E56" s="14"/>
      <c r="F56" s="14"/>
      <c r="G56" s="14"/>
      <c r="H56" s="14"/>
      <c r="I56" s="14" t="s">
        <v>96</v>
      </c>
      <c r="J56" s="14"/>
      <c r="K56" s="14"/>
      <c r="L56" s="14"/>
      <c r="M56" s="15">
        <f>M39+M50</f>
        <v>315067</v>
      </c>
      <c r="N56" s="323">
        <f>N39+N50</f>
        <v>105527</v>
      </c>
      <c r="O56" s="323">
        <f t="shared" si="5"/>
        <v>420594</v>
      </c>
      <c r="P56" s="323">
        <f>P39+P50</f>
        <v>160935</v>
      </c>
      <c r="Q56" s="510">
        <f t="shared" si="0"/>
        <v>38.26374128018944</v>
      </c>
      <c r="R56" s="522">
        <f>R39+R50</f>
        <v>47930</v>
      </c>
      <c r="S56" s="522">
        <f t="shared" si="1"/>
        <v>468524</v>
      </c>
      <c r="T56" s="323">
        <f>T39+T50+T55</f>
        <v>373112</v>
      </c>
      <c r="U56" s="664">
        <f t="shared" si="2"/>
        <v>79.63562165438697</v>
      </c>
      <c r="V56" s="323">
        <f>V39+V50+V55</f>
        <v>147976</v>
      </c>
      <c r="W56" s="323">
        <f t="shared" si="3"/>
        <v>616500</v>
      </c>
    </row>
    <row r="57" spans="3:23" ht="15">
      <c r="C57" s="1" t="s">
        <v>97</v>
      </c>
      <c r="I57" s="2" t="s">
        <v>98</v>
      </c>
      <c r="O57" s="20"/>
      <c r="Q57" s="20"/>
      <c r="S57" s="21"/>
      <c r="U57" s="657"/>
      <c r="W57" s="433"/>
    </row>
    <row r="58" spans="4:23" ht="15">
      <c r="D58" s="1" t="s">
        <v>49</v>
      </c>
      <c r="J58" s="2" t="s">
        <v>99</v>
      </c>
      <c r="M58" s="3">
        <v>5000</v>
      </c>
      <c r="N58" s="3">
        <v>0</v>
      </c>
      <c r="O58" s="20">
        <f>M58+N58</f>
        <v>5000</v>
      </c>
      <c r="P58" s="102">
        <v>0</v>
      </c>
      <c r="Q58" s="20">
        <f t="shared" si="0"/>
        <v>0</v>
      </c>
      <c r="R58" s="626">
        <v>0</v>
      </c>
      <c r="S58" s="21">
        <f t="shared" si="1"/>
        <v>5000</v>
      </c>
      <c r="T58" s="20">
        <v>0</v>
      </c>
      <c r="U58" s="657">
        <f t="shared" si="2"/>
        <v>0</v>
      </c>
      <c r="V58" s="102">
        <v>0</v>
      </c>
      <c r="W58" s="433">
        <f t="shared" si="3"/>
        <v>5000</v>
      </c>
    </row>
    <row r="59" spans="4:23" ht="15">
      <c r="D59" s="1" t="s">
        <v>54</v>
      </c>
      <c r="J59" s="2" t="s">
        <v>100</v>
      </c>
      <c r="M59" s="3">
        <v>70530</v>
      </c>
      <c r="N59" s="3">
        <v>0</v>
      </c>
      <c r="O59" s="20">
        <f>M59+N59</f>
        <v>70530</v>
      </c>
      <c r="P59" s="102">
        <v>10225</v>
      </c>
      <c r="Q59" s="20">
        <f t="shared" si="0"/>
        <v>14.49737700269389</v>
      </c>
      <c r="R59" s="626">
        <v>-30969</v>
      </c>
      <c r="S59" s="21">
        <f t="shared" si="1"/>
        <v>39561</v>
      </c>
      <c r="T59" s="20">
        <v>1800</v>
      </c>
      <c r="U59" s="657">
        <f t="shared" si="2"/>
        <v>4.549935542579813</v>
      </c>
      <c r="V59" s="102">
        <v>0</v>
      </c>
      <c r="W59" s="433">
        <f t="shared" si="3"/>
        <v>39561</v>
      </c>
    </row>
    <row r="60" spans="4:23" ht="15">
      <c r="D60" s="1" t="s">
        <v>101</v>
      </c>
      <c r="J60" s="2" t="s">
        <v>102</v>
      </c>
      <c r="M60" s="3">
        <v>12000</v>
      </c>
      <c r="N60" s="128">
        <v>0</v>
      </c>
      <c r="O60" s="128">
        <f>M60+N60</f>
        <v>12000</v>
      </c>
      <c r="P60" s="324">
        <v>0</v>
      </c>
      <c r="Q60" s="128">
        <f t="shared" si="0"/>
        <v>0</v>
      </c>
      <c r="R60" s="626">
        <v>0</v>
      </c>
      <c r="S60" s="21">
        <f t="shared" si="1"/>
        <v>12000</v>
      </c>
      <c r="T60" s="128">
        <v>0</v>
      </c>
      <c r="U60" s="658">
        <f t="shared" si="2"/>
        <v>0</v>
      </c>
      <c r="V60" s="102">
        <v>235</v>
      </c>
      <c r="W60" s="433">
        <f t="shared" si="3"/>
        <v>12235</v>
      </c>
    </row>
    <row r="61" spans="1:23" ht="15.75">
      <c r="A61" s="13"/>
      <c r="B61" s="13"/>
      <c r="C61" s="13" t="s">
        <v>97</v>
      </c>
      <c r="D61" s="13"/>
      <c r="E61" s="14"/>
      <c r="F61" s="14"/>
      <c r="G61" s="14"/>
      <c r="H61" s="14"/>
      <c r="I61" s="14" t="s">
        <v>103</v>
      </c>
      <c r="J61" s="14"/>
      <c r="K61" s="14"/>
      <c r="L61" s="14"/>
      <c r="M61" s="15">
        <f>SUM(M58:M60)</f>
        <v>87530</v>
      </c>
      <c r="N61" s="323">
        <v>0</v>
      </c>
      <c r="O61" s="323">
        <f>M61+N61</f>
        <v>87530</v>
      </c>
      <c r="P61" s="323">
        <f>SUM(P58:P60)</f>
        <v>10225</v>
      </c>
      <c r="Q61" s="510">
        <f t="shared" si="0"/>
        <v>11.681709128298868</v>
      </c>
      <c r="R61" s="522">
        <f>SUM(R58:R60)</f>
        <v>-30969</v>
      </c>
      <c r="S61" s="522">
        <f t="shared" si="1"/>
        <v>56561</v>
      </c>
      <c r="T61" s="510">
        <f>SUM(T58:T60)</f>
        <v>1800</v>
      </c>
      <c r="U61" s="664">
        <f t="shared" si="2"/>
        <v>3.182404837255352</v>
      </c>
      <c r="V61" s="323">
        <f>SUM(V58:V60)</f>
        <v>235</v>
      </c>
      <c r="W61" s="323">
        <f t="shared" si="3"/>
        <v>56796</v>
      </c>
    </row>
    <row r="62" spans="1:23" s="16" customFormat="1" ht="15.75">
      <c r="A62" s="4"/>
      <c r="B62" s="4"/>
      <c r="C62" s="17" t="s">
        <v>104</v>
      </c>
      <c r="D62" s="4"/>
      <c r="E62" s="26"/>
      <c r="F62" s="26"/>
      <c r="G62" s="26"/>
      <c r="H62" s="26"/>
      <c r="I62" s="19" t="s">
        <v>105</v>
      </c>
      <c r="J62" s="26"/>
      <c r="K62" s="26"/>
      <c r="L62" s="26"/>
      <c r="M62" s="23"/>
      <c r="N62" s="23"/>
      <c r="O62" s="20"/>
      <c r="P62" s="23"/>
      <c r="Q62" s="20"/>
      <c r="R62" s="629"/>
      <c r="S62" s="21"/>
      <c r="T62" s="23"/>
      <c r="U62" s="657"/>
      <c r="V62" s="102"/>
      <c r="W62" s="433"/>
    </row>
    <row r="63" spans="1:23" s="16" customFormat="1" ht="15.75">
      <c r="A63" s="4"/>
      <c r="B63" s="4"/>
      <c r="C63" s="4"/>
      <c r="D63" s="17" t="s">
        <v>49</v>
      </c>
      <c r="E63" s="19"/>
      <c r="F63" s="19"/>
      <c r="G63" s="19"/>
      <c r="H63" s="19"/>
      <c r="I63" s="19"/>
      <c r="J63" s="19" t="s">
        <v>106</v>
      </c>
      <c r="K63" s="19"/>
      <c r="L63" s="19"/>
      <c r="M63" s="102">
        <v>9618</v>
      </c>
      <c r="N63" s="102">
        <v>406</v>
      </c>
      <c r="O63" s="20">
        <f>M63+N63</f>
        <v>10024</v>
      </c>
      <c r="P63" s="102">
        <v>124427</v>
      </c>
      <c r="Q63" s="20">
        <f t="shared" si="0"/>
        <v>1241.2909018355945</v>
      </c>
      <c r="R63" s="630">
        <v>396041</v>
      </c>
      <c r="S63" s="21">
        <f t="shared" si="1"/>
        <v>406065</v>
      </c>
      <c r="T63" s="433">
        <v>230207</v>
      </c>
      <c r="U63" s="657">
        <f t="shared" si="2"/>
        <v>56.6921551968281</v>
      </c>
      <c r="V63" s="102">
        <v>4847</v>
      </c>
      <c r="W63" s="433">
        <f t="shared" si="3"/>
        <v>410912</v>
      </c>
    </row>
    <row r="64" spans="1:23" s="16" customFormat="1" ht="15.75">
      <c r="A64" s="4"/>
      <c r="B64" s="4"/>
      <c r="C64" s="4"/>
      <c r="D64" s="17" t="s">
        <v>54</v>
      </c>
      <c r="E64" s="19"/>
      <c r="F64" s="19"/>
      <c r="G64" s="19"/>
      <c r="H64" s="19"/>
      <c r="I64" s="19"/>
      <c r="J64" s="27" t="s">
        <v>107</v>
      </c>
      <c r="L64" s="19"/>
      <c r="M64" s="102">
        <v>0</v>
      </c>
      <c r="N64" s="324">
        <v>264409</v>
      </c>
      <c r="O64" s="128">
        <f>M64+N64</f>
        <v>264409</v>
      </c>
      <c r="P64" s="324">
        <v>196697</v>
      </c>
      <c r="Q64" s="128">
        <f t="shared" si="0"/>
        <v>74.39118940731973</v>
      </c>
      <c r="R64" s="630">
        <v>1960162</v>
      </c>
      <c r="S64" s="21">
        <f t="shared" si="1"/>
        <v>2224571</v>
      </c>
      <c r="T64" s="324">
        <v>492303</v>
      </c>
      <c r="U64" s="658">
        <f t="shared" si="2"/>
        <v>22.130244438141105</v>
      </c>
      <c r="V64" s="102">
        <v>41255</v>
      </c>
      <c r="W64" s="433">
        <f t="shared" si="3"/>
        <v>2265826</v>
      </c>
    </row>
    <row r="65" spans="1:23" s="16" customFormat="1" ht="15.75">
      <c r="A65" s="13"/>
      <c r="B65" s="13"/>
      <c r="C65" s="13" t="s">
        <v>104</v>
      </c>
      <c r="D65" s="28"/>
      <c r="E65" s="24"/>
      <c r="F65" s="24"/>
      <c r="G65" s="24"/>
      <c r="H65" s="24"/>
      <c r="I65" s="14" t="s">
        <v>108</v>
      </c>
      <c r="J65" s="24"/>
      <c r="K65" s="24"/>
      <c r="L65" s="24"/>
      <c r="M65" s="15">
        <f>SUM(M63:M64)</f>
        <v>9618</v>
      </c>
      <c r="N65" s="323">
        <f>SUM(N63:N64)</f>
        <v>264815</v>
      </c>
      <c r="O65" s="323">
        <f>M65+N65</f>
        <v>274433</v>
      </c>
      <c r="P65" s="320">
        <f>SUM(P63:P64)</f>
        <v>321124</v>
      </c>
      <c r="Q65" s="510">
        <f t="shared" si="0"/>
        <v>117.01362445478496</v>
      </c>
      <c r="R65" s="522">
        <f>SUM(R63:R64)</f>
        <v>2356203</v>
      </c>
      <c r="S65" s="522">
        <f t="shared" si="1"/>
        <v>2630636</v>
      </c>
      <c r="T65" s="323">
        <f>SUM(T63:T64)</f>
        <v>722510</v>
      </c>
      <c r="U65" s="664">
        <f t="shared" si="2"/>
        <v>27.465221338109874</v>
      </c>
      <c r="V65" s="323">
        <f>SUM(V63:V64)</f>
        <v>46102</v>
      </c>
      <c r="W65" s="323">
        <f t="shared" si="3"/>
        <v>2676738</v>
      </c>
    </row>
    <row r="66" spans="1:23" s="16" customFormat="1" ht="15.75">
      <c r="A66" s="1"/>
      <c r="B66" s="1"/>
      <c r="C66" s="1" t="s">
        <v>109</v>
      </c>
      <c r="D66" s="1"/>
      <c r="E66" s="1"/>
      <c r="F66" s="2"/>
      <c r="G66" s="2"/>
      <c r="H66" s="2"/>
      <c r="I66" s="2" t="s">
        <v>110</v>
      </c>
      <c r="J66" s="2"/>
      <c r="K66" s="2"/>
      <c r="L66" s="2"/>
      <c r="M66" s="23"/>
      <c r="N66" s="23"/>
      <c r="O66" s="20"/>
      <c r="P66" s="23"/>
      <c r="Q66" s="20"/>
      <c r="R66" s="629"/>
      <c r="S66" s="21"/>
      <c r="T66" s="23"/>
      <c r="U66" s="657"/>
      <c r="V66" s="102"/>
      <c r="W66" s="433"/>
    </row>
    <row r="67" spans="1:23" s="16" customFormat="1" ht="15.75">
      <c r="A67" s="1"/>
      <c r="B67" s="1"/>
      <c r="C67" s="1"/>
      <c r="D67" s="1" t="s">
        <v>49</v>
      </c>
      <c r="E67" s="1"/>
      <c r="F67" s="2"/>
      <c r="G67" s="2"/>
      <c r="H67" s="2"/>
      <c r="I67" s="2"/>
      <c r="J67" s="2" t="s">
        <v>111</v>
      </c>
      <c r="K67" s="2"/>
      <c r="L67" s="2"/>
      <c r="M67" s="102">
        <v>0</v>
      </c>
      <c r="N67" s="102">
        <v>0</v>
      </c>
      <c r="O67" s="20">
        <f>M67+N67</f>
        <v>0</v>
      </c>
      <c r="P67" s="102">
        <v>7449</v>
      </c>
      <c r="Q67" s="20">
        <v>0</v>
      </c>
      <c r="R67" s="630">
        <v>8449</v>
      </c>
      <c r="S67" s="21">
        <f t="shared" si="1"/>
        <v>8449</v>
      </c>
      <c r="T67" s="433">
        <v>7449</v>
      </c>
      <c r="U67" s="657">
        <f t="shared" si="2"/>
        <v>88.16427979642562</v>
      </c>
      <c r="V67" s="102">
        <v>0</v>
      </c>
      <c r="W67" s="433">
        <f t="shared" si="3"/>
        <v>8449</v>
      </c>
    </row>
    <row r="68" spans="1:23" s="16" customFormat="1" ht="15.75">
      <c r="A68" s="1"/>
      <c r="B68" s="1"/>
      <c r="C68" s="1"/>
      <c r="D68" s="1" t="s">
        <v>54</v>
      </c>
      <c r="E68" s="1"/>
      <c r="F68" s="2"/>
      <c r="G68" s="2"/>
      <c r="H68" s="2"/>
      <c r="I68" s="2"/>
      <c r="J68" s="2" t="s">
        <v>112</v>
      </c>
      <c r="K68" s="2"/>
      <c r="L68" s="2"/>
      <c r="M68" s="102">
        <v>500</v>
      </c>
      <c r="N68" s="324">
        <v>0</v>
      </c>
      <c r="O68" s="128">
        <f>M68+N68</f>
        <v>500</v>
      </c>
      <c r="P68" s="324">
        <v>148</v>
      </c>
      <c r="Q68" s="128">
        <f t="shared" si="0"/>
        <v>29.599999999999998</v>
      </c>
      <c r="R68" s="630">
        <v>0</v>
      </c>
      <c r="S68" s="21">
        <f t="shared" si="1"/>
        <v>500</v>
      </c>
      <c r="T68" s="324">
        <v>3266</v>
      </c>
      <c r="U68" s="658">
        <f t="shared" si="2"/>
        <v>653.2</v>
      </c>
      <c r="V68" s="102">
        <v>0</v>
      </c>
      <c r="W68" s="433">
        <f t="shared" si="3"/>
        <v>500</v>
      </c>
    </row>
    <row r="69" spans="1:23" s="525" customFormat="1" ht="15.75">
      <c r="A69" s="519"/>
      <c r="B69" s="519"/>
      <c r="C69" s="519" t="s">
        <v>109</v>
      </c>
      <c r="D69" s="519"/>
      <c r="E69" s="520"/>
      <c r="F69" s="520"/>
      <c r="G69" s="520"/>
      <c r="H69" s="520"/>
      <c r="I69" s="520" t="s">
        <v>113</v>
      </c>
      <c r="J69" s="520"/>
      <c r="K69" s="520"/>
      <c r="L69" s="520"/>
      <c r="M69" s="521">
        <f>SUM(M67:M68)</f>
        <v>500</v>
      </c>
      <c r="N69" s="522">
        <v>0</v>
      </c>
      <c r="O69" s="522">
        <f>M69+N69</f>
        <v>500</v>
      </c>
      <c r="P69" s="523">
        <f>SUM(P67:P68)</f>
        <v>7597</v>
      </c>
      <c r="Q69" s="524">
        <f t="shared" si="0"/>
        <v>1519.4</v>
      </c>
      <c r="R69" s="522">
        <f>SUM(R67:R68)</f>
        <v>8449</v>
      </c>
      <c r="S69" s="522">
        <f t="shared" si="1"/>
        <v>8949</v>
      </c>
      <c r="T69" s="523">
        <f>SUM(T67:T68)</f>
        <v>10715</v>
      </c>
      <c r="U69" s="664">
        <f t="shared" si="2"/>
        <v>119.73404849703877</v>
      </c>
      <c r="V69" s="522">
        <f>SUM(V67:V68)</f>
        <v>0</v>
      </c>
      <c r="W69" s="323">
        <f t="shared" si="3"/>
        <v>8949</v>
      </c>
    </row>
    <row r="70" spans="3:23" ht="15">
      <c r="C70" s="1" t="s">
        <v>114</v>
      </c>
      <c r="I70" s="2" t="s">
        <v>115</v>
      </c>
      <c r="O70" s="20"/>
      <c r="Q70" s="20"/>
      <c r="S70" s="21"/>
      <c r="U70" s="657"/>
      <c r="W70" s="433"/>
    </row>
    <row r="71" spans="4:23" ht="15">
      <c r="D71" s="1" t="s">
        <v>49</v>
      </c>
      <c r="J71" s="2" t="s">
        <v>116</v>
      </c>
      <c r="M71" s="3">
        <v>3100</v>
      </c>
      <c r="N71" s="3">
        <v>0</v>
      </c>
      <c r="O71" s="20">
        <f>M71+N71</f>
        <v>3100</v>
      </c>
      <c r="P71" s="3">
        <v>2934</v>
      </c>
      <c r="Q71" s="20">
        <f t="shared" si="0"/>
        <v>94.64516129032258</v>
      </c>
      <c r="R71" s="626">
        <v>0</v>
      </c>
      <c r="S71" s="21">
        <f t="shared" si="1"/>
        <v>3100</v>
      </c>
      <c r="T71" s="433">
        <v>3735</v>
      </c>
      <c r="U71" s="657">
        <f t="shared" si="2"/>
        <v>120.48387096774194</v>
      </c>
      <c r="V71" s="102">
        <v>1946</v>
      </c>
      <c r="W71" s="433">
        <f t="shared" si="3"/>
        <v>5046</v>
      </c>
    </row>
    <row r="72" spans="4:23" ht="15">
      <c r="D72" s="1" t="s">
        <v>54</v>
      </c>
      <c r="J72" s="2" t="s">
        <v>117</v>
      </c>
      <c r="M72" s="3">
        <v>0</v>
      </c>
      <c r="N72" s="128">
        <v>0</v>
      </c>
      <c r="O72" s="128">
        <f>M72+N72</f>
        <v>0</v>
      </c>
      <c r="P72" s="128">
        <v>0</v>
      </c>
      <c r="Q72" s="128">
        <v>0</v>
      </c>
      <c r="R72" s="626">
        <v>0</v>
      </c>
      <c r="S72" s="21">
        <f t="shared" si="1"/>
        <v>0</v>
      </c>
      <c r="T72" s="324">
        <v>0</v>
      </c>
      <c r="U72" s="658">
        <v>0</v>
      </c>
      <c r="V72" s="102">
        <v>0</v>
      </c>
      <c r="W72" s="433">
        <f t="shared" si="3"/>
        <v>0</v>
      </c>
    </row>
    <row r="73" spans="1:23" s="16" customFormat="1" ht="15.75">
      <c r="A73" s="13"/>
      <c r="B73" s="13"/>
      <c r="C73" s="13" t="s">
        <v>114</v>
      </c>
      <c r="D73" s="13"/>
      <c r="E73" s="14"/>
      <c r="F73" s="14"/>
      <c r="G73" s="14"/>
      <c r="H73" s="14"/>
      <c r="I73" s="14" t="s">
        <v>118</v>
      </c>
      <c r="J73" s="14"/>
      <c r="K73" s="14"/>
      <c r="L73" s="14"/>
      <c r="M73" s="15">
        <f>SUM(M71:M72)</f>
        <v>3100</v>
      </c>
      <c r="N73" s="323">
        <v>0</v>
      </c>
      <c r="O73" s="323">
        <f>M73+N73</f>
        <v>3100</v>
      </c>
      <c r="P73" s="320">
        <f>SUM(P71:P72)</f>
        <v>2934</v>
      </c>
      <c r="Q73" s="510">
        <f t="shared" si="0"/>
        <v>94.64516129032258</v>
      </c>
      <c r="R73" s="522">
        <v>0</v>
      </c>
      <c r="S73" s="522">
        <f t="shared" si="1"/>
        <v>3100</v>
      </c>
      <c r="T73" s="681">
        <f>SUM(T71:T72)</f>
        <v>3735</v>
      </c>
      <c r="U73" s="664">
        <f t="shared" si="2"/>
        <v>120.48387096774194</v>
      </c>
      <c r="V73" s="323">
        <f>SUM(V71:V72)</f>
        <v>1946</v>
      </c>
      <c r="W73" s="323">
        <f t="shared" si="3"/>
        <v>5046</v>
      </c>
    </row>
    <row r="74" spans="1:23" s="16" customFormat="1" ht="15.75">
      <c r="A74" s="13" t="s">
        <v>49</v>
      </c>
      <c r="B74" s="13"/>
      <c r="C74" s="13"/>
      <c r="D74" s="13"/>
      <c r="E74" s="13"/>
      <c r="F74" s="14"/>
      <c r="G74" s="14"/>
      <c r="H74" s="14" t="s">
        <v>119</v>
      </c>
      <c r="I74" s="14"/>
      <c r="J74" s="14"/>
      <c r="K74" s="14"/>
      <c r="L74" s="14"/>
      <c r="M74" s="15">
        <f>SUM(M31+M56+M61+M65+M69+M73)</f>
        <v>1242637</v>
      </c>
      <c r="N74" s="323">
        <f>N31+N56+N61+N65</f>
        <v>370342</v>
      </c>
      <c r="O74" s="323">
        <f>M74+N74</f>
        <v>1612979</v>
      </c>
      <c r="P74" s="320">
        <f>P31+P56+P61+P65+P69+P73</f>
        <v>825376</v>
      </c>
      <c r="Q74" s="510">
        <f t="shared" si="0"/>
        <v>51.1709079907426</v>
      </c>
      <c r="R74" s="522">
        <f>R31+R56+R61+R65+R69+R73</f>
        <v>2450090</v>
      </c>
      <c r="S74" s="522">
        <f t="shared" si="1"/>
        <v>4063069</v>
      </c>
      <c r="T74" s="323">
        <f>T31+T56+T61+T65+T69+T73</f>
        <v>1706391</v>
      </c>
      <c r="U74" s="664">
        <f t="shared" si="2"/>
        <v>41.99758852237065</v>
      </c>
      <c r="V74" s="323">
        <f>V31+V56+V61+V65+V69+V73</f>
        <v>367179</v>
      </c>
      <c r="W74" s="323">
        <f t="shared" si="3"/>
        <v>4430248</v>
      </c>
    </row>
    <row r="75" spans="1:23" s="16" customFormat="1" ht="15.75">
      <c r="A75" s="812" t="s">
        <v>827</v>
      </c>
      <c r="B75" s="4"/>
      <c r="C75" s="4"/>
      <c r="D75" s="4"/>
      <c r="E75" s="4"/>
      <c r="F75" s="26"/>
      <c r="G75" s="26"/>
      <c r="H75" s="26"/>
      <c r="I75" s="26"/>
      <c r="J75" s="26"/>
      <c r="K75" s="26"/>
      <c r="L75" s="26"/>
      <c r="M75" s="661"/>
      <c r="N75" s="663"/>
      <c r="O75" s="663"/>
      <c r="P75" s="661"/>
      <c r="Q75" s="663"/>
      <c r="R75" s="628"/>
      <c r="S75" s="628"/>
      <c r="T75" s="663"/>
      <c r="U75" s="668"/>
      <c r="V75" s="663"/>
      <c r="W75" s="663"/>
    </row>
    <row r="76" spans="1:23" ht="15">
      <c r="A76" s="17" t="s">
        <v>54</v>
      </c>
      <c r="B76" s="17"/>
      <c r="C76" s="17"/>
      <c r="D76" s="17"/>
      <c r="E76" s="17"/>
      <c r="F76" s="19"/>
      <c r="G76" s="19" t="s">
        <v>120</v>
      </c>
      <c r="H76" s="19"/>
      <c r="I76" s="19"/>
      <c r="J76" s="19"/>
      <c r="K76" s="19"/>
      <c r="L76" s="19"/>
      <c r="O76" s="20"/>
      <c r="Q76" s="20"/>
      <c r="S76" s="21"/>
      <c r="U76" s="657"/>
      <c r="W76" s="433"/>
    </row>
    <row r="77" spans="1:23" s="16" customFormat="1" ht="15.75">
      <c r="A77" s="1"/>
      <c r="B77" s="1"/>
      <c r="C77" s="1" t="s">
        <v>51</v>
      </c>
      <c r="D77" s="1"/>
      <c r="E77" s="1"/>
      <c r="F77" s="2"/>
      <c r="G77" s="2"/>
      <c r="H77" s="2"/>
      <c r="I77" s="2" t="s">
        <v>52</v>
      </c>
      <c r="J77" s="2"/>
      <c r="K77" s="2"/>
      <c r="L77" s="2"/>
      <c r="M77" s="23"/>
      <c r="N77" s="23"/>
      <c r="O77" s="20"/>
      <c r="P77" s="23"/>
      <c r="Q77" s="20"/>
      <c r="R77" s="629"/>
      <c r="S77" s="21"/>
      <c r="T77" s="23"/>
      <c r="U77" s="657"/>
      <c r="V77" s="102"/>
      <c r="W77" s="433"/>
    </row>
    <row r="78" spans="1:23" s="16" customFormat="1" ht="15.75">
      <c r="A78" s="1"/>
      <c r="B78" s="1"/>
      <c r="C78" s="1"/>
      <c r="D78" s="1" t="s">
        <v>49</v>
      </c>
      <c r="E78" s="1"/>
      <c r="F78" s="2"/>
      <c r="G78" s="2"/>
      <c r="H78" s="2"/>
      <c r="I78" s="2"/>
      <c r="J78" s="2" t="s">
        <v>121</v>
      </c>
      <c r="K78" s="2"/>
      <c r="L78" s="2"/>
      <c r="M78" s="102">
        <v>9000</v>
      </c>
      <c r="N78" s="324">
        <v>0</v>
      </c>
      <c r="O78" s="128">
        <f aca="true" t="shared" si="6" ref="O78:O83">M78+N78</f>
        <v>9000</v>
      </c>
      <c r="P78" s="324">
        <v>3203</v>
      </c>
      <c r="Q78" s="128">
        <f t="shared" si="0"/>
        <v>35.58888888888889</v>
      </c>
      <c r="R78" s="626">
        <v>4688</v>
      </c>
      <c r="S78" s="21">
        <f>O78+R78</f>
        <v>13688</v>
      </c>
      <c r="T78" s="102">
        <v>10207</v>
      </c>
      <c r="U78" s="658">
        <f t="shared" si="2"/>
        <v>74.56896551724138</v>
      </c>
      <c r="V78" s="102">
        <v>3640</v>
      </c>
      <c r="W78" s="433">
        <f aca="true" t="shared" si="7" ref="W78:W141">S78+V78</f>
        <v>17328</v>
      </c>
    </row>
    <row r="79" spans="1:23" s="16" customFormat="1" ht="15.75">
      <c r="A79" s="13"/>
      <c r="B79" s="13"/>
      <c r="C79" s="13" t="s">
        <v>51</v>
      </c>
      <c r="D79" s="13"/>
      <c r="E79" s="13"/>
      <c r="F79" s="14"/>
      <c r="G79" s="14"/>
      <c r="H79" s="14"/>
      <c r="I79" s="14" t="s">
        <v>422</v>
      </c>
      <c r="J79" s="14"/>
      <c r="K79" s="14"/>
      <c r="L79" s="14"/>
      <c r="M79" s="15">
        <f>SUM(M78)</f>
        <v>9000</v>
      </c>
      <c r="N79" s="323">
        <v>0</v>
      </c>
      <c r="O79" s="323">
        <f t="shared" si="6"/>
        <v>9000</v>
      </c>
      <c r="P79" s="323">
        <f>SUM(P78)</f>
        <v>3203</v>
      </c>
      <c r="Q79" s="510">
        <f t="shared" si="0"/>
        <v>35.58888888888889</v>
      </c>
      <c r="R79" s="522">
        <f>SUM(R78)</f>
        <v>4688</v>
      </c>
      <c r="S79" s="522">
        <f t="shared" si="1"/>
        <v>13688</v>
      </c>
      <c r="T79" s="320">
        <f>SUM(T78)</f>
        <v>10207</v>
      </c>
      <c r="U79" s="664">
        <f t="shared" si="2"/>
        <v>74.56896551724138</v>
      </c>
      <c r="V79" s="323">
        <f>SUM(V78)</f>
        <v>3640</v>
      </c>
      <c r="W79" s="322">
        <f t="shared" si="7"/>
        <v>17328</v>
      </c>
    </row>
    <row r="80" spans="1:23" s="16" customFormat="1" ht="15.75">
      <c r="A80" s="29"/>
      <c r="B80" s="29"/>
      <c r="C80" s="17" t="s">
        <v>104</v>
      </c>
      <c r="D80" s="4"/>
      <c r="E80" s="26"/>
      <c r="F80" s="26"/>
      <c r="G80" s="26"/>
      <c r="H80" s="26"/>
      <c r="I80" s="19" t="s">
        <v>105</v>
      </c>
      <c r="J80" s="26"/>
      <c r="K80" s="26"/>
      <c r="L80" s="26"/>
      <c r="M80" s="23"/>
      <c r="N80" s="23"/>
      <c r="O80" s="20"/>
      <c r="P80" s="23"/>
      <c r="Q80" s="20"/>
      <c r="R80" s="629"/>
      <c r="S80" s="21"/>
      <c r="T80" s="23"/>
      <c r="U80" s="657"/>
      <c r="V80" s="102"/>
      <c r="W80" s="433"/>
    </row>
    <row r="81" spans="1:23" s="16" customFormat="1" ht="15.75">
      <c r="A81" s="29"/>
      <c r="B81" s="29"/>
      <c r="C81" s="4"/>
      <c r="D81" s="17" t="s">
        <v>49</v>
      </c>
      <c r="E81" s="19"/>
      <c r="F81" s="19"/>
      <c r="G81" s="19"/>
      <c r="H81" s="19"/>
      <c r="I81" s="19"/>
      <c r="J81" s="19" t="s">
        <v>106</v>
      </c>
      <c r="K81" s="19"/>
      <c r="L81" s="19"/>
      <c r="M81" s="102">
        <v>1000</v>
      </c>
      <c r="N81" s="102">
        <v>0</v>
      </c>
      <c r="O81" s="20">
        <f t="shared" si="6"/>
        <v>1000</v>
      </c>
      <c r="P81" s="102">
        <v>365</v>
      </c>
      <c r="Q81" s="20">
        <f t="shared" si="0"/>
        <v>36.5</v>
      </c>
      <c r="R81" s="630">
        <v>0</v>
      </c>
      <c r="S81" s="21">
        <v>1000</v>
      </c>
      <c r="T81" s="433">
        <v>9194</v>
      </c>
      <c r="U81" s="657">
        <f t="shared" si="2"/>
        <v>919.4000000000001</v>
      </c>
      <c r="V81" s="102">
        <v>11764</v>
      </c>
      <c r="W81" s="433">
        <f t="shared" si="7"/>
        <v>12764</v>
      </c>
    </row>
    <row r="82" spans="1:23" s="16" customFormat="1" ht="15.75">
      <c r="A82" s="29"/>
      <c r="B82" s="29"/>
      <c r="C82" s="4"/>
      <c r="D82" s="17" t="s">
        <v>54</v>
      </c>
      <c r="E82" s="19"/>
      <c r="F82" s="19"/>
      <c r="G82" s="19"/>
      <c r="H82" s="19"/>
      <c r="I82" s="19"/>
      <c r="J82" s="27" t="s">
        <v>107</v>
      </c>
      <c r="L82" s="19"/>
      <c r="M82" s="102">
        <v>0</v>
      </c>
      <c r="N82" s="324">
        <v>0</v>
      </c>
      <c r="O82" s="128">
        <f t="shared" si="6"/>
        <v>0</v>
      </c>
      <c r="P82" s="324">
        <v>0</v>
      </c>
      <c r="Q82" s="128">
        <v>0</v>
      </c>
      <c r="R82" s="630">
        <v>0</v>
      </c>
      <c r="S82" s="21">
        <f t="shared" si="1"/>
        <v>0</v>
      </c>
      <c r="T82" s="324">
        <v>0</v>
      </c>
      <c r="U82" s="658">
        <v>0</v>
      </c>
      <c r="V82" s="102">
        <v>0</v>
      </c>
      <c r="W82" s="433">
        <f t="shared" si="7"/>
        <v>0</v>
      </c>
    </row>
    <row r="83" spans="1:23" s="16" customFormat="1" ht="15.75">
      <c r="A83" s="31"/>
      <c r="B83" s="31"/>
      <c r="C83" s="13" t="s">
        <v>104</v>
      </c>
      <c r="D83" s="13"/>
      <c r="E83" s="14"/>
      <c r="F83" s="14"/>
      <c r="G83" s="14"/>
      <c r="H83" s="14"/>
      <c r="I83" s="14" t="s">
        <v>108</v>
      </c>
      <c r="J83" s="14"/>
      <c r="K83" s="14"/>
      <c r="L83" s="14"/>
      <c r="M83" s="32">
        <f>SUM(M81:M82)</f>
        <v>1000</v>
      </c>
      <c r="N83" s="323">
        <v>0</v>
      </c>
      <c r="O83" s="323">
        <f t="shared" si="6"/>
        <v>1000</v>
      </c>
      <c r="P83" s="320">
        <f>SUM(P81:P82)</f>
        <v>365</v>
      </c>
      <c r="Q83" s="510">
        <f t="shared" si="0"/>
        <v>36.5</v>
      </c>
      <c r="R83" s="522">
        <f>SUM(R81:R82)</f>
        <v>0</v>
      </c>
      <c r="S83" s="522">
        <f t="shared" si="1"/>
        <v>1000</v>
      </c>
      <c r="T83" s="320">
        <f>SUM(T81:T82)</f>
        <v>9194</v>
      </c>
      <c r="U83" s="664">
        <f t="shared" si="2"/>
        <v>919.4000000000001</v>
      </c>
      <c r="V83" s="323">
        <f>SUM(V81:V82)</f>
        <v>11764</v>
      </c>
      <c r="W83" s="323">
        <f t="shared" si="7"/>
        <v>12764</v>
      </c>
    </row>
    <row r="84" spans="1:23" s="16" customFormat="1" ht="15.75">
      <c r="A84" s="1"/>
      <c r="B84" s="1"/>
      <c r="C84" s="1" t="s">
        <v>109</v>
      </c>
      <c r="D84" s="1"/>
      <c r="E84" s="1"/>
      <c r="F84" s="2"/>
      <c r="G84" s="2"/>
      <c r="H84" s="2"/>
      <c r="I84" s="2" t="s">
        <v>110</v>
      </c>
      <c r="J84" s="2"/>
      <c r="K84" s="2"/>
      <c r="L84" s="2"/>
      <c r="M84" s="23"/>
      <c r="N84" s="23"/>
      <c r="O84" s="20"/>
      <c r="P84" s="23"/>
      <c r="Q84" s="20"/>
      <c r="R84" s="629"/>
      <c r="S84" s="21"/>
      <c r="T84" s="23"/>
      <c r="U84" s="657"/>
      <c r="V84" s="102"/>
      <c r="W84" s="433"/>
    </row>
    <row r="85" spans="1:23" s="16" customFormat="1" ht="15.75">
      <c r="A85" s="1"/>
      <c r="B85" s="1"/>
      <c r="C85" s="1"/>
      <c r="D85" s="1" t="s">
        <v>49</v>
      </c>
      <c r="E85" s="1"/>
      <c r="F85" s="2"/>
      <c r="G85" s="2"/>
      <c r="H85" s="2"/>
      <c r="I85" s="2"/>
      <c r="J85" s="2" t="s">
        <v>123</v>
      </c>
      <c r="K85" s="2"/>
      <c r="L85" s="2"/>
      <c r="M85" s="102">
        <v>0</v>
      </c>
      <c r="N85" s="102">
        <v>0</v>
      </c>
      <c r="O85" s="20">
        <f>M85+N85</f>
        <v>0</v>
      </c>
      <c r="P85" s="102">
        <v>247</v>
      </c>
      <c r="Q85" s="20">
        <v>0</v>
      </c>
      <c r="R85" s="630">
        <v>0</v>
      </c>
      <c r="S85" s="21">
        <f aca="true" t="shared" si="8" ref="S85:S147">O85+R85</f>
        <v>0</v>
      </c>
      <c r="T85" s="433">
        <v>241</v>
      </c>
      <c r="U85" s="657">
        <v>0</v>
      </c>
      <c r="V85" s="102">
        <v>0</v>
      </c>
      <c r="W85" s="433">
        <f t="shared" si="7"/>
        <v>0</v>
      </c>
    </row>
    <row r="86" spans="1:23" s="16" customFormat="1" ht="15.75">
      <c r="A86" s="1"/>
      <c r="B86" s="1"/>
      <c r="C86" s="1"/>
      <c r="D86" s="1" t="s">
        <v>54</v>
      </c>
      <c r="E86" s="1"/>
      <c r="F86" s="2"/>
      <c r="G86" s="2"/>
      <c r="H86" s="2"/>
      <c r="I86" s="2"/>
      <c r="J86" s="2" t="s">
        <v>124</v>
      </c>
      <c r="K86" s="2"/>
      <c r="L86" s="2"/>
      <c r="M86" s="324">
        <v>0</v>
      </c>
      <c r="N86" s="324">
        <v>0</v>
      </c>
      <c r="O86" s="128">
        <f>M86+N86</f>
        <v>0</v>
      </c>
      <c r="P86" s="324">
        <v>0</v>
      </c>
      <c r="Q86" s="128">
        <v>0</v>
      </c>
      <c r="R86" s="630">
        <v>0</v>
      </c>
      <c r="S86" s="21">
        <f t="shared" si="8"/>
        <v>0</v>
      </c>
      <c r="T86" s="324">
        <v>0</v>
      </c>
      <c r="U86" s="658">
        <v>0</v>
      </c>
      <c r="V86" s="102">
        <v>0</v>
      </c>
      <c r="W86" s="433">
        <f t="shared" si="7"/>
        <v>0</v>
      </c>
    </row>
    <row r="87" spans="1:23" s="16" customFormat="1" ht="15.75">
      <c r="A87" s="13"/>
      <c r="B87" s="13"/>
      <c r="C87" s="13" t="s">
        <v>109</v>
      </c>
      <c r="D87" s="13"/>
      <c r="E87" s="13"/>
      <c r="F87" s="14"/>
      <c r="G87" s="14"/>
      <c r="H87" s="14"/>
      <c r="I87" s="14" t="s">
        <v>423</v>
      </c>
      <c r="J87" s="14"/>
      <c r="K87" s="14"/>
      <c r="L87" s="14"/>
      <c r="M87" s="15">
        <f>SUM(M85:M86)</f>
        <v>0</v>
      </c>
      <c r="N87" s="320">
        <v>0</v>
      </c>
      <c r="O87" s="323">
        <f>M87+N87</f>
        <v>0</v>
      </c>
      <c r="P87" s="323">
        <f>SUM(P85:P86)</f>
        <v>247</v>
      </c>
      <c r="Q87" s="510">
        <v>0</v>
      </c>
      <c r="R87" s="522">
        <v>0</v>
      </c>
      <c r="S87" s="522">
        <f t="shared" si="8"/>
        <v>0</v>
      </c>
      <c r="T87" s="681">
        <f>SUM(T85:T86)</f>
        <v>241</v>
      </c>
      <c r="U87" s="664">
        <v>0</v>
      </c>
      <c r="V87" s="323">
        <f>SUM(V85:V86)</f>
        <v>0</v>
      </c>
      <c r="W87" s="322">
        <f t="shared" si="7"/>
        <v>0</v>
      </c>
    </row>
    <row r="88" spans="1:23" s="16" customFormat="1" ht="15.75">
      <c r="A88" s="13" t="s">
        <v>54</v>
      </c>
      <c r="B88" s="13"/>
      <c r="C88" s="13"/>
      <c r="D88" s="13"/>
      <c r="E88" s="13"/>
      <c r="F88" s="14"/>
      <c r="G88" s="24"/>
      <c r="H88" s="14" t="s">
        <v>125</v>
      </c>
      <c r="I88" s="14"/>
      <c r="J88" s="14"/>
      <c r="K88" s="14"/>
      <c r="L88" s="14"/>
      <c r="M88" s="15">
        <f>SUM(M79+M83+M87)</f>
        <v>10000</v>
      </c>
      <c r="N88" s="323">
        <v>0</v>
      </c>
      <c r="O88" s="323">
        <f>M88+N88</f>
        <v>10000</v>
      </c>
      <c r="P88" s="320">
        <f>P79+P83+P87</f>
        <v>3815</v>
      </c>
      <c r="Q88" s="510">
        <f>SUM(P88/O88)*100</f>
        <v>38.15</v>
      </c>
      <c r="R88" s="522">
        <f>R79+R83</f>
        <v>4688</v>
      </c>
      <c r="S88" s="522">
        <f t="shared" si="8"/>
        <v>14688</v>
      </c>
      <c r="T88" s="323">
        <f>T79+T83+T87</f>
        <v>19642</v>
      </c>
      <c r="U88" s="664">
        <f>SUM(T88/S88)*100</f>
        <v>133.72821350762527</v>
      </c>
      <c r="V88" s="323">
        <f>V79+V83+V87</f>
        <v>15404</v>
      </c>
      <c r="W88" s="323">
        <f t="shared" si="7"/>
        <v>30092</v>
      </c>
    </row>
    <row r="89" spans="1:23" ht="15">
      <c r="A89" s="1" t="s">
        <v>101</v>
      </c>
      <c r="G89" s="2" t="s">
        <v>407</v>
      </c>
      <c r="O89" s="20"/>
      <c r="Q89" s="20"/>
      <c r="S89" s="21"/>
      <c r="U89" s="657"/>
      <c r="W89" s="433"/>
    </row>
    <row r="90" spans="3:23" ht="15">
      <c r="C90" s="1" t="s">
        <v>51</v>
      </c>
      <c r="I90" s="2" t="s">
        <v>52</v>
      </c>
      <c r="O90" s="20"/>
      <c r="Q90" s="20"/>
      <c r="S90" s="21"/>
      <c r="U90" s="657"/>
      <c r="W90" s="433"/>
    </row>
    <row r="91" spans="4:23" ht="15">
      <c r="D91" s="1" t="s">
        <v>49</v>
      </c>
      <c r="J91" s="2" t="s">
        <v>121</v>
      </c>
      <c r="M91" s="3">
        <v>0</v>
      </c>
      <c r="N91" s="128">
        <v>0</v>
      </c>
      <c r="O91" s="128">
        <f>M91+N91</f>
        <v>0</v>
      </c>
      <c r="P91" s="128">
        <v>78</v>
      </c>
      <c r="Q91" s="128">
        <v>0</v>
      </c>
      <c r="R91" s="626">
        <v>730</v>
      </c>
      <c r="S91" s="21">
        <f t="shared" si="8"/>
        <v>730</v>
      </c>
      <c r="T91" s="3">
        <v>730</v>
      </c>
      <c r="U91" s="658">
        <f>SUM(T91/S91)*100</f>
        <v>100</v>
      </c>
      <c r="V91" s="102">
        <v>197</v>
      </c>
      <c r="W91" s="433">
        <f t="shared" si="7"/>
        <v>927</v>
      </c>
    </row>
    <row r="92" spans="1:23" s="16" customFormat="1" ht="15.75">
      <c r="A92" s="13"/>
      <c r="B92" s="13"/>
      <c r="C92" s="13" t="s">
        <v>51</v>
      </c>
      <c r="D92" s="13"/>
      <c r="E92" s="13"/>
      <c r="F92" s="14"/>
      <c r="G92" s="14"/>
      <c r="H92" s="14"/>
      <c r="I92" s="14" t="s">
        <v>422</v>
      </c>
      <c r="J92" s="14"/>
      <c r="K92" s="14"/>
      <c r="L92" s="14"/>
      <c r="M92" s="15">
        <f>SUM(M91)</f>
        <v>0</v>
      </c>
      <c r="N92" s="323">
        <v>0</v>
      </c>
      <c r="O92" s="323">
        <f>M92+N92</f>
        <v>0</v>
      </c>
      <c r="P92" s="320">
        <f>SUM(P91)</f>
        <v>78</v>
      </c>
      <c r="Q92" s="510">
        <v>0</v>
      </c>
      <c r="R92" s="522">
        <f>SUM(R91)</f>
        <v>730</v>
      </c>
      <c r="S92" s="522">
        <f t="shared" si="8"/>
        <v>730</v>
      </c>
      <c r="T92" s="320">
        <f>SUM(T91)</f>
        <v>730</v>
      </c>
      <c r="U92" s="664">
        <f>SUM(T92/S92)*100</f>
        <v>100</v>
      </c>
      <c r="V92" s="323">
        <f>SUM(V91)</f>
        <v>197</v>
      </c>
      <c r="W92" s="323">
        <f t="shared" si="7"/>
        <v>927</v>
      </c>
    </row>
    <row r="93" spans="1:23" ht="15.75">
      <c r="A93" s="29"/>
      <c r="B93" s="29"/>
      <c r="C93" s="17" t="s">
        <v>104</v>
      </c>
      <c r="D93" s="4"/>
      <c r="E93" s="26"/>
      <c r="F93" s="26"/>
      <c r="G93" s="26"/>
      <c r="H93" s="26"/>
      <c r="I93" s="19" t="s">
        <v>105</v>
      </c>
      <c r="J93" s="26"/>
      <c r="K93" s="26"/>
      <c r="L93" s="26"/>
      <c r="O93" s="20"/>
      <c r="Q93" s="20"/>
      <c r="S93" s="21"/>
      <c r="U93" s="657"/>
      <c r="W93" s="433"/>
    </row>
    <row r="94" spans="1:23" ht="15.75">
      <c r="A94" s="29"/>
      <c r="B94" s="29"/>
      <c r="C94" s="4"/>
      <c r="D94" s="17" t="s">
        <v>49</v>
      </c>
      <c r="E94" s="19"/>
      <c r="F94" s="19"/>
      <c r="G94" s="19"/>
      <c r="H94" s="19"/>
      <c r="I94" s="19"/>
      <c r="J94" s="19" t="s">
        <v>106</v>
      </c>
      <c r="K94" s="19"/>
      <c r="L94" s="19"/>
      <c r="M94" s="3">
        <v>0</v>
      </c>
      <c r="N94" s="3">
        <v>0</v>
      </c>
      <c r="O94" s="20">
        <f>M94+N94</f>
        <v>0</v>
      </c>
      <c r="P94" s="3">
        <v>0</v>
      </c>
      <c r="Q94" s="20">
        <v>0</v>
      </c>
      <c r="R94" s="626">
        <v>0</v>
      </c>
      <c r="S94" s="21">
        <f t="shared" si="8"/>
        <v>0</v>
      </c>
      <c r="T94" s="20">
        <v>4223</v>
      </c>
      <c r="U94" s="657">
        <v>0</v>
      </c>
      <c r="V94" s="102">
        <v>0</v>
      </c>
      <c r="W94" s="433">
        <f t="shared" si="7"/>
        <v>0</v>
      </c>
    </row>
    <row r="95" spans="1:23" ht="15.75">
      <c r="A95" s="29"/>
      <c r="B95" s="29"/>
      <c r="C95" s="4"/>
      <c r="D95" s="17" t="s">
        <v>54</v>
      </c>
      <c r="E95" s="19"/>
      <c r="F95" s="19"/>
      <c r="G95" s="19"/>
      <c r="H95" s="19"/>
      <c r="I95" s="19"/>
      <c r="J95" s="27" t="s">
        <v>107</v>
      </c>
      <c r="K95" s="16"/>
      <c r="L95" s="19"/>
      <c r="M95" s="3">
        <v>0</v>
      </c>
      <c r="N95" s="128">
        <v>0</v>
      </c>
      <c r="O95" s="128">
        <f>M95+N95</f>
        <v>0</v>
      </c>
      <c r="P95" s="128">
        <v>0</v>
      </c>
      <c r="Q95" s="128">
        <v>0</v>
      </c>
      <c r="R95" s="626">
        <v>0</v>
      </c>
      <c r="S95" s="21">
        <f t="shared" si="8"/>
        <v>0</v>
      </c>
      <c r="T95" s="128">
        <v>0</v>
      </c>
      <c r="U95" s="658">
        <v>0</v>
      </c>
      <c r="V95" s="102">
        <v>0</v>
      </c>
      <c r="W95" s="433">
        <f t="shared" si="7"/>
        <v>0</v>
      </c>
    </row>
    <row r="96" spans="1:23" s="16" customFormat="1" ht="15.75">
      <c r="A96" s="31"/>
      <c r="B96" s="31"/>
      <c r="C96" s="13" t="s">
        <v>104</v>
      </c>
      <c r="D96" s="13"/>
      <c r="E96" s="14"/>
      <c r="F96" s="14"/>
      <c r="G96" s="14"/>
      <c r="H96" s="14"/>
      <c r="I96" s="14" t="s">
        <v>108</v>
      </c>
      <c r="J96" s="14"/>
      <c r="K96" s="14"/>
      <c r="L96" s="14"/>
      <c r="M96" s="32">
        <f>SUM(M94:M95)</f>
        <v>0</v>
      </c>
      <c r="N96" s="323">
        <v>0</v>
      </c>
      <c r="O96" s="323">
        <f>M96+N96</f>
        <v>0</v>
      </c>
      <c r="P96" s="320">
        <f>SUM(P94:P95)</f>
        <v>0</v>
      </c>
      <c r="Q96" s="510">
        <v>0</v>
      </c>
      <c r="R96" s="522">
        <f>SUM(R94:R95)</f>
        <v>0</v>
      </c>
      <c r="S96" s="522">
        <f t="shared" si="8"/>
        <v>0</v>
      </c>
      <c r="T96" s="320">
        <f>SUM(T94:T95)</f>
        <v>4223</v>
      </c>
      <c r="U96" s="664">
        <v>0</v>
      </c>
      <c r="V96" s="323">
        <f>SUM(V94:V95)</f>
        <v>0</v>
      </c>
      <c r="W96" s="323">
        <f t="shared" si="7"/>
        <v>0</v>
      </c>
    </row>
    <row r="97" spans="3:23" ht="15.75" customHeight="1">
      <c r="C97" s="1" t="s">
        <v>109</v>
      </c>
      <c r="I97" s="2" t="s">
        <v>110</v>
      </c>
      <c r="O97" s="20"/>
      <c r="Q97" s="20"/>
      <c r="S97" s="21"/>
      <c r="U97" s="657"/>
      <c r="W97" s="433"/>
    </row>
    <row r="98" spans="4:23" ht="15">
      <c r="D98" s="1" t="s">
        <v>49</v>
      </c>
      <c r="J98" s="2" t="s">
        <v>123</v>
      </c>
      <c r="M98" s="3">
        <v>0</v>
      </c>
      <c r="N98" s="3">
        <v>0</v>
      </c>
      <c r="O98" s="20">
        <f>M98+N98</f>
        <v>0</v>
      </c>
      <c r="P98" s="3">
        <v>100</v>
      </c>
      <c r="Q98" s="20">
        <v>0</v>
      </c>
      <c r="R98" s="626">
        <v>100</v>
      </c>
      <c r="S98" s="21">
        <f t="shared" si="8"/>
        <v>100</v>
      </c>
      <c r="T98" s="20">
        <v>100</v>
      </c>
      <c r="U98" s="657">
        <f>SUM(T98/S98)*100</f>
        <v>100</v>
      </c>
      <c r="V98" s="102">
        <v>0</v>
      </c>
      <c r="W98" s="433">
        <f t="shared" si="7"/>
        <v>100</v>
      </c>
    </row>
    <row r="99" spans="4:23" ht="15">
      <c r="D99" s="1" t="s">
        <v>54</v>
      </c>
      <c r="J99" s="2" t="s">
        <v>124</v>
      </c>
      <c r="M99" s="128">
        <v>0</v>
      </c>
      <c r="N99" s="128">
        <v>0</v>
      </c>
      <c r="O99" s="128">
        <f>M99+N99</f>
        <v>0</v>
      </c>
      <c r="P99" s="128">
        <v>0</v>
      </c>
      <c r="Q99" s="128">
        <v>0</v>
      </c>
      <c r="R99" s="626">
        <v>0</v>
      </c>
      <c r="S99" s="21">
        <f t="shared" si="8"/>
        <v>0</v>
      </c>
      <c r="T99" s="128">
        <v>0</v>
      </c>
      <c r="U99" s="658">
        <v>0</v>
      </c>
      <c r="V99" s="102">
        <v>0</v>
      </c>
      <c r="W99" s="433">
        <f t="shared" si="7"/>
        <v>0</v>
      </c>
    </row>
    <row r="100" spans="1:23" s="16" customFormat="1" ht="15.75">
      <c r="A100" s="13"/>
      <c r="B100" s="13"/>
      <c r="C100" s="13" t="s">
        <v>109</v>
      </c>
      <c r="D100" s="13"/>
      <c r="E100" s="13"/>
      <c r="F100" s="14"/>
      <c r="G100" s="14"/>
      <c r="H100" s="14"/>
      <c r="I100" s="14" t="s">
        <v>423</v>
      </c>
      <c r="J100" s="14"/>
      <c r="K100" s="14"/>
      <c r="L100" s="14"/>
      <c r="M100" s="15">
        <f>SUM(M98:M99)</f>
        <v>0</v>
      </c>
      <c r="N100" s="323">
        <v>0</v>
      </c>
      <c r="O100" s="323">
        <f>M100+N100</f>
        <v>0</v>
      </c>
      <c r="P100" s="320">
        <f>SUM(P98:P99)</f>
        <v>100</v>
      </c>
      <c r="Q100" s="510">
        <v>0</v>
      </c>
      <c r="R100" s="522">
        <f>SUM(R98:R99)</f>
        <v>100</v>
      </c>
      <c r="S100" s="522">
        <f t="shared" si="8"/>
        <v>100</v>
      </c>
      <c r="T100" s="23">
        <f>SUM(T98:T99)</f>
        <v>100</v>
      </c>
      <c r="U100" s="664">
        <f>SUM(T100/S100)*100</f>
        <v>100</v>
      </c>
      <c r="V100" s="323">
        <f>SUM(V98:V99)</f>
        <v>0</v>
      </c>
      <c r="W100" s="323">
        <f t="shared" si="7"/>
        <v>100</v>
      </c>
    </row>
    <row r="101" spans="1:23" ht="15.75">
      <c r="A101" s="13" t="s">
        <v>101</v>
      </c>
      <c r="B101" s="13"/>
      <c r="C101" s="13"/>
      <c r="D101" s="13"/>
      <c r="E101" s="13"/>
      <c r="F101" s="14"/>
      <c r="G101" s="24"/>
      <c r="H101" s="215" t="s">
        <v>424</v>
      </c>
      <c r="I101" s="14"/>
      <c r="J101" s="14"/>
      <c r="K101" s="14"/>
      <c r="L101" s="14"/>
      <c r="M101" s="15">
        <f>SUM(M92+M96+M100)</f>
        <v>0</v>
      </c>
      <c r="N101" s="323">
        <v>0</v>
      </c>
      <c r="O101" s="323">
        <f>M101+N101</f>
        <v>0</v>
      </c>
      <c r="P101" s="323">
        <f>P92+P96+P100</f>
        <v>178</v>
      </c>
      <c r="Q101" s="510">
        <v>0</v>
      </c>
      <c r="R101" s="522">
        <f>R92+R96+R100</f>
        <v>830</v>
      </c>
      <c r="S101" s="522">
        <f t="shared" si="8"/>
        <v>830</v>
      </c>
      <c r="T101" s="323">
        <f>T92+T96+T100</f>
        <v>5053</v>
      </c>
      <c r="U101" s="664">
        <f>SUM(T101/S101)*100</f>
        <v>608.7951807228916</v>
      </c>
      <c r="V101" s="323">
        <f>V92+V96+V100</f>
        <v>197</v>
      </c>
      <c r="W101" s="323">
        <f t="shared" si="7"/>
        <v>1027</v>
      </c>
    </row>
    <row r="102" spans="1:23" ht="15">
      <c r="A102" s="1" t="s">
        <v>126</v>
      </c>
      <c r="G102" s="2" t="s">
        <v>408</v>
      </c>
      <c r="O102" s="20"/>
      <c r="Q102" s="20"/>
      <c r="S102" s="21"/>
      <c r="U102" s="657"/>
      <c r="W102" s="433"/>
    </row>
    <row r="103" spans="3:23" ht="15">
      <c r="C103" s="1" t="s">
        <v>51</v>
      </c>
      <c r="I103" s="2" t="s">
        <v>52</v>
      </c>
      <c r="O103" s="20"/>
      <c r="Q103" s="20"/>
      <c r="S103" s="21"/>
      <c r="U103" s="657"/>
      <c r="W103" s="433"/>
    </row>
    <row r="104" spans="4:23" ht="15">
      <c r="D104" s="1" t="s">
        <v>49</v>
      </c>
      <c r="J104" s="2" t="s">
        <v>121</v>
      </c>
      <c r="M104" s="3">
        <v>5500</v>
      </c>
      <c r="N104" s="128">
        <v>0</v>
      </c>
      <c r="O104" s="128">
        <f>M104+N104</f>
        <v>5500</v>
      </c>
      <c r="P104" s="128">
        <v>391</v>
      </c>
      <c r="Q104" s="128">
        <f>SUM(P104/O104)*100</f>
        <v>7.109090909090909</v>
      </c>
      <c r="R104" s="626">
        <v>0</v>
      </c>
      <c r="S104" s="21">
        <f t="shared" si="8"/>
        <v>5500</v>
      </c>
      <c r="T104" s="3">
        <v>2233</v>
      </c>
      <c r="U104" s="658">
        <f>SUM(T104/S104)*100</f>
        <v>40.6</v>
      </c>
      <c r="V104" s="102">
        <v>0</v>
      </c>
      <c r="W104" s="433">
        <f t="shared" si="7"/>
        <v>5500</v>
      </c>
    </row>
    <row r="105" spans="1:23" s="16" customFormat="1" ht="15.75">
      <c r="A105" s="13"/>
      <c r="B105" s="13"/>
      <c r="C105" s="13" t="s">
        <v>51</v>
      </c>
      <c r="D105" s="13"/>
      <c r="E105" s="13"/>
      <c r="F105" s="14"/>
      <c r="G105" s="14"/>
      <c r="H105" s="14"/>
      <c r="I105" s="14" t="s">
        <v>422</v>
      </c>
      <c r="J105" s="14"/>
      <c r="K105" s="14"/>
      <c r="L105" s="14"/>
      <c r="M105" s="15">
        <f>SUM(M104)</f>
        <v>5500</v>
      </c>
      <c r="N105" s="323">
        <v>0</v>
      </c>
      <c r="O105" s="323">
        <f>M105+N105</f>
        <v>5500</v>
      </c>
      <c r="P105" s="320">
        <f>SUM(P104)</f>
        <v>391</v>
      </c>
      <c r="Q105" s="128">
        <f>SUM(P105/O105)*100</f>
        <v>7.109090909090909</v>
      </c>
      <c r="R105" s="522">
        <v>0</v>
      </c>
      <c r="S105" s="522">
        <f t="shared" si="8"/>
        <v>5500</v>
      </c>
      <c r="T105" s="320">
        <f>SUM(T104)</f>
        <v>2233</v>
      </c>
      <c r="U105" s="664">
        <f>SUM(T105/S105)*100</f>
        <v>40.6</v>
      </c>
      <c r="V105" s="323">
        <f>SUM(V104)</f>
        <v>0</v>
      </c>
      <c r="W105" s="323">
        <f t="shared" si="7"/>
        <v>5500</v>
      </c>
    </row>
    <row r="106" spans="1:23" ht="15.75">
      <c r="A106" s="17"/>
      <c r="B106" s="17"/>
      <c r="C106" s="17" t="s">
        <v>104</v>
      </c>
      <c r="D106" s="4"/>
      <c r="E106" s="26"/>
      <c r="F106" s="26"/>
      <c r="G106" s="26"/>
      <c r="H106" s="26"/>
      <c r="I106" s="19" t="s">
        <v>105</v>
      </c>
      <c r="J106" s="26"/>
      <c r="K106" s="26"/>
      <c r="L106" s="26"/>
      <c r="O106" s="20"/>
      <c r="Q106" s="20"/>
      <c r="S106" s="21"/>
      <c r="U106" s="657"/>
      <c r="W106" s="433"/>
    </row>
    <row r="107" spans="1:23" ht="15.75">
      <c r="A107" s="17"/>
      <c r="B107" s="17"/>
      <c r="C107" s="4"/>
      <c r="D107" s="17" t="s">
        <v>49</v>
      </c>
      <c r="E107" s="19"/>
      <c r="F107" s="19"/>
      <c r="G107" s="19"/>
      <c r="H107" s="19"/>
      <c r="I107" s="19"/>
      <c r="J107" s="19" t="s">
        <v>106</v>
      </c>
      <c r="K107" s="19"/>
      <c r="L107" s="19"/>
      <c r="M107" s="3">
        <v>0</v>
      </c>
      <c r="N107" s="3">
        <v>0</v>
      </c>
      <c r="O107" s="20">
        <f>M107+N107</f>
        <v>0</v>
      </c>
      <c r="P107" s="102">
        <v>3469</v>
      </c>
      <c r="Q107" s="20">
        <v>0</v>
      </c>
      <c r="R107" s="626">
        <v>6548</v>
      </c>
      <c r="S107" s="21">
        <f t="shared" si="8"/>
        <v>6548</v>
      </c>
      <c r="T107" s="20">
        <v>8938</v>
      </c>
      <c r="U107" s="657">
        <f>SUM(T107/S107)*100</f>
        <v>136.4996945632254</v>
      </c>
      <c r="V107" s="102">
        <v>15888</v>
      </c>
      <c r="W107" s="433">
        <f t="shared" si="7"/>
        <v>22436</v>
      </c>
    </row>
    <row r="108" spans="1:23" ht="15.75">
      <c r="A108" s="17"/>
      <c r="B108" s="17"/>
      <c r="C108" s="4"/>
      <c r="D108" s="17" t="s">
        <v>54</v>
      </c>
      <c r="E108" s="19"/>
      <c r="F108" s="19"/>
      <c r="G108" s="19"/>
      <c r="H108" s="19"/>
      <c r="I108" s="19"/>
      <c r="J108" s="27" t="s">
        <v>107</v>
      </c>
      <c r="K108" s="16"/>
      <c r="L108" s="19"/>
      <c r="M108" s="3">
        <v>0</v>
      </c>
      <c r="N108" s="128">
        <v>0</v>
      </c>
      <c r="O108" s="128">
        <f>M108+N108</f>
        <v>0</v>
      </c>
      <c r="P108" s="324">
        <v>0</v>
      </c>
      <c r="Q108" s="128">
        <v>0</v>
      </c>
      <c r="R108" s="626">
        <v>0</v>
      </c>
      <c r="S108" s="21">
        <f t="shared" si="8"/>
        <v>0</v>
      </c>
      <c r="T108" s="128">
        <v>0</v>
      </c>
      <c r="U108" s="658">
        <v>0</v>
      </c>
      <c r="V108" s="102">
        <v>0</v>
      </c>
      <c r="W108" s="433">
        <f t="shared" si="7"/>
        <v>0</v>
      </c>
    </row>
    <row r="109" spans="1:23" s="16" customFormat="1" ht="15.75">
      <c r="A109" s="13"/>
      <c r="B109" s="13"/>
      <c r="C109" s="13" t="s">
        <v>104</v>
      </c>
      <c r="D109" s="13"/>
      <c r="E109" s="14"/>
      <c r="F109" s="14"/>
      <c r="G109" s="14"/>
      <c r="H109" s="14"/>
      <c r="I109" s="14" t="s">
        <v>108</v>
      </c>
      <c r="J109" s="14"/>
      <c r="K109" s="14"/>
      <c r="L109" s="14"/>
      <c r="M109" s="15">
        <f>SUM(M107:M108)</f>
        <v>0</v>
      </c>
      <c r="N109" s="323">
        <v>0</v>
      </c>
      <c r="O109" s="323">
        <f>M109+N109</f>
        <v>0</v>
      </c>
      <c r="P109" s="323">
        <f>SUM(P107:P108)</f>
        <v>3469</v>
      </c>
      <c r="Q109" s="510">
        <v>0</v>
      </c>
      <c r="R109" s="522">
        <f>SUM(R107:R108)</f>
        <v>6548</v>
      </c>
      <c r="S109" s="522">
        <f t="shared" si="8"/>
        <v>6548</v>
      </c>
      <c r="T109" s="320">
        <f>SUM(T107:T108)</f>
        <v>8938</v>
      </c>
      <c r="U109" s="664">
        <f>SUM(T109/S109)*100</f>
        <v>136.4996945632254</v>
      </c>
      <c r="V109" s="323">
        <f>SUM(V107:V108)</f>
        <v>15888</v>
      </c>
      <c r="W109" s="323">
        <f t="shared" si="7"/>
        <v>22436</v>
      </c>
    </row>
    <row r="110" spans="3:23" ht="15">
      <c r="C110" s="1" t="s">
        <v>109</v>
      </c>
      <c r="I110" s="2" t="s">
        <v>110</v>
      </c>
      <c r="N110" s="3">
        <v>0</v>
      </c>
      <c r="O110" s="20"/>
      <c r="Q110" s="20"/>
      <c r="S110" s="21"/>
      <c r="U110" s="657"/>
      <c r="W110" s="433"/>
    </row>
    <row r="111" spans="4:23" ht="15">
      <c r="D111" s="1" t="s">
        <v>49</v>
      </c>
      <c r="J111" s="2" t="s">
        <v>123</v>
      </c>
      <c r="M111" s="3">
        <v>0</v>
      </c>
      <c r="N111" s="3">
        <v>0</v>
      </c>
      <c r="O111" s="20">
        <f>M111+N111</f>
        <v>0</v>
      </c>
      <c r="P111" s="3">
        <v>0</v>
      </c>
      <c r="Q111" s="20">
        <v>0</v>
      </c>
      <c r="R111" s="626">
        <v>0</v>
      </c>
      <c r="S111" s="21">
        <f t="shared" si="8"/>
        <v>0</v>
      </c>
      <c r="T111" s="20">
        <v>0</v>
      </c>
      <c r="U111" s="657">
        <v>0</v>
      </c>
      <c r="V111" s="102">
        <v>0</v>
      </c>
      <c r="W111" s="433">
        <f t="shared" si="7"/>
        <v>0</v>
      </c>
    </row>
    <row r="112" spans="4:23" ht="15">
      <c r="D112" s="1" t="s">
        <v>54</v>
      </c>
      <c r="J112" s="2" t="s">
        <v>124</v>
      </c>
      <c r="M112" s="3">
        <v>0</v>
      </c>
      <c r="N112" s="128">
        <v>0</v>
      </c>
      <c r="O112" s="128">
        <f>M112+N112</f>
        <v>0</v>
      </c>
      <c r="P112" s="128">
        <v>0</v>
      </c>
      <c r="Q112" s="128">
        <v>0</v>
      </c>
      <c r="R112" s="626">
        <v>0</v>
      </c>
      <c r="S112" s="21">
        <f t="shared" si="8"/>
        <v>0</v>
      </c>
      <c r="T112" s="128">
        <v>0</v>
      </c>
      <c r="U112" s="658">
        <v>0</v>
      </c>
      <c r="V112" s="102">
        <v>0</v>
      </c>
      <c r="W112" s="433">
        <f t="shared" si="7"/>
        <v>0</v>
      </c>
    </row>
    <row r="113" spans="1:23" s="16" customFormat="1" ht="15.75">
      <c r="A113" s="13"/>
      <c r="B113" s="13"/>
      <c r="C113" s="13" t="s">
        <v>109</v>
      </c>
      <c r="D113" s="13"/>
      <c r="E113" s="13"/>
      <c r="F113" s="14"/>
      <c r="G113" s="14"/>
      <c r="H113" s="14"/>
      <c r="I113" s="14" t="s">
        <v>423</v>
      </c>
      <c r="J113" s="14"/>
      <c r="K113" s="14"/>
      <c r="L113" s="14"/>
      <c r="M113" s="15">
        <f>SUM(M111:M112)</f>
        <v>0</v>
      </c>
      <c r="N113" s="323">
        <v>0</v>
      </c>
      <c r="O113" s="323">
        <f>M113+N113</f>
        <v>0</v>
      </c>
      <c r="P113" s="320">
        <f>SUM(P111:P112)</f>
        <v>0</v>
      </c>
      <c r="Q113" s="510">
        <v>0</v>
      </c>
      <c r="R113" s="523">
        <v>0</v>
      </c>
      <c r="S113" s="522">
        <f t="shared" si="8"/>
        <v>0</v>
      </c>
      <c r="T113" s="681">
        <v>0</v>
      </c>
      <c r="U113" s="664">
        <v>0</v>
      </c>
      <c r="V113" s="323">
        <f>SUM(V111:V112)</f>
        <v>0</v>
      </c>
      <c r="W113" s="323">
        <f t="shared" si="7"/>
        <v>0</v>
      </c>
    </row>
    <row r="114" spans="1:23" s="16" customFormat="1" ht="15.75">
      <c r="A114" s="14" t="s">
        <v>126</v>
      </c>
      <c r="B114" s="13"/>
      <c r="C114" s="13"/>
      <c r="D114" s="13"/>
      <c r="E114" s="13"/>
      <c r="F114" s="14"/>
      <c r="G114" s="14"/>
      <c r="H114" s="14" t="s">
        <v>409</v>
      </c>
      <c r="I114" s="14"/>
      <c r="J114" s="14"/>
      <c r="K114" s="14"/>
      <c r="L114" s="14"/>
      <c r="M114" s="15">
        <f>SUM(M105+M109+M113)</f>
        <v>5500</v>
      </c>
      <c r="N114" s="323">
        <v>0</v>
      </c>
      <c r="O114" s="323">
        <f>M114+N114</f>
        <v>5500</v>
      </c>
      <c r="P114" s="320">
        <f>P105+P109+P113</f>
        <v>3860</v>
      </c>
      <c r="Q114" s="510">
        <f>SUM(P114/O114)*100</f>
        <v>70.18181818181817</v>
      </c>
      <c r="R114" s="522">
        <f>R105+R109+R113</f>
        <v>6548</v>
      </c>
      <c r="S114" s="522">
        <f t="shared" si="8"/>
        <v>12048</v>
      </c>
      <c r="T114" s="320">
        <f>T105+T109+T113</f>
        <v>11171</v>
      </c>
      <c r="U114" s="664">
        <f>SUM(T114/S114)*100</f>
        <v>92.72078353253652</v>
      </c>
      <c r="V114" s="323">
        <f>V105+V109+V113</f>
        <v>15888</v>
      </c>
      <c r="W114" s="323">
        <f t="shared" si="7"/>
        <v>27936</v>
      </c>
    </row>
    <row r="115" spans="1:23" s="16" customFormat="1" ht="15.75">
      <c r="A115" s="4"/>
      <c r="B115" s="4"/>
      <c r="C115" s="4"/>
      <c r="D115" s="5"/>
      <c r="E115" s="5"/>
      <c r="H115" s="26"/>
      <c r="J115" s="26"/>
      <c r="K115" s="4" t="s">
        <v>127</v>
      </c>
      <c r="M115" s="23"/>
      <c r="N115" s="23"/>
      <c r="O115" s="20"/>
      <c r="P115" s="23"/>
      <c r="Q115" s="20"/>
      <c r="R115" s="629"/>
      <c r="S115" s="21"/>
      <c r="T115" s="23"/>
      <c r="U115" s="657"/>
      <c r="V115" s="102"/>
      <c r="W115" s="433"/>
    </row>
    <row r="116" spans="1:23" s="16" customFormat="1" ht="15.75">
      <c r="A116" s="1"/>
      <c r="B116" s="1"/>
      <c r="C116" s="1" t="s">
        <v>51</v>
      </c>
      <c r="D116" s="1"/>
      <c r="E116" s="1"/>
      <c r="F116" s="2"/>
      <c r="G116" s="2"/>
      <c r="H116" s="2"/>
      <c r="I116" s="2" t="s">
        <v>128</v>
      </c>
      <c r="J116" s="2"/>
      <c r="K116" s="2"/>
      <c r="L116" s="2"/>
      <c r="M116" s="23"/>
      <c r="N116" s="23"/>
      <c r="O116" s="20"/>
      <c r="P116" s="23"/>
      <c r="Q116" s="20"/>
      <c r="R116" s="629"/>
      <c r="S116" s="21"/>
      <c r="T116" s="661"/>
      <c r="U116" s="657"/>
      <c r="V116" s="102"/>
      <c r="W116" s="433"/>
    </row>
    <row r="117" spans="1:23" s="16" customFormat="1" ht="15.75">
      <c r="A117" s="1"/>
      <c r="B117" s="1"/>
      <c r="C117" s="1"/>
      <c r="D117" s="1" t="s">
        <v>49</v>
      </c>
      <c r="E117" s="1"/>
      <c r="F117" s="2"/>
      <c r="G117" s="2"/>
      <c r="H117" s="2"/>
      <c r="I117" s="2"/>
      <c r="J117" s="2" t="s">
        <v>121</v>
      </c>
      <c r="K117" s="2"/>
      <c r="L117" s="2"/>
      <c r="M117" s="3">
        <f>SUM(M13+M79+M92+M105)</f>
        <v>156322</v>
      </c>
      <c r="N117" s="102">
        <v>0</v>
      </c>
      <c r="O117" s="20">
        <f>M117+N117</f>
        <v>156322</v>
      </c>
      <c r="P117" s="102">
        <f>P12+P78+P91+P104</f>
        <v>70443</v>
      </c>
      <c r="Q117" s="20">
        <f>SUM(P117/O117)*100</f>
        <v>45.062755082458004</v>
      </c>
      <c r="R117" s="630">
        <f>R13+R79+R92+R105</f>
        <v>73895</v>
      </c>
      <c r="S117" s="21">
        <f t="shared" si="8"/>
        <v>230217</v>
      </c>
      <c r="T117" s="433">
        <f>T12+T78+T91+T104</f>
        <v>217590</v>
      </c>
      <c r="U117" s="657">
        <f>SUM(T117/S117)*100</f>
        <v>94.5151748133283</v>
      </c>
      <c r="V117" s="102">
        <f>V13+V78+V91+V104</f>
        <v>174567</v>
      </c>
      <c r="W117" s="433">
        <f t="shared" si="7"/>
        <v>404784</v>
      </c>
    </row>
    <row r="118" spans="1:23" s="16" customFormat="1" ht="15.75">
      <c r="A118" s="1"/>
      <c r="B118" s="1"/>
      <c r="C118" s="1"/>
      <c r="D118" s="1" t="s">
        <v>54</v>
      </c>
      <c r="E118" s="1"/>
      <c r="F118" s="2"/>
      <c r="G118" s="2"/>
      <c r="H118" s="2"/>
      <c r="I118" s="2"/>
      <c r="J118" s="2" t="s">
        <v>129</v>
      </c>
      <c r="K118" s="2"/>
      <c r="L118" s="2"/>
      <c r="M118" s="3">
        <f>SUM(M30)</f>
        <v>685000</v>
      </c>
      <c r="N118" s="324">
        <v>0</v>
      </c>
      <c r="O118" s="128">
        <f>M118+N118</f>
        <v>685000</v>
      </c>
      <c r="P118" s="324">
        <f>P30</f>
        <v>255790</v>
      </c>
      <c r="Q118" s="128">
        <f>SUM(P118/O118)*100</f>
        <v>37.34160583941606</v>
      </c>
      <c r="R118" s="630">
        <f>R30</f>
        <v>0</v>
      </c>
      <c r="S118" s="21">
        <f t="shared" si="8"/>
        <v>685000</v>
      </c>
      <c r="T118" s="324">
        <f>T30</f>
        <v>390099</v>
      </c>
      <c r="U118" s="658">
        <f>SUM(T118/S118)*100</f>
        <v>56.94875912408759</v>
      </c>
      <c r="V118" s="102">
        <f>V30</f>
        <v>190</v>
      </c>
      <c r="W118" s="433">
        <f t="shared" si="7"/>
        <v>685190</v>
      </c>
    </row>
    <row r="119" spans="1:23" ht="15">
      <c r="A119" s="28"/>
      <c r="B119" s="28"/>
      <c r="C119" s="28" t="s">
        <v>51</v>
      </c>
      <c r="D119" s="28"/>
      <c r="E119" s="28"/>
      <c r="F119" s="24"/>
      <c r="G119" s="24"/>
      <c r="H119" s="24"/>
      <c r="I119" s="24" t="s">
        <v>80</v>
      </c>
      <c r="J119" s="24"/>
      <c r="K119" s="24"/>
      <c r="L119" s="24"/>
      <c r="M119" s="34">
        <f>SUM(M117:M118)</f>
        <v>841322</v>
      </c>
      <c r="N119" s="321">
        <v>0</v>
      </c>
      <c r="O119" s="321">
        <f>M119+N119</f>
        <v>841322</v>
      </c>
      <c r="P119" s="322">
        <f>SUM(P117:P118)</f>
        <v>326233</v>
      </c>
      <c r="Q119" s="128">
        <f>SUM(P119/O119)*100</f>
        <v>38.776235496040755</v>
      </c>
      <c r="R119" s="631">
        <f>SUM(R117:R118)</f>
        <v>73895</v>
      </c>
      <c r="S119" s="631">
        <f t="shared" si="8"/>
        <v>915217</v>
      </c>
      <c r="T119" s="3">
        <f>SUM(T117:T118)</f>
        <v>607689</v>
      </c>
      <c r="U119" s="658">
        <f>SUM(T119/S119)*100</f>
        <v>66.3983514292239</v>
      </c>
      <c r="V119" s="322">
        <f>SUM(V117:V118)</f>
        <v>174757</v>
      </c>
      <c r="W119" s="322">
        <f t="shared" si="7"/>
        <v>1089974</v>
      </c>
    </row>
    <row r="120" spans="1:23" s="16" customFormat="1" ht="15.75">
      <c r="A120" s="1"/>
      <c r="B120" s="1"/>
      <c r="C120" s="1" t="s">
        <v>81</v>
      </c>
      <c r="D120" s="1"/>
      <c r="E120" s="1"/>
      <c r="F120" s="2" t="s">
        <v>87</v>
      </c>
      <c r="G120" s="2"/>
      <c r="H120" s="2"/>
      <c r="I120" s="2" t="s">
        <v>96</v>
      </c>
      <c r="J120" s="2"/>
      <c r="K120" s="2"/>
      <c r="L120" s="2"/>
      <c r="M120" s="3">
        <f>SUM(M56)</f>
        <v>315067</v>
      </c>
      <c r="N120" s="102">
        <v>105527</v>
      </c>
      <c r="O120" s="20">
        <f>M120+N120</f>
        <v>420594</v>
      </c>
      <c r="P120" s="102">
        <f>P56</f>
        <v>160935</v>
      </c>
      <c r="Q120" s="20">
        <f>SUM(P120/O120)*100</f>
        <v>38.26374128018944</v>
      </c>
      <c r="R120" s="630">
        <f>R56</f>
        <v>47930</v>
      </c>
      <c r="S120" s="21">
        <f t="shared" si="8"/>
        <v>468524</v>
      </c>
      <c r="T120" s="682">
        <f>T56</f>
        <v>373112</v>
      </c>
      <c r="U120" s="657">
        <f>SUM(T120/S120)*100</f>
        <v>79.63562165438697</v>
      </c>
      <c r="V120" s="102">
        <f>V56</f>
        <v>147976</v>
      </c>
      <c r="W120" s="433">
        <f t="shared" si="7"/>
        <v>616500</v>
      </c>
    </row>
    <row r="121" spans="1:23" s="16" customFormat="1" ht="15.75">
      <c r="A121" s="1"/>
      <c r="B121" s="1"/>
      <c r="C121" s="1" t="s">
        <v>97</v>
      </c>
      <c r="D121" s="1"/>
      <c r="E121" s="1"/>
      <c r="F121" s="2"/>
      <c r="G121" s="2"/>
      <c r="H121" s="2"/>
      <c r="I121" s="2" t="s">
        <v>103</v>
      </c>
      <c r="J121" s="2"/>
      <c r="K121" s="2"/>
      <c r="L121" s="2"/>
      <c r="M121" s="3">
        <f>SUM(M61)</f>
        <v>87530</v>
      </c>
      <c r="N121" s="102">
        <v>0</v>
      </c>
      <c r="O121" s="20">
        <f>M121+N121</f>
        <v>87530</v>
      </c>
      <c r="P121" s="102">
        <f>P61</f>
        <v>10225</v>
      </c>
      <c r="Q121" s="20">
        <f>SUM(P121/O121)*100</f>
        <v>11.681709128298868</v>
      </c>
      <c r="R121" s="630">
        <f>R61</f>
        <v>-30969</v>
      </c>
      <c r="S121" s="21">
        <f t="shared" si="8"/>
        <v>56561</v>
      </c>
      <c r="T121" s="433">
        <f>T61</f>
        <v>1800</v>
      </c>
      <c r="U121" s="657">
        <f>SUM(T121/S121)*100</f>
        <v>3.182404837255352</v>
      </c>
      <c r="V121" s="102">
        <f>V61</f>
        <v>235</v>
      </c>
      <c r="W121" s="433">
        <f t="shared" si="7"/>
        <v>56796</v>
      </c>
    </row>
    <row r="122" spans="1:23" s="16" customFormat="1" ht="15.75">
      <c r="A122" s="1"/>
      <c r="B122" s="1"/>
      <c r="C122" s="1" t="s">
        <v>104</v>
      </c>
      <c r="D122" s="1"/>
      <c r="E122" s="1"/>
      <c r="F122" s="2"/>
      <c r="G122" s="2"/>
      <c r="H122" s="2"/>
      <c r="I122" s="2" t="s">
        <v>130</v>
      </c>
      <c r="J122" s="2"/>
      <c r="K122" s="2"/>
      <c r="L122" s="2"/>
      <c r="M122" s="23"/>
      <c r="N122" s="102"/>
      <c r="O122" s="20"/>
      <c r="P122" s="102"/>
      <c r="Q122" s="20"/>
      <c r="R122" s="629"/>
      <c r="S122" s="21"/>
      <c r="T122" s="433"/>
      <c r="U122" s="657"/>
      <c r="V122" s="102"/>
      <c r="W122" s="433"/>
    </row>
    <row r="123" spans="1:23" s="16" customFormat="1" ht="15.75">
      <c r="A123" s="1"/>
      <c r="B123" s="1"/>
      <c r="C123" s="1"/>
      <c r="D123" s="1" t="s">
        <v>49</v>
      </c>
      <c r="E123" s="1"/>
      <c r="F123" s="2"/>
      <c r="G123" s="2"/>
      <c r="H123" s="2"/>
      <c r="I123" s="2"/>
      <c r="J123" s="19" t="s">
        <v>106</v>
      </c>
      <c r="K123" s="2"/>
      <c r="L123" s="2"/>
      <c r="M123" s="3">
        <f>SUM(M63+M81+M94+M107)</f>
        <v>10618</v>
      </c>
      <c r="N123" s="102">
        <v>406</v>
      </c>
      <c r="O123" s="20">
        <f>M123+N123</f>
        <v>11024</v>
      </c>
      <c r="P123" s="102">
        <f>P63+P81+P94+P107</f>
        <v>128261</v>
      </c>
      <c r="Q123" s="20">
        <f>SUM(P123/O123)*100</f>
        <v>1163.4706095791</v>
      </c>
      <c r="R123" s="630">
        <f>R63+R81+R94+R107</f>
        <v>402589</v>
      </c>
      <c r="S123" s="21">
        <f t="shared" si="8"/>
        <v>413613</v>
      </c>
      <c r="T123" s="433">
        <f>T63+T81+T94+T107</f>
        <v>252562</v>
      </c>
      <c r="U123" s="657">
        <f>SUM(T123/S123)*100</f>
        <v>61.062394073687244</v>
      </c>
      <c r="V123" s="102">
        <f>V63+V81+V94+V107</f>
        <v>32499</v>
      </c>
      <c r="W123" s="433">
        <f t="shared" si="7"/>
        <v>446112</v>
      </c>
    </row>
    <row r="124" spans="1:23" s="16" customFormat="1" ht="15.75">
      <c r="A124" s="1"/>
      <c r="B124" s="1"/>
      <c r="C124" s="1"/>
      <c r="D124" s="1" t="s">
        <v>54</v>
      </c>
      <c r="E124" s="1"/>
      <c r="F124" s="2"/>
      <c r="G124" s="2"/>
      <c r="H124" s="2"/>
      <c r="I124" s="2"/>
      <c r="J124" s="27" t="s">
        <v>107</v>
      </c>
      <c r="K124" s="2"/>
      <c r="L124" s="2"/>
      <c r="M124" s="3">
        <f>SUM(M64+M82+M95+M108)</f>
        <v>0</v>
      </c>
      <c r="N124" s="324">
        <v>264409</v>
      </c>
      <c r="O124" s="128">
        <f>M124+N124</f>
        <v>264409</v>
      </c>
      <c r="P124" s="324">
        <f>P64+P82+P95+P108</f>
        <v>196697</v>
      </c>
      <c r="Q124" s="128">
        <f>SUM(P124/O124)*100</f>
        <v>74.39118940731973</v>
      </c>
      <c r="R124" s="630">
        <f>R64+R82+R95+R108</f>
        <v>1960162</v>
      </c>
      <c r="S124" s="21">
        <f t="shared" si="8"/>
        <v>2224571</v>
      </c>
      <c r="T124" s="324">
        <f>T64+T82+T95+T108</f>
        <v>492303</v>
      </c>
      <c r="U124" s="658">
        <f>SUM(T124/S124)*100</f>
        <v>22.130244438141105</v>
      </c>
      <c r="V124" s="102">
        <f>V82+V64+V95+V108</f>
        <v>41255</v>
      </c>
      <c r="W124" s="433">
        <f t="shared" si="7"/>
        <v>2265826</v>
      </c>
    </row>
    <row r="125" spans="1:23" s="16" customFormat="1" ht="15.75">
      <c r="A125" s="28"/>
      <c r="B125" s="28"/>
      <c r="C125" s="28" t="s">
        <v>104</v>
      </c>
      <c r="D125" s="28"/>
      <c r="E125" s="28"/>
      <c r="F125" s="24"/>
      <c r="G125" s="24"/>
      <c r="H125" s="24"/>
      <c r="I125" s="24" t="s">
        <v>131</v>
      </c>
      <c r="J125" s="24"/>
      <c r="K125" s="24"/>
      <c r="L125" s="24"/>
      <c r="M125" s="34">
        <f>SUM(M123:M124)</f>
        <v>10618</v>
      </c>
      <c r="N125" s="322">
        <f>SUM(N123:N124)</f>
        <v>264815</v>
      </c>
      <c r="O125" s="321">
        <f>M125+N125</f>
        <v>275433</v>
      </c>
      <c r="P125" s="322">
        <f>SUM(P123:P124)</f>
        <v>324958</v>
      </c>
      <c r="Q125" s="128">
        <f>SUM(P125/O125)*100</f>
        <v>117.9807793546888</v>
      </c>
      <c r="R125" s="632">
        <f>SUM(R123:R124)</f>
        <v>2362751</v>
      </c>
      <c r="S125" s="631">
        <f t="shared" si="8"/>
        <v>2638184</v>
      </c>
      <c r="T125" s="322">
        <f>SUM(T123:T124)</f>
        <v>744865</v>
      </c>
      <c r="U125" s="658">
        <f>SUM(T125/S125)*100</f>
        <v>28.234004906405314</v>
      </c>
      <c r="V125" s="322">
        <f>SUM(V123:V124)</f>
        <v>73754</v>
      </c>
      <c r="W125" s="322">
        <f t="shared" si="7"/>
        <v>2711938</v>
      </c>
    </row>
    <row r="126" spans="1:23" s="16" customFormat="1" ht="15.75">
      <c r="A126" s="17"/>
      <c r="B126" s="17"/>
      <c r="C126" s="17" t="s">
        <v>109</v>
      </c>
      <c r="D126" s="17"/>
      <c r="E126" s="17"/>
      <c r="F126" s="19"/>
      <c r="G126" s="19"/>
      <c r="H126" s="19"/>
      <c r="I126" s="19" t="s">
        <v>110</v>
      </c>
      <c r="J126" s="19"/>
      <c r="K126" s="19"/>
      <c r="L126" s="19"/>
      <c r="M126" s="23"/>
      <c r="N126" s="102"/>
      <c r="O126" s="20"/>
      <c r="P126" s="102"/>
      <c r="Q126" s="20"/>
      <c r="R126" s="630"/>
      <c r="S126" s="21"/>
      <c r="T126" s="102"/>
      <c r="U126" s="657"/>
      <c r="V126" s="102"/>
      <c r="W126" s="433"/>
    </row>
    <row r="127" spans="1:23" s="16" customFormat="1" ht="15.75">
      <c r="A127" s="17"/>
      <c r="B127" s="17"/>
      <c r="C127" s="17"/>
      <c r="D127" s="17" t="s">
        <v>49</v>
      </c>
      <c r="E127" s="17"/>
      <c r="F127" s="19"/>
      <c r="G127" s="19"/>
      <c r="H127" s="19"/>
      <c r="I127" s="19"/>
      <c r="J127" s="27" t="s">
        <v>132</v>
      </c>
      <c r="K127" s="19"/>
      <c r="L127" s="19"/>
      <c r="M127" s="20">
        <f>SUM(M67+M85+M98+M111)</f>
        <v>0</v>
      </c>
      <c r="N127" s="102">
        <v>0</v>
      </c>
      <c r="O127" s="20">
        <f>M127+N127</f>
        <v>0</v>
      </c>
      <c r="P127" s="102">
        <f>P67+P85+P98+P111</f>
        <v>7796</v>
      </c>
      <c r="Q127" s="20">
        <v>0</v>
      </c>
      <c r="R127" s="630">
        <f>R67+R85+R98+R111</f>
        <v>8549</v>
      </c>
      <c r="S127" s="21">
        <f t="shared" si="8"/>
        <v>8549</v>
      </c>
      <c r="T127" s="433">
        <f>T67+T85+T98+T111</f>
        <v>7790</v>
      </c>
      <c r="U127" s="657">
        <f>SUM(T127/S127)*100</f>
        <v>91.12176862790969</v>
      </c>
      <c r="V127" s="102">
        <f>V67+V85+V98+V111</f>
        <v>0</v>
      </c>
      <c r="W127" s="433">
        <f t="shared" si="7"/>
        <v>8549</v>
      </c>
    </row>
    <row r="128" spans="1:23" s="16" customFormat="1" ht="15.75">
      <c r="A128" s="17"/>
      <c r="B128" s="17"/>
      <c r="C128" s="17"/>
      <c r="D128" s="17" t="s">
        <v>54</v>
      </c>
      <c r="E128" s="17"/>
      <c r="F128" s="19"/>
      <c r="G128" s="19"/>
      <c r="H128" s="19"/>
      <c r="I128" s="19"/>
      <c r="J128" s="27" t="s">
        <v>112</v>
      </c>
      <c r="K128" s="19"/>
      <c r="L128" s="19"/>
      <c r="M128" s="20">
        <f>SUM(M68+M86+M99+M112)</f>
        <v>500</v>
      </c>
      <c r="N128" s="324">
        <v>0</v>
      </c>
      <c r="O128" s="128">
        <f>M128+N128</f>
        <v>500</v>
      </c>
      <c r="P128" s="324">
        <f>P68+P82+P95+P108+P112</f>
        <v>148</v>
      </c>
      <c r="Q128" s="128">
        <f>SUM(P128/O128)*100</f>
        <v>29.599999999999998</v>
      </c>
      <c r="R128" s="630">
        <f>R68+R86+R99+R112</f>
        <v>0</v>
      </c>
      <c r="S128" s="21">
        <f t="shared" si="8"/>
        <v>500</v>
      </c>
      <c r="T128" s="324">
        <f>T68+T86+T99+T112</f>
        <v>3266</v>
      </c>
      <c r="U128" s="658">
        <f>SUM(T128/S128)*100</f>
        <v>653.2</v>
      </c>
      <c r="V128" s="102">
        <f>V68+V86+V99+V112</f>
        <v>0</v>
      </c>
      <c r="W128" s="433">
        <f t="shared" si="7"/>
        <v>500</v>
      </c>
    </row>
    <row r="129" spans="1:23" s="16" customFormat="1" ht="15.75">
      <c r="A129" s="28"/>
      <c r="B129" s="28"/>
      <c r="C129" s="28" t="s">
        <v>109</v>
      </c>
      <c r="D129" s="28"/>
      <c r="E129" s="28"/>
      <c r="F129" s="24"/>
      <c r="G129" s="24"/>
      <c r="H129" s="24"/>
      <c r="I129" s="24" t="s">
        <v>133</v>
      </c>
      <c r="J129" s="35"/>
      <c r="K129" s="24"/>
      <c r="L129" s="24"/>
      <c r="M129" s="34">
        <f>SUM(M127:M128)</f>
        <v>500</v>
      </c>
      <c r="N129" s="322">
        <v>0</v>
      </c>
      <c r="O129" s="321">
        <f>M129+N129</f>
        <v>500</v>
      </c>
      <c r="P129" s="322">
        <f>SUM(P127:P128)</f>
        <v>7944</v>
      </c>
      <c r="Q129" s="128">
        <f>SUM(P129/O129)*100</f>
        <v>1588.8</v>
      </c>
      <c r="R129" s="632">
        <f>SUM(R127:R128)</f>
        <v>8549</v>
      </c>
      <c r="S129" s="631">
        <f t="shared" si="8"/>
        <v>9049</v>
      </c>
      <c r="T129" s="322">
        <f>SUM(T127:T128)</f>
        <v>11056</v>
      </c>
      <c r="U129" s="658">
        <f>SUM(T129/S129)*100</f>
        <v>122.17924632556083</v>
      </c>
      <c r="V129" s="322">
        <f>SUM(V127:V128)</f>
        <v>0</v>
      </c>
      <c r="W129" s="322">
        <f t="shared" si="7"/>
        <v>9049</v>
      </c>
    </row>
    <row r="130" spans="3:23" ht="15">
      <c r="C130" s="1" t="s">
        <v>114</v>
      </c>
      <c r="I130" s="2" t="s">
        <v>115</v>
      </c>
      <c r="N130" s="102"/>
      <c r="O130" s="20"/>
      <c r="P130" s="102"/>
      <c r="Q130" s="20"/>
      <c r="R130" s="630"/>
      <c r="S130" s="21"/>
      <c r="T130" s="102"/>
      <c r="U130" s="657"/>
      <c r="W130" s="433"/>
    </row>
    <row r="131" spans="4:23" ht="15">
      <c r="D131" s="1" t="s">
        <v>49</v>
      </c>
      <c r="J131" s="2" t="s">
        <v>116</v>
      </c>
      <c r="M131" s="3">
        <f>SUM(M71)</f>
        <v>3100</v>
      </c>
      <c r="N131" s="102">
        <v>0</v>
      </c>
      <c r="O131" s="20">
        <f>M131+N131</f>
        <v>3100</v>
      </c>
      <c r="P131" s="102">
        <f>P71</f>
        <v>2934</v>
      </c>
      <c r="Q131" s="20">
        <f>SUM(P131/O131)*100</f>
        <v>94.64516129032258</v>
      </c>
      <c r="R131" s="630">
        <v>0</v>
      </c>
      <c r="S131" s="21">
        <f t="shared" si="8"/>
        <v>3100</v>
      </c>
      <c r="T131" s="433">
        <f>T71</f>
        <v>3735</v>
      </c>
      <c r="U131" s="657">
        <f>SUM(T131/S131)*100</f>
        <v>120.48387096774194</v>
      </c>
      <c r="V131" s="102">
        <f>V71</f>
        <v>1946</v>
      </c>
      <c r="W131" s="433">
        <f t="shared" si="7"/>
        <v>5046</v>
      </c>
    </row>
    <row r="132" spans="4:23" ht="15">
      <c r="D132" s="1" t="s">
        <v>54</v>
      </c>
      <c r="J132" s="2" t="s">
        <v>117</v>
      </c>
      <c r="M132" s="3">
        <v>0</v>
      </c>
      <c r="N132" s="324">
        <v>0</v>
      </c>
      <c r="O132" s="128">
        <f>M132+N132</f>
        <v>0</v>
      </c>
      <c r="P132" s="324">
        <f>P72</f>
        <v>0</v>
      </c>
      <c r="Q132" s="128">
        <v>0</v>
      </c>
      <c r="R132" s="630">
        <v>0</v>
      </c>
      <c r="S132" s="21">
        <f t="shared" si="8"/>
        <v>0</v>
      </c>
      <c r="T132" s="324">
        <f>T72</f>
        <v>0</v>
      </c>
      <c r="U132" s="658"/>
      <c r="V132" s="102">
        <f>V72</f>
        <v>0</v>
      </c>
      <c r="W132" s="433">
        <f t="shared" si="7"/>
        <v>0</v>
      </c>
    </row>
    <row r="133" spans="1:23" ht="15">
      <c r="A133" s="28"/>
      <c r="B133" s="28"/>
      <c r="C133" s="28" t="s">
        <v>114</v>
      </c>
      <c r="D133" s="28"/>
      <c r="E133" s="24"/>
      <c r="F133" s="24"/>
      <c r="G133" s="24"/>
      <c r="H133" s="24"/>
      <c r="I133" s="24" t="s">
        <v>118</v>
      </c>
      <c r="J133" s="24"/>
      <c r="K133" s="24"/>
      <c r="L133" s="24"/>
      <c r="M133" s="34">
        <f>SUM(M131:M132)</f>
        <v>3100</v>
      </c>
      <c r="N133" s="322">
        <v>0</v>
      </c>
      <c r="O133" s="321">
        <f>M133+N133</f>
        <v>3100</v>
      </c>
      <c r="P133" s="322">
        <f>SUM(P131:P132)</f>
        <v>2934</v>
      </c>
      <c r="Q133" s="128">
        <f>SUM(P133/O133)*100</f>
        <v>94.64516129032258</v>
      </c>
      <c r="R133" s="632">
        <f>SUM(R131:R132)</f>
        <v>0</v>
      </c>
      <c r="S133" s="631">
        <f t="shared" si="8"/>
        <v>3100</v>
      </c>
      <c r="T133" s="102">
        <f>SUM(T131:T132)</f>
        <v>3735</v>
      </c>
      <c r="U133" s="658">
        <f>SUM(T133/S133)*100</f>
        <v>120.48387096774194</v>
      </c>
      <c r="V133" s="322">
        <f>SUM(V131:V132)</f>
        <v>1946</v>
      </c>
      <c r="W133" s="322">
        <f t="shared" si="7"/>
        <v>5046</v>
      </c>
    </row>
    <row r="134" spans="1:23" ht="15.75">
      <c r="A134" s="717"/>
      <c r="B134" s="717"/>
      <c r="C134" s="717"/>
      <c r="D134" s="718"/>
      <c r="E134" s="717"/>
      <c r="F134" s="130"/>
      <c r="G134" s="130"/>
      <c r="H134" s="130"/>
      <c r="I134" s="718" t="s">
        <v>134</v>
      </c>
      <c r="J134" s="130"/>
      <c r="K134" s="130"/>
      <c r="L134" s="130"/>
      <c r="M134" s="129">
        <f>SUM(M119+M120+M121+M125+M129+M133)</f>
        <v>1258137</v>
      </c>
      <c r="N134" s="323">
        <f>N119+N120+N121+N125+N129+N133</f>
        <v>370342</v>
      </c>
      <c r="O134" s="323">
        <f>M134+N134</f>
        <v>1628479</v>
      </c>
      <c r="P134" s="323">
        <f>P119+P120+P121+P125+P129+P133</f>
        <v>833229</v>
      </c>
      <c r="Q134" s="510">
        <f>SUM(P134/O134)*100</f>
        <v>51.16608811043925</v>
      </c>
      <c r="R134" s="524">
        <f>R119+R120+R121+R125+R129+R133</f>
        <v>2462156</v>
      </c>
      <c r="S134" s="524">
        <f t="shared" si="8"/>
        <v>4090635</v>
      </c>
      <c r="T134" s="323">
        <f>T119+T120+T121+T125+T129+T133</f>
        <v>1742257</v>
      </c>
      <c r="U134" s="664">
        <f>SUM(T134/S134)*100</f>
        <v>42.59135806543483</v>
      </c>
      <c r="V134" s="323">
        <f>V119+V120+V121+V125+V129+V133</f>
        <v>398668</v>
      </c>
      <c r="W134" s="323">
        <f t="shared" si="7"/>
        <v>4489303</v>
      </c>
    </row>
    <row r="135" spans="1:23" ht="15.75">
      <c r="A135" s="17"/>
      <c r="B135" s="17"/>
      <c r="C135" s="17"/>
      <c r="D135" s="4"/>
      <c r="E135" s="17"/>
      <c r="F135" s="19"/>
      <c r="G135" s="19"/>
      <c r="H135" s="19"/>
      <c r="I135" s="4"/>
      <c r="J135" s="19"/>
      <c r="K135" s="19"/>
      <c r="L135" s="19"/>
      <c r="M135" s="661"/>
      <c r="N135" s="663"/>
      <c r="O135" s="663"/>
      <c r="P135" s="663"/>
      <c r="Q135" s="663"/>
      <c r="R135" s="628"/>
      <c r="S135" s="628"/>
      <c r="T135" s="663"/>
      <c r="U135" s="668"/>
      <c r="W135" s="433"/>
    </row>
    <row r="136" spans="1:23" ht="15.75">
      <c r="A136" s="17"/>
      <c r="B136" s="17"/>
      <c r="C136" s="17"/>
      <c r="D136" s="4"/>
      <c r="E136" s="17"/>
      <c r="F136" s="19"/>
      <c r="G136" s="19"/>
      <c r="H136" s="19"/>
      <c r="I136" s="4"/>
      <c r="J136" s="19"/>
      <c r="K136" s="19"/>
      <c r="L136" s="19"/>
      <c r="M136" s="20"/>
      <c r="N136" s="20"/>
      <c r="O136" s="20"/>
      <c r="P136" s="20"/>
      <c r="Q136" s="20"/>
      <c r="R136" s="21"/>
      <c r="S136" s="21"/>
      <c r="T136" s="20"/>
      <c r="U136" s="657"/>
      <c r="W136" s="433"/>
    </row>
    <row r="137" spans="1:23" ht="15.75">
      <c r="A137" s="335"/>
      <c r="B137" s="719" t="s">
        <v>135</v>
      </c>
      <c r="C137" s="335"/>
      <c r="D137" s="720"/>
      <c r="E137" s="335"/>
      <c r="F137" s="333"/>
      <c r="G137" s="333"/>
      <c r="H137" s="333"/>
      <c r="I137" s="720"/>
      <c r="J137" s="333"/>
      <c r="K137" s="333"/>
      <c r="L137" s="333"/>
      <c r="M137" s="321"/>
      <c r="N137" s="321"/>
      <c r="O137" s="321"/>
      <c r="P137" s="321"/>
      <c r="Q137" s="321"/>
      <c r="R137" s="631"/>
      <c r="S137" s="631"/>
      <c r="T137" s="321"/>
      <c r="U137" s="660"/>
      <c r="V137" s="322"/>
      <c r="W137" s="322"/>
    </row>
    <row r="138" spans="1:23" ht="15">
      <c r="A138" s="17" t="s">
        <v>49</v>
      </c>
      <c r="B138" s="17"/>
      <c r="C138" s="17"/>
      <c r="D138" s="17"/>
      <c r="E138" s="17"/>
      <c r="F138" s="19"/>
      <c r="G138" s="19" t="s">
        <v>136</v>
      </c>
      <c r="H138" s="19"/>
      <c r="I138" s="19"/>
      <c r="J138" s="19"/>
      <c r="K138" s="19"/>
      <c r="L138" s="19"/>
      <c r="O138" s="20"/>
      <c r="Q138" s="20"/>
      <c r="S138" s="21"/>
      <c r="U138" s="657"/>
      <c r="W138" s="433"/>
    </row>
    <row r="139" spans="3:23" ht="15">
      <c r="C139" s="1" t="s">
        <v>137</v>
      </c>
      <c r="I139" s="2" t="s">
        <v>138</v>
      </c>
      <c r="O139" s="20"/>
      <c r="Q139" s="20"/>
      <c r="S139" s="21"/>
      <c r="T139" s="20"/>
      <c r="U139" s="657"/>
      <c r="W139" s="433"/>
    </row>
    <row r="140" spans="4:23" ht="15">
      <c r="D140" s="1" t="s">
        <v>49</v>
      </c>
      <c r="J140" s="2" t="s">
        <v>139</v>
      </c>
      <c r="M140" s="3">
        <v>0</v>
      </c>
      <c r="N140" s="3">
        <v>0</v>
      </c>
      <c r="O140" s="20">
        <f>M140+N140</f>
        <v>0</v>
      </c>
      <c r="P140" s="3">
        <v>0</v>
      </c>
      <c r="Q140" s="20">
        <v>0</v>
      </c>
      <c r="R140" s="626">
        <v>0</v>
      </c>
      <c r="S140" s="21">
        <f t="shared" si="8"/>
        <v>0</v>
      </c>
      <c r="T140" s="20">
        <v>0</v>
      </c>
      <c r="U140" s="657">
        <v>0</v>
      </c>
      <c r="V140" s="102">
        <v>0</v>
      </c>
      <c r="W140" s="433">
        <f t="shared" si="7"/>
        <v>0</v>
      </c>
    </row>
    <row r="141" spans="4:23" ht="15">
      <c r="D141" s="1" t="s">
        <v>54</v>
      </c>
      <c r="J141" s="2" t="s">
        <v>140</v>
      </c>
      <c r="M141" s="3">
        <v>0</v>
      </c>
      <c r="N141" s="3">
        <v>16055</v>
      </c>
      <c r="O141" s="20">
        <f>M141+N141</f>
        <v>16055</v>
      </c>
      <c r="P141" s="3">
        <v>0</v>
      </c>
      <c r="Q141" s="20">
        <f>SUM(P141/O141)*100</f>
        <v>0</v>
      </c>
      <c r="R141" s="626">
        <v>39668</v>
      </c>
      <c r="S141" s="21">
        <f t="shared" si="8"/>
        <v>55723</v>
      </c>
      <c r="T141" s="20">
        <v>0</v>
      </c>
      <c r="U141" s="657">
        <f>SUM(T141/S141)*100</f>
        <v>0</v>
      </c>
      <c r="V141" s="102">
        <v>98001</v>
      </c>
      <c r="W141" s="433">
        <f t="shared" si="7"/>
        <v>153724</v>
      </c>
    </row>
    <row r="142" spans="4:23" ht="15">
      <c r="D142" s="1" t="s">
        <v>101</v>
      </c>
      <c r="J142" s="2" t="s">
        <v>141</v>
      </c>
      <c r="M142" s="3">
        <v>0</v>
      </c>
      <c r="N142" s="128">
        <v>0</v>
      </c>
      <c r="O142" s="128">
        <f>M142+N142</f>
        <v>0</v>
      </c>
      <c r="P142" s="128">
        <v>0</v>
      </c>
      <c r="Q142" s="128">
        <v>0</v>
      </c>
      <c r="R142" s="626">
        <v>0</v>
      </c>
      <c r="S142" s="21">
        <f t="shared" si="8"/>
        <v>0</v>
      </c>
      <c r="T142" s="3">
        <v>0</v>
      </c>
      <c r="U142" s="658">
        <v>0</v>
      </c>
      <c r="V142" s="102">
        <v>0</v>
      </c>
      <c r="W142" s="433">
        <f aca="true" t="shared" si="9" ref="W142:W162">S142+V142</f>
        <v>0</v>
      </c>
    </row>
    <row r="143" spans="1:23" ht="15.75">
      <c r="A143" s="13"/>
      <c r="B143" s="13"/>
      <c r="C143" s="13" t="s">
        <v>137</v>
      </c>
      <c r="D143" s="13"/>
      <c r="E143" s="13"/>
      <c r="F143" s="14"/>
      <c r="G143" s="14"/>
      <c r="H143" s="14"/>
      <c r="I143" s="14" t="s">
        <v>142</v>
      </c>
      <c r="J143" s="14"/>
      <c r="K143" s="14"/>
      <c r="L143" s="14"/>
      <c r="M143" s="15">
        <f>SUM(M140:M142)</f>
        <v>0</v>
      </c>
      <c r="N143" s="323">
        <f>SUM(N140:N142)</f>
        <v>16055</v>
      </c>
      <c r="O143" s="323">
        <f>M143+N143</f>
        <v>16055</v>
      </c>
      <c r="P143" s="323">
        <f>SUM(P140:P142)</f>
        <v>0</v>
      </c>
      <c r="Q143" s="510">
        <f>SUM(P143/O143)*100</f>
        <v>0</v>
      </c>
      <c r="R143" s="522">
        <f>SUM(R140:R142)</f>
        <v>39668</v>
      </c>
      <c r="S143" s="522">
        <f t="shared" si="8"/>
        <v>55723</v>
      </c>
      <c r="T143" s="323">
        <f>SUM(T140:T142)</f>
        <v>0</v>
      </c>
      <c r="U143" s="664">
        <f>SUM(T143/S143)*100</f>
        <v>0</v>
      </c>
      <c r="V143" s="323">
        <f>SUM(V140:V142)</f>
        <v>98001</v>
      </c>
      <c r="W143" s="323">
        <f t="shared" si="9"/>
        <v>153724</v>
      </c>
    </row>
    <row r="144" spans="3:23" ht="15">
      <c r="C144" s="1" t="s">
        <v>143</v>
      </c>
      <c r="I144" s="2" t="s">
        <v>144</v>
      </c>
      <c r="O144" s="20"/>
      <c r="Q144" s="20"/>
      <c r="S144" s="21"/>
      <c r="U144" s="657"/>
      <c r="W144" s="433"/>
    </row>
    <row r="145" spans="4:23" ht="15">
      <c r="D145" s="1" t="s">
        <v>49</v>
      </c>
      <c r="J145" s="2" t="s">
        <v>145</v>
      </c>
      <c r="M145" s="3">
        <v>144430</v>
      </c>
      <c r="N145" s="128">
        <v>28116</v>
      </c>
      <c r="O145" s="128">
        <f>M145+N145</f>
        <v>172546</v>
      </c>
      <c r="P145" s="128">
        <v>0</v>
      </c>
      <c r="Q145" s="128">
        <f>SUM(P145/O145)*100</f>
        <v>0</v>
      </c>
      <c r="R145" s="626">
        <v>1687841</v>
      </c>
      <c r="S145" s="21">
        <f t="shared" si="8"/>
        <v>1860387</v>
      </c>
      <c r="T145" s="3">
        <v>393833</v>
      </c>
      <c r="U145" s="658">
        <f>SUM(T145/S145)*100</f>
        <v>21.169412600711574</v>
      </c>
      <c r="V145" s="102">
        <v>0</v>
      </c>
      <c r="W145" s="433">
        <f t="shared" si="9"/>
        <v>1860387</v>
      </c>
    </row>
    <row r="146" spans="1:23" ht="15.75">
      <c r="A146" s="28"/>
      <c r="B146" s="28"/>
      <c r="C146" s="13" t="s">
        <v>143</v>
      </c>
      <c r="D146" s="13"/>
      <c r="E146" s="13"/>
      <c r="F146" s="14"/>
      <c r="G146" s="14"/>
      <c r="H146" s="14"/>
      <c r="I146" s="14" t="s">
        <v>147</v>
      </c>
      <c r="J146" s="14"/>
      <c r="K146" s="14"/>
      <c r="L146" s="14"/>
      <c r="M146" s="15">
        <f>SUM(M145)</f>
        <v>144430</v>
      </c>
      <c r="N146" s="323">
        <f>SUM(N145)</f>
        <v>28116</v>
      </c>
      <c r="O146" s="323">
        <f>M146+N146</f>
        <v>172546</v>
      </c>
      <c r="P146" s="323">
        <f>SUM(P145)</f>
        <v>0</v>
      </c>
      <c r="Q146" s="510">
        <f>SUM(P146/O146)*100</f>
        <v>0</v>
      </c>
      <c r="R146" s="522">
        <f>SUM(R145)</f>
        <v>1687841</v>
      </c>
      <c r="S146" s="522">
        <f t="shared" si="8"/>
        <v>1860387</v>
      </c>
      <c r="T146" s="323">
        <f>SUM(T145)</f>
        <v>393833</v>
      </c>
      <c r="U146" s="664">
        <f>SUM(T146/S146)*100</f>
        <v>21.169412600711574</v>
      </c>
      <c r="V146" s="323">
        <f>SUM(V145)</f>
        <v>0</v>
      </c>
      <c r="W146" s="323">
        <f t="shared" si="9"/>
        <v>1860387</v>
      </c>
    </row>
    <row r="147" spans="1:23" ht="15.75">
      <c r="A147" s="16" t="s">
        <v>49</v>
      </c>
      <c r="B147" s="4"/>
      <c r="C147" s="37"/>
      <c r="D147" s="37"/>
      <c r="E147" s="37"/>
      <c r="F147" s="38"/>
      <c r="H147" s="38" t="s">
        <v>119</v>
      </c>
      <c r="I147" s="38"/>
      <c r="J147" s="38"/>
      <c r="K147" s="38"/>
      <c r="L147" s="38"/>
      <c r="M147" s="129">
        <f>SUM(M143+M146)</f>
        <v>144430</v>
      </c>
      <c r="N147" s="323">
        <f>N143+N146</f>
        <v>44171</v>
      </c>
      <c r="O147" s="323">
        <f>M147+N147</f>
        <v>188601</v>
      </c>
      <c r="P147" s="323">
        <f>P143+P146</f>
        <v>0</v>
      </c>
      <c r="Q147" s="510">
        <f>SUM(P147/O147)*100</f>
        <v>0</v>
      </c>
      <c r="R147" s="522">
        <f>R143+R146</f>
        <v>1727509</v>
      </c>
      <c r="S147" s="522">
        <f t="shared" si="8"/>
        <v>1916110</v>
      </c>
      <c r="T147" s="323">
        <f>T143+T146</f>
        <v>393833</v>
      </c>
      <c r="U147" s="664">
        <f>SUM(T147/S147)*100</f>
        <v>20.55377822776354</v>
      </c>
      <c r="V147" s="323">
        <f>V143+V146</f>
        <v>98001</v>
      </c>
      <c r="W147" s="323">
        <f t="shared" si="9"/>
        <v>2014111</v>
      </c>
    </row>
    <row r="148" spans="1:23" ht="15">
      <c r="A148" s="8" t="s">
        <v>54</v>
      </c>
      <c r="B148" s="8"/>
      <c r="C148" s="8"/>
      <c r="D148" s="8"/>
      <c r="E148" s="8"/>
      <c r="F148" s="9"/>
      <c r="G148" s="9" t="s">
        <v>146</v>
      </c>
      <c r="H148" s="9"/>
      <c r="I148" s="9"/>
      <c r="J148" s="9"/>
      <c r="K148" s="9"/>
      <c r="L148" s="9"/>
      <c r="O148" s="20"/>
      <c r="Q148" s="20"/>
      <c r="S148" s="21"/>
      <c r="U148" s="657"/>
      <c r="W148" s="433"/>
    </row>
    <row r="149" spans="3:23" ht="15">
      <c r="C149" s="1" t="s">
        <v>143</v>
      </c>
      <c r="I149" s="2" t="s">
        <v>144</v>
      </c>
      <c r="O149" s="20"/>
      <c r="Q149" s="20"/>
      <c r="S149" s="21"/>
      <c r="U149" s="657"/>
      <c r="W149" s="433"/>
    </row>
    <row r="150" spans="4:23" ht="15">
      <c r="D150" s="1" t="s">
        <v>49</v>
      </c>
      <c r="J150" s="2" t="s">
        <v>145</v>
      </c>
      <c r="M150" s="3">
        <v>0</v>
      </c>
      <c r="N150" s="128">
        <v>0</v>
      </c>
      <c r="O150" s="128">
        <f>M150+N150</f>
        <v>0</v>
      </c>
      <c r="P150" s="128">
        <v>0</v>
      </c>
      <c r="Q150" s="128">
        <v>0</v>
      </c>
      <c r="R150" s="626">
        <v>34246</v>
      </c>
      <c r="S150" s="21">
        <f aca="true" t="shared" si="10" ref="S150:S162">O150+R150</f>
        <v>34246</v>
      </c>
      <c r="T150" s="3">
        <v>33768</v>
      </c>
      <c r="U150" s="658">
        <f aca="true" t="shared" si="11" ref="U150:U162">SUM(T150/S150)*100</f>
        <v>98.60421655083805</v>
      </c>
      <c r="V150" s="102">
        <v>0</v>
      </c>
      <c r="W150" s="433">
        <f t="shared" si="9"/>
        <v>34246</v>
      </c>
    </row>
    <row r="151" spans="1:23" s="16" customFormat="1" ht="15.75">
      <c r="A151" s="13" t="s">
        <v>54</v>
      </c>
      <c r="B151" s="13"/>
      <c r="C151" s="13"/>
      <c r="D151" s="13"/>
      <c r="E151" s="13"/>
      <c r="F151" s="14"/>
      <c r="G151" s="14"/>
      <c r="H151" s="14" t="s">
        <v>125</v>
      </c>
      <c r="I151" s="14"/>
      <c r="J151" s="14"/>
      <c r="K151" s="14"/>
      <c r="L151" s="14"/>
      <c r="M151" s="15">
        <f>SUM(M150)</f>
        <v>0</v>
      </c>
      <c r="N151" s="323">
        <v>0</v>
      </c>
      <c r="O151" s="323">
        <f>M151+N151</f>
        <v>0</v>
      </c>
      <c r="P151" s="320">
        <f>SUM(P150)</f>
        <v>0</v>
      </c>
      <c r="Q151" s="510">
        <v>0</v>
      </c>
      <c r="R151" s="522">
        <f>SUM(R150)</f>
        <v>34246</v>
      </c>
      <c r="S151" s="522">
        <f t="shared" si="10"/>
        <v>34246</v>
      </c>
      <c r="T151" s="320">
        <f>SUM(T150)</f>
        <v>33768</v>
      </c>
      <c r="U151" s="664">
        <f t="shared" si="11"/>
        <v>98.60421655083805</v>
      </c>
      <c r="V151" s="322">
        <f>SUM(V150)</f>
        <v>0</v>
      </c>
      <c r="W151" s="322">
        <f t="shared" si="9"/>
        <v>34246</v>
      </c>
    </row>
    <row r="152" spans="1:23" ht="15">
      <c r="A152" s="1" t="s">
        <v>101</v>
      </c>
      <c r="G152" s="2" t="s">
        <v>407</v>
      </c>
      <c r="O152" s="20"/>
      <c r="Q152" s="20"/>
      <c r="S152" s="21"/>
      <c r="U152" s="657"/>
      <c r="W152" s="433"/>
    </row>
    <row r="153" spans="3:23" ht="15">
      <c r="C153" s="1" t="s">
        <v>143</v>
      </c>
      <c r="I153" s="2" t="s">
        <v>144</v>
      </c>
      <c r="O153" s="20"/>
      <c r="Q153" s="20"/>
      <c r="S153" s="21"/>
      <c r="U153" s="657"/>
      <c r="W153" s="433"/>
    </row>
    <row r="154" spans="4:23" ht="15">
      <c r="D154" s="1" t="s">
        <v>49</v>
      </c>
      <c r="J154" s="2" t="s">
        <v>145</v>
      </c>
      <c r="M154" s="3">
        <v>0</v>
      </c>
      <c r="N154" s="128">
        <v>0</v>
      </c>
      <c r="O154" s="128">
        <f>M154+N154</f>
        <v>0</v>
      </c>
      <c r="P154" s="128">
        <v>0</v>
      </c>
      <c r="Q154" s="128">
        <v>0</v>
      </c>
      <c r="R154" s="626">
        <v>9723</v>
      </c>
      <c r="S154" s="21">
        <f t="shared" si="10"/>
        <v>9723</v>
      </c>
      <c r="T154" s="3">
        <v>9723</v>
      </c>
      <c r="U154" s="658">
        <f t="shared" si="11"/>
        <v>100</v>
      </c>
      <c r="V154" s="102">
        <v>0</v>
      </c>
      <c r="W154" s="433">
        <f t="shared" si="9"/>
        <v>9723</v>
      </c>
    </row>
    <row r="155" spans="1:23" s="16" customFormat="1" ht="15.75">
      <c r="A155" s="13" t="s">
        <v>101</v>
      </c>
      <c r="B155" s="13"/>
      <c r="C155" s="13"/>
      <c r="D155" s="13"/>
      <c r="E155" s="13"/>
      <c r="F155" s="14"/>
      <c r="G155" s="14"/>
      <c r="H155" s="238" t="s">
        <v>424</v>
      </c>
      <c r="I155" s="14"/>
      <c r="J155" s="14"/>
      <c r="K155" s="14"/>
      <c r="L155" s="14"/>
      <c r="M155" s="15">
        <f>SUM(M154)</f>
        <v>0</v>
      </c>
      <c r="N155" s="323">
        <v>0</v>
      </c>
      <c r="O155" s="323">
        <f>M155+N155</f>
        <v>0</v>
      </c>
      <c r="P155" s="320">
        <f>SUM(P154)</f>
        <v>0</v>
      </c>
      <c r="Q155" s="510">
        <v>0</v>
      </c>
      <c r="R155" s="522">
        <f>SUM(R154)</f>
        <v>9723</v>
      </c>
      <c r="S155" s="522">
        <f t="shared" si="10"/>
        <v>9723</v>
      </c>
      <c r="T155" s="320">
        <f>SUM(T154)</f>
        <v>9723</v>
      </c>
      <c r="U155" s="664">
        <f t="shared" si="11"/>
        <v>100</v>
      </c>
      <c r="V155" s="323">
        <f>SUM(V154)</f>
        <v>0</v>
      </c>
      <c r="W155" s="323">
        <f t="shared" si="9"/>
        <v>9723</v>
      </c>
    </row>
    <row r="156" spans="1:23" s="16" customFormat="1" ht="15.75">
      <c r="A156" s="1" t="s">
        <v>126</v>
      </c>
      <c r="B156" s="1"/>
      <c r="C156" s="1"/>
      <c r="D156" s="1"/>
      <c r="E156" s="1"/>
      <c r="F156" s="2"/>
      <c r="G156" s="2" t="s">
        <v>408</v>
      </c>
      <c r="I156" s="2"/>
      <c r="J156" s="2"/>
      <c r="K156" s="2"/>
      <c r="L156" s="2"/>
      <c r="M156" s="23"/>
      <c r="N156" s="23"/>
      <c r="O156" s="20"/>
      <c r="P156" s="23"/>
      <c r="Q156" s="20"/>
      <c r="R156" s="629"/>
      <c r="S156" s="21"/>
      <c r="T156" s="23"/>
      <c r="U156" s="657"/>
      <c r="V156" s="102"/>
      <c r="W156" s="433"/>
    </row>
    <row r="157" spans="1:23" s="16" customFormat="1" ht="15.75">
      <c r="A157" s="1"/>
      <c r="B157" s="1"/>
      <c r="C157" s="1" t="s">
        <v>143</v>
      </c>
      <c r="D157" s="1"/>
      <c r="E157" s="1"/>
      <c r="F157" s="2"/>
      <c r="G157" s="2"/>
      <c r="H157" s="2"/>
      <c r="I157" s="2" t="s">
        <v>144</v>
      </c>
      <c r="J157" s="2"/>
      <c r="K157" s="2"/>
      <c r="L157" s="2"/>
      <c r="M157" s="23"/>
      <c r="N157" s="23"/>
      <c r="O157" s="20"/>
      <c r="P157" s="23"/>
      <c r="Q157" s="20"/>
      <c r="R157" s="629"/>
      <c r="S157" s="21"/>
      <c r="T157" s="23"/>
      <c r="U157" s="657"/>
      <c r="V157" s="102"/>
      <c r="W157" s="433"/>
    </row>
    <row r="158" spans="1:23" s="16" customFormat="1" ht="15.75">
      <c r="A158" s="1"/>
      <c r="B158" s="1"/>
      <c r="C158" s="1"/>
      <c r="D158" s="1" t="s">
        <v>49</v>
      </c>
      <c r="E158" s="1"/>
      <c r="F158" s="2"/>
      <c r="G158" s="2"/>
      <c r="H158" s="2"/>
      <c r="I158" s="2"/>
      <c r="J158" s="2" t="s">
        <v>145</v>
      </c>
      <c r="K158" s="2"/>
      <c r="L158" s="2"/>
      <c r="M158" s="102">
        <v>0</v>
      </c>
      <c r="N158" s="103">
        <v>0</v>
      </c>
      <c r="O158" s="128">
        <f>M158+N158</f>
        <v>0</v>
      </c>
      <c r="P158" s="324">
        <v>0</v>
      </c>
      <c r="Q158" s="128">
        <v>0</v>
      </c>
      <c r="R158" s="630">
        <v>1198</v>
      </c>
      <c r="S158" s="21">
        <f t="shared" si="10"/>
        <v>1198</v>
      </c>
      <c r="T158" s="102">
        <v>265</v>
      </c>
      <c r="U158" s="658">
        <f t="shared" si="11"/>
        <v>22.120200333889816</v>
      </c>
      <c r="V158" s="102">
        <v>0</v>
      </c>
      <c r="W158" s="433">
        <f t="shared" si="9"/>
        <v>1198</v>
      </c>
    </row>
    <row r="159" spans="1:23" s="16" customFormat="1" ht="15.75">
      <c r="A159" s="13" t="s">
        <v>126</v>
      </c>
      <c r="B159" s="13"/>
      <c r="C159" s="13"/>
      <c r="D159" s="13"/>
      <c r="E159" s="13"/>
      <c r="F159" s="14"/>
      <c r="G159" s="14"/>
      <c r="H159" s="14" t="s">
        <v>410</v>
      </c>
      <c r="I159" s="14"/>
      <c r="J159" s="14"/>
      <c r="K159" s="14"/>
      <c r="L159" s="14"/>
      <c r="M159" s="15">
        <f>SUM(M158)</f>
        <v>0</v>
      </c>
      <c r="N159" s="320">
        <v>0</v>
      </c>
      <c r="O159" s="323">
        <f>M159+N159</f>
        <v>0</v>
      </c>
      <c r="P159" s="323">
        <f>SUM(P158)</f>
        <v>0</v>
      </c>
      <c r="Q159" s="510">
        <v>0</v>
      </c>
      <c r="R159" s="522">
        <f>SUM(R158)</f>
        <v>1198</v>
      </c>
      <c r="S159" s="522">
        <f t="shared" si="10"/>
        <v>1198</v>
      </c>
      <c r="T159" s="323">
        <f>SUM(T158)</f>
        <v>265</v>
      </c>
      <c r="U159" s="664">
        <f t="shared" si="11"/>
        <v>22.120200333889816</v>
      </c>
      <c r="V159" s="323">
        <f>SUM(V158)</f>
        <v>0</v>
      </c>
      <c r="W159" s="323">
        <f t="shared" si="9"/>
        <v>1198</v>
      </c>
    </row>
    <row r="160" spans="1:23" s="16" customFormat="1" ht="15.75">
      <c r="A160" s="13"/>
      <c r="B160" s="13"/>
      <c r="C160" s="13" t="s">
        <v>143</v>
      </c>
      <c r="D160" s="13"/>
      <c r="E160" s="13"/>
      <c r="F160" s="14"/>
      <c r="G160" s="14"/>
      <c r="H160" s="14"/>
      <c r="I160" s="14" t="s">
        <v>147</v>
      </c>
      <c r="J160" s="14"/>
      <c r="K160" s="14"/>
      <c r="L160" s="14"/>
      <c r="M160" s="15">
        <f>SUM(M146+M151+M155+M159)</f>
        <v>144430</v>
      </c>
      <c r="N160" s="323">
        <f>N146+N151+N155+N159</f>
        <v>28116</v>
      </c>
      <c r="O160" s="323">
        <f>M160+N160</f>
        <v>172546</v>
      </c>
      <c r="P160" s="323">
        <v>0</v>
      </c>
      <c r="Q160" s="510">
        <f>SUM(P160/O160)*100</f>
        <v>0</v>
      </c>
      <c r="R160" s="627">
        <f>R146+R150+R154+R158</f>
        <v>1733008</v>
      </c>
      <c r="S160" s="628">
        <f t="shared" si="10"/>
        <v>1905554</v>
      </c>
      <c r="T160" s="681">
        <f>T146+T151+T155+T159</f>
        <v>437589</v>
      </c>
      <c r="U160" s="664">
        <f t="shared" si="11"/>
        <v>22.963872973424003</v>
      </c>
      <c r="V160" s="681">
        <f>V146+V150+V154+V158</f>
        <v>0</v>
      </c>
      <c r="W160" s="663">
        <f t="shared" si="9"/>
        <v>1905554</v>
      </c>
    </row>
    <row r="161" spans="1:23" ht="15.75">
      <c r="A161" s="13"/>
      <c r="B161" s="36" t="s">
        <v>148</v>
      </c>
      <c r="C161" s="13"/>
      <c r="D161" s="13"/>
      <c r="E161" s="13"/>
      <c r="F161" s="14"/>
      <c r="G161" s="14"/>
      <c r="H161" s="14"/>
      <c r="I161" s="14"/>
      <c r="J161" s="14"/>
      <c r="K161" s="14"/>
      <c r="L161" s="14"/>
      <c r="M161" s="15">
        <f>SUM(M143+M160)</f>
        <v>144430</v>
      </c>
      <c r="N161" s="323">
        <f>N143+N160</f>
        <v>44171</v>
      </c>
      <c r="O161" s="323">
        <f>M161+N161</f>
        <v>188601</v>
      </c>
      <c r="P161" s="323">
        <v>0</v>
      </c>
      <c r="Q161" s="510">
        <f>SUM(P161/O161)*100</f>
        <v>0</v>
      </c>
      <c r="R161" s="522">
        <f>R143+R160</f>
        <v>1772676</v>
      </c>
      <c r="S161" s="522">
        <f>O161+R161</f>
        <v>1961277</v>
      </c>
      <c r="T161" s="323">
        <f>T143+T160</f>
        <v>437589</v>
      </c>
      <c r="U161" s="664">
        <f t="shared" si="11"/>
        <v>22.311432806278766</v>
      </c>
      <c r="V161" s="323">
        <f>V147+V151+V155+V159</f>
        <v>98001</v>
      </c>
      <c r="W161" s="323">
        <f t="shared" si="9"/>
        <v>2059278</v>
      </c>
    </row>
    <row r="162" spans="1:23" ht="15.75">
      <c r="A162" s="13"/>
      <c r="B162" s="36" t="s">
        <v>149</v>
      </c>
      <c r="C162" s="13"/>
      <c r="D162" s="13"/>
      <c r="E162" s="13"/>
      <c r="F162" s="14"/>
      <c r="G162" s="14"/>
      <c r="H162" s="14"/>
      <c r="I162" s="14"/>
      <c r="J162" s="14"/>
      <c r="K162" s="14"/>
      <c r="L162" s="14"/>
      <c r="M162" s="15">
        <f>SUM(M134+M161)</f>
        <v>1402567</v>
      </c>
      <c r="N162" s="323">
        <f>N134+N161</f>
        <v>414513</v>
      </c>
      <c r="O162" s="323">
        <f>M162+N162</f>
        <v>1817080</v>
      </c>
      <c r="P162" s="323">
        <f>P134+P161</f>
        <v>833229</v>
      </c>
      <c r="Q162" s="510">
        <f>SUM(P162/O162)*100</f>
        <v>45.85538336231757</v>
      </c>
      <c r="R162" s="522">
        <f>R134+R161</f>
        <v>4234832</v>
      </c>
      <c r="S162" s="522">
        <f t="shared" si="10"/>
        <v>6051912</v>
      </c>
      <c r="T162" s="323">
        <f>T134+T161</f>
        <v>2179846</v>
      </c>
      <c r="U162" s="688">
        <f t="shared" si="11"/>
        <v>36.01912916116427</v>
      </c>
      <c r="V162" s="323">
        <f>V134+V161</f>
        <v>496669</v>
      </c>
      <c r="W162" s="323">
        <f t="shared" si="9"/>
        <v>6548581</v>
      </c>
    </row>
    <row r="163" ht="15">
      <c r="U163" s="657"/>
    </row>
    <row r="164" spans="12:13" ht="15">
      <c r="L164" s="19"/>
      <c r="M164" s="20"/>
    </row>
  </sheetData>
  <sheetProtection selectLockedCells="1" selectUnlockedCells="1"/>
  <mergeCells count="3">
    <mergeCell ref="L8:W8"/>
    <mergeCell ref="L2:W2"/>
    <mergeCell ref="A5:W5"/>
  </mergeCells>
  <printOptions horizontalCentered="1"/>
  <pageMargins left="0.33" right="0.28" top="0.4" bottom="0.48" header="0.29" footer="0.5118055555555555"/>
  <pageSetup horizontalDpi="300" verticalDpi="300" orientation="portrait" paperSize="8" scale="59" r:id="rId1"/>
  <headerFooter alignWithMargins="0">
    <oddFooter>&amp;C&amp;P. oldal</oddFooter>
  </headerFooter>
  <rowBreaks count="2" manualBreakCount="2">
    <brk id="75" max="22" man="1"/>
    <brk id="134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4"/>
  <dimension ref="A1:U66"/>
  <sheetViews>
    <sheetView view="pageBreakPreview" zoomScale="60" workbookViewId="0" topLeftCell="A1">
      <selection activeCell="I2" sqref="I2"/>
    </sheetView>
  </sheetViews>
  <sheetFormatPr defaultColWidth="9.00390625" defaultRowHeight="12.75"/>
  <cols>
    <col min="1" max="1" width="4.75390625" style="154" customWidth="1"/>
    <col min="2" max="2" width="5.625" style="155" customWidth="1"/>
    <col min="3" max="3" width="18.375" style="156" customWidth="1"/>
    <col min="4" max="4" width="9.125" style="156" customWidth="1"/>
    <col min="5" max="5" width="17.75390625" style="156" customWidth="1"/>
    <col min="6" max="6" width="17.00390625" style="157" customWidth="1"/>
    <col min="7" max="7" width="12.625" style="156" customWidth="1"/>
    <col min="8" max="8" width="13.125" style="157" customWidth="1"/>
    <col min="9" max="9" width="11.875" style="162" customWidth="1"/>
    <col min="10" max="10" width="15.875" style="157" hidden="1" customWidth="1"/>
    <col min="11" max="11" width="9.125" style="157" hidden="1" customWidth="1"/>
    <col min="12" max="12" width="12.25390625" style="157" hidden="1" customWidth="1"/>
    <col min="13" max="13" width="10.125" style="726" hidden="1" customWidth="1"/>
    <col min="14" max="14" width="16.125" style="157" customWidth="1"/>
    <col min="15" max="15" width="9.25390625" style="157" customWidth="1"/>
    <col min="16" max="16" width="13.125" style="157" customWidth="1"/>
    <col min="17" max="17" width="11.125" style="726" customWidth="1"/>
    <col min="18" max="18" width="15.75390625" style="157" customWidth="1"/>
    <col min="19" max="19" width="11.00390625" style="157" customWidth="1"/>
    <col min="20" max="20" width="14.00390625" style="157" customWidth="1"/>
    <col min="21" max="21" width="11.75390625" style="726" customWidth="1"/>
    <col min="22" max="16384" width="9.125" style="156" customWidth="1"/>
  </cols>
  <sheetData>
    <row r="1" spans="2:21" ht="14.25">
      <c r="B1" s="155" t="s">
        <v>87</v>
      </c>
      <c r="I1" s="912" t="s">
        <v>3</v>
      </c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</row>
    <row r="3" spans="1:21" ht="26.25" customHeight="1">
      <c r="A3" s="911" t="s">
        <v>463</v>
      </c>
      <c r="B3" s="911"/>
      <c r="C3" s="911"/>
      <c r="D3" s="911"/>
      <c r="E3" s="911"/>
      <c r="F3" s="911"/>
      <c r="G3" s="911"/>
      <c r="H3" s="911"/>
      <c r="I3" s="911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</row>
    <row r="4" spans="1:21" ht="12.75">
      <c r="A4" s="911" t="s">
        <v>462</v>
      </c>
      <c r="B4" s="911"/>
      <c r="C4" s="911"/>
      <c r="D4" s="911"/>
      <c r="E4" s="911"/>
      <c r="F4" s="911"/>
      <c r="G4" s="911"/>
      <c r="H4" s="911"/>
      <c r="I4" s="911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</row>
    <row r="6" spans="3:21" ht="12.75">
      <c r="C6" s="158"/>
      <c r="G6" s="913" t="s">
        <v>35</v>
      </c>
      <c r="H6" s="913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  <c r="U6" s="875"/>
    </row>
    <row r="7" spans="1:9" ht="12.75">
      <c r="A7" s="908"/>
      <c r="B7" s="908"/>
      <c r="C7" s="908"/>
      <c r="D7" s="908"/>
      <c r="E7" s="908"/>
      <c r="F7" s="721"/>
      <c r="G7" s="722"/>
      <c r="H7" s="723"/>
      <c r="I7" s="724"/>
    </row>
    <row r="8" spans="1:21" s="162" customFormat="1" ht="12.75" customHeight="1">
      <c r="A8" s="259"/>
      <c r="B8" s="166"/>
      <c r="C8" s="166"/>
      <c r="D8" s="166"/>
      <c r="E8" s="272"/>
      <c r="F8" s="905" t="s">
        <v>529</v>
      </c>
      <c r="G8" s="906"/>
      <c r="H8" s="906"/>
      <c r="I8" s="907"/>
      <c r="J8" s="905" t="s">
        <v>650</v>
      </c>
      <c r="K8" s="906"/>
      <c r="L8" s="906"/>
      <c r="M8" s="907"/>
      <c r="N8" s="900" t="s">
        <v>366</v>
      </c>
      <c r="O8" s="901"/>
      <c r="P8" s="901"/>
      <c r="Q8" s="902"/>
      <c r="R8" s="900" t="s">
        <v>675</v>
      </c>
      <c r="S8" s="901"/>
      <c r="T8" s="901"/>
      <c r="U8" s="902"/>
    </row>
    <row r="9" spans="1:21" s="162" customFormat="1" ht="30" customHeight="1">
      <c r="A9" s="263"/>
      <c r="B9" s="160"/>
      <c r="C9" s="161"/>
      <c r="D9" s="175"/>
      <c r="E9" s="264"/>
      <c r="F9" s="904" t="s">
        <v>456</v>
      </c>
      <c r="G9" s="903" t="s">
        <v>455</v>
      </c>
      <c r="H9" s="903"/>
      <c r="I9" s="909" t="s">
        <v>122</v>
      </c>
      <c r="J9" s="897" t="s">
        <v>456</v>
      </c>
      <c r="K9" s="897" t="s">
        <v>455</v>
      </c>
      <c r="L9" s="897"/>
      <c r="M9" s="898" t="s">
        <v>122</v>
      </c>
      <c r="N9" s="897" t="s">
        <v>456</v>
      </c>
      <c r="O9" s="897" t="s">
        <v>455</v>
      </c>
      <c r="P9" s="897"/>
      <c r="Q9" s="898" t="s">
        <v>122</v>
      </c>
      <c r="R9" s="897" t="s">
        <v>456</v>
      </c>
      <c r="S9" s="897" t="s">
        <v>455</v>
      </c>
      <c r="T9" s="897"/>
      <c r="U9" s="898" t="s">
        <v>122</v>
      </c>
    </row>
    <row r="10" spans="1:21" s="162" customFormat="1" ht="20.25" customHeight="1">
      <c r="A10" s="265"/>
      <c r="B10" s="276"/>
      <c r="C10" s="266"/>
      <c r="D10" s="169"/>
      <c r="E10" s="267"/>
      <c r="F10" s="897"/>
      <c r="G10" s="247" t="s">
        <v>454</v>
      </c>
      <c r="H10" s="309" t="s">
        <v>453</v>
      </c>
      <c r="I10" s="910"/>
      <c r="J10" s="897"/>
      <c r="K10" s="725" t="s">
        <v>454</v>
      </c>
      <c r="L10" s="309" t="s">
        <v>453</v>
      </c>
      <c r="M10" s="899"/>
      <c r="N10" s="897"/>
      <c r="O10" s="725" t="s">
        <v>454</v>
      </c>
      <c r="P10" s="309" t="s">
        <v>453</v>
      </c>
      <c r="Q10" s="899"/>
      <c r="R10" s="897"/>
      <c r="S10" s="725" t="s">
        <v>454</v>
      </c>
      <c r="T10" s="309" t="s">
        <v>453</v>
      </c>
      <c r="U10" s="899"/>
    </row>
    <row r="11" spans="1:21" s="162" customFormat="1" ht="20.25" customHeight="1">
      <c r="A11" s="263"/>
      <c r="B11" s="268" t="s">
        <v>349</v>
      </c>
      <c r="C11" s="161"/>
      <c r="D11" s="175"/>
      <c r="E11" s="264"/>
      <c r="F11" s="248"/>
      <c r="G11" s="255"/>
      <c r="H11" s="310"/>
      <c r="I11" s="260"/>
      <c r="J11" s="726"/>
      <c r="K11" s="315"/>
      <c r="L11" s="726"/>
      <c r="M11" s="315"/>
      <c r="N11" s="315"/>
      <c r="O11" s="315"/>
      <c r="P11" s="315"/>
      <c r="Q11" s="315"/>
      <c r="R11" s="315"/>
      <c r="S11" s="315"/>
      <c r="T11" s="315"/>
      <c r="U11" s="315"/>
    </row>
    <row r="12" spans="1:21" s="162" customFormat="1" ht="26.25" customHeight="1">
      <c r="A12" s="263" t="s">
        <v>350</v>
      </c>
      <c r="B12" s="160" t="s">
        <v>351</v>
      </c>
      <c r="C12" s="161"/>
      <c r="D12" s="175"/>
      <c r="E12" s="264"/>
      <c r="F12" s="249"/>
      <c r="G12" s="256"/>
      <c r="H12" s="311"/>
      <c r="I12" s="261"/>
      <c r="J12" s="726"/>
      <c r="K12" s="262"/>
      <c r="L12" s="726"/>
      <c r="M12" s="262"/>
      <c r="N12" s="262"/>
      <c r="O12" s="262"/>
      <c r="P12" s="262"/>
      <c r="Q12" s="262"/>
      <c r="R12" s="262"/>
      <c r="S12" s="262"/>
      <c r="T12" s="262"/>
      <c r="U12" s="262"/>
    </row>
    <row r="13" spans="1:21" ht="12.75" customHeight="1">
      <c r="A13" s="269"/>
      <c r="B13" s="173" t="s">
        <v>179</v>
      </c>
      <c r="C13" s="163" t="s">
        <v>121</v>
      </c>
      <c r="D13" s="180"/>
      <c r="E13" s="270"/>
      <c r="F13" s="250">
        <v>1000</v>
      </c>
      <c r="G13" s="250">
        <f>51322+36388</f>
        <v>87710</v>
      </c>
      <c r="H13" s="250">
        <f>104000+37507</f>
        <v>141507</v>
      </c>
      <c r="I13" s="253">
        <f>SUM(F13:H13)</f>
        <v>230217</v>
      </c>
      <c r="J13" s="313">
        <v>0</v>
      </c>
      <c r="K13" s="172">
        <v>61502</v>
      </c>
      <c r="L13" s="313">
        <v>156088</v>
      </c>
      <c r="M13" s="262">
        <f>SUM(J13:L13)</f>
        <v>217590</v>
      </c>
      <c r="N13" s="313">
        <v>0</v>
      </c>
      <c r="O13" s="313">
        <v>56464</v>
      </c>
      <c r="P13" s="313">
        <v>118103</v>
      </c>
      <c r="Q13" s="262">
        <f>N13+O13+P13</f>
        <v>174567</v>
      </c>
      <c r="R13" s="313">
        <f>F13+N13</f>
        <v>1000</v>
      </c>
      <c r="S13" s="313">
        <f>G13+O13</f>
        <v>144174</v>
      </c>
      <c r="T13" s="313">
        <f>H13+P13</f>
        <v>259610</v>
      </c>
      <c r="U13" s="262">
        <f>I13+Q13</f>
        <v>404784</v>
      </c>
    </row>
    <row r="14" spans="1:21" ht="12.75">
      <c r="A14" s="269"/>
      <c r="B14" s="173" t="s">
        <v>176</v>
      </c>
      <c r="C14" s="163" t="s">
        <v>352</v>
      </c>
      <c r="D14" s="180"/>
      <c r="E14" s="270"/>
      <c r="F14" s="250">
        <v>0</v>
      </c>
      <c r="G14" s="250">
        <v>81000</v>
      </c>
      <c r="H14" s="250">
        <v>604000</v>
      </c>
      <c r="I14" s="253">
        <f aca="true" t="shared" si="0" ref="I14:I26">SUM(F14:H14)</f>
        <v>685000</v>
      </c>
      <c r="J14" s="313">
        <v>0</v>
      </c>
      <c r="K14" s="172">
        <v>39422</v>
      </c>
      <c r="L14" s="313">
        <v>350677</v>
      </c>
      <c r="M14" s="262">
        <f>SUM(J14:L14)</f>
        <v>390099</v>
      </c>
      <c r="N14" s="765">
        <v>0</v>
      </c>
      <c r="O14" s="765">
        <v>0</v>
      </c>
      <c r="P14" s="765">
        <v>190</v>
      </c>
      <c r="Q14" s="314">
        <f aca="true" t="shared" si="1" ref="Q14:Q65">N14+O14+P14</f>
        <v>190</v>
      </c>
      <c r="R14" s="313">
        <f aca="true" t="shared" si="2" ref="R14:R65">F14+N14</f>
        <v>0</v>
      </c>
      <c r="S14" s="313">
        <f aca="true" t="shared" si="3" ref="S14:S65">G14+O14</f>
        <v>81000</v>
      </c>
      <c r="T14" s="313">
        <f aca="true" t="shared" si="4" ref="T14:T65">H14+P14</f>
        <v>604190</v>
      </c>
      <c r="U14" s="262">
        <f aca="true" t="shared" si="5" ref="U14:U65">I14+Q14</f>
        <v>685190</v>
      </c>
    </row>
    <row r="15" spans="1:21" s="162" customFormat="1" ht="12.75">
      <c r="A15" s="271" t="s">
        <v>51</v>
      </c>
      <c r="B15" s="164" t="s">
        <v>430</v>
      </c>
      <c r="C15" s="165"/>
      <c r="D15" s="166"/>
      <c r="E15" s="272"/>
      <c r="F15" s="251">
        <f aca="true" t="shared" si="6" ref="F15:L15">SUM(F13:F14)</f>
        <v>1000</v>
      </c>
      <c r="G15" s="251">
        <f t="shared" si="6"/>
        <v>168710</v>
      </c>
      <c r="H15" s="251">
        <f t="shared" si="6"/>
        <v>745507</v>
      </c>
      <c r="I15" s="251">
        <f t="shared" si="6"/>
        <v>915217</v>
      </c>
      <c r="J15" s="195">
        <f t="shared" si="6"/>
        <v>0</v>
      </c>
      <c r="K15" s="195">
        <f t="shared" si="6"/>
        <v>100924</v>
      </c>
      <c r="L15" s="195">
        <f t="shared" si="6"/>
        <v>506765</v>
      </c>
      <c r="M15" s="195">
        <f>SUM(J15:L15)</f>
        <v>607689</v>
      </c>
      <c r="N15" s="262">
        <v>0</v>
      </c>
      <c r="O15" s="262">
        <f>SUM(O13:O14)</f>
        <v>56464</v>
      </c>
      <c r="P15" s="262">
        <f>SUM(P13:P14)</f>
        <v>118293</v>
      </c>
      <c r="Q15" s="262">
        <f t="shared" si="1"/>
        <v>174757</v>
      </c>
      <c r="R15" s="764">
        <f t="shared" si="2"/>
        <v>1000</v>
      </c>
      <c r="S15" s="764">
        <f t="shared" si="3"/>
        <v>225174</v>
      </c>
      <c r="T15" s="764">
        <f t="shared" si="4"/>
        <v>863800</v>
      </c>
      <c r="U15" s="195">
        <f t="shared" si="5"/>
        <v>1089974</v>
      </c>
    </row>
    <row r="16" spans="1:21" s="162" customFormat="1" ht="12.75">
      <c r="A16" s="271" t="s">
        <v>81</v>
      </c>
      <c r="B16" s="164" t="s">
        <v>82</v>
      </c>
      <c r="C16" s="165"/>
      <c r="D16" s="166"/>
      <c r="E16" s="272"/>
      <c r="F16" s="251">
        <f>18602+215</f>
        <v>18817</v>
      </c>
      <c r="G16" s="251">
        <f>401992+4156+43559</f>
        <v>449707</v>
      </c>
      <c r="H16" s="251">
        <f>SUM('[1]címrendes bevétel'!V113)</f>
        <v>0</v>
      </c>
      <c r="I16" s="251">
        <f t="shared" si="0"/>
        <v>468524</v>
      </c>
      <c r="J16" s="195">
        <v>0</v>
      </c>
      <c r="K16" s="195">
        <v>291150</v>
      </c>
      <c r="L16" s="195">
        <v>81962</v>
      </c>
      <c r="M16" s="195">
        <f>SUM(J16:L16)</f>
        <v>373112</v>
      </c>
      <c r="N16" s="195">
        <v>107</v>
      </c>
      <c r="O16" s="195">
        <v>142939</v>
      </c>
      <c r="P16" s="195">
        <v>4930</v>
      </c>
      <c r="Q16" s="195">
        <f t="shared" si="1"/>
        <v>147976</v>
      </c>
      <c r="R16" s="313">
        <f t="shared" si="2"/>
        <v>18924</v>
      </c>
      <c r="S16" s="313">
        <f t="shared" si="3"/>
        <v>592646</v>
      </c>
      <c r="T16" s="313">
        <f t="shared" si="4"/>
        <v>4930</v>
      </c>
      <c r="U16" s="262">
        <f t="shared" si="5"/>
        <v>616500</v>
      </c>
    </row>
    <row r="17" spans="1:21" s="162" customFormat="1" ht="12.75">
      <c r="A17" s="265" t="s">
        <v>353</v>
      </c>
      <c r="B17" s="167" t="s">
        <v>98</v>
      </c>
      <c r="C17" s="168"/>
      <c r="D17" s="169"/>
      <c r="E17" s="267"/>
      <c r="F17" s="252">
        <v>0</v>
      </c>
      <c r="G17" s="251">
        <f>70530-30969</f>
        <v>39561</v>
      </c>
      <c r="H17" s="251">
        <v>17000</v>
      </c>
      <c r="I17" s="251">
        <f t="shared" si="0"/>
        <v>56561</v>
      </c>
      <c r="J17" s="195">
        <v>0</v>
      </c>
      <c r="K17" s="195">
        <v>1800</v>
      </c>
      <c r="L17" s="195">
        <v>0</v>
      </c>
      <c r="M17" s="195">
        <f>SUM(J17:L17)</f>
        <v>1800</v>
      </c>
      <c r="N17" s="195">
        <v>0</v>
      </c>
      <c r="O17" s="195">
        <v>0</v>
      </c>
      <c r="P17" s="195">
        <v>235</v>
      </c>
      <c r="Q17" s="195">
        <f t="shared" si="1"/>
        <v>235</v>
      </c>
      <c r="R17" s="764">
        <f t="shared" si="2"/>
        <v>0</v>
      </c>
      <c r="S17" s="764">
        <f t="shared" si="3"/>
        <v>39561</v>
      </c>
      <c r="T17" s="764">
        <f t="shared" si="4"/>
        <v>17235</v>
      </c>
      <c r="U17" s="195">
        <f t="shared" si="5"/>
        <v>56796</v>
      </c>
    </row>
    <row r="18" spans="1:21" s="162" customFormat="1" ht="12.75">
      <c r="A18" s="263" t="s">
        <v>104</v>
      </c>
      <c r="B18" s="170" t="s">
        <v>130</v>
      </c>
      <c r="C18" s="171"/>
      <c r="D18" s="175"/>
      <c r="E18" s="264"/>
      <c r="F18" s="253"/>
      <c r="G18" s="257"/>
      <c r="H18" s="253"/>
      <c r="I18" s="253"/>
      <c r="J18" s="262"/>
      <c r="K18" s="727"/>
      <c r="L18" s="262"/>
      <c r="M18" s="262"/>
      <c r="N18" s="262"/>
      <c r="O18" s="262"/>
      <c r="P18" s="262"/>
      <c r="Q18" s="262"/>
      <c r="R18" s="313"/>
      <c r="S18" s="313"/>
      <c r="T18" s="313"/>
      <c r="U18" s="262"/>
    </row>
    <row r="19" spans="1:21" ht="12.75">
      <c r="A19" s="269"/>
      <c r="B19" s="173" t="s">
        <v>49</v>
      </c>
      <c r="C19" s="151" t="s">
        <v>106</v>
      </c>
      <c r="D19" s="180"/>
      <c r="E19" s="270"/>
      <c r="F19" s="250">
        <v>0</v>
      </c>
      <c r="G19" s="250">
        <f>11024+395329</f>
        <v>406353</v>
      </c>
      <c r="H19" s="250">
        <v>7260</v>
      </c>
      <c r="I19" s="253">
        <f t="shared" si="0"/>
        <v>413613</v>
      </c>
      <c r="J19" s="313">
        <v>0</v>
      </c>
      <c r="K19" s="172">
        <v>249631</v>
      </c>
      <c r="L19" s="313">
        <v>2931</v>
      </c>
      <c r="M19" s="262">
        <f>SUM(J19:L19)</f>
        <v>252562</v>
      </c>
      <c r="N19" s="313">
        <v>0</v>
      </c>
      <c r="O19" s="313">
        <v>12026</v>
      </c>
      <c r="P19" s="313">
        <v>20473</v>
      </c>
      <c r="Q19" s="262">
        <f t="shared" si="1"/>
        <v>32499</v>
      </c>
      <c r="R19" s="313">
        <f t="shared" si="2"/>
        <v>0</v>
      </c>
      <c r="S19" s="313">
        <f t="shared" si="3"/>
        <v>418379</v>
      </c>
      <c r="T19" s="313">
        <f t="shared" si="4"/>
        <v>27733</v>
      </c>
      <c r="U19" s="262">
        <f t="shared" si="5"/>
        <v>446112</v>
      </c>
    </row>
    <row r="20" spans="1:21" ht="12.75">
      <c r="A20" s="269"/>
      <c r="B20" s="173" t="s">
        <v>54</v>
      </c>
      <c r="C20" s="152" t="s">
        <v>107</v>
      </c>
      <c r="D20" s="180"/>
      <c r="E20" s="270"/>
      <c r="F20" s="250">
        <v>0</v>
      </c>
      <c r="G20" s="250">
        <v>1960162</v>
      </c>
      <c r="H20" s="250">
        <v>264409</v>
      </c>
      <c r="I20" s="253">
        <f t="shared" si="0"/>
        <v>2224571</v>
      </c>
      <c r="J20" s="313">
        <v>0</v>
      </c>
      <c r="K20" s="172">
        <v>492</v>
      </c>
      <c r="L20" s="313">
        <v>491811</v>
      </c>
      <c r="M20" s="262">
        <f>SUM(J20:L20)</f>
        <v>492303</v>
      </c>
      <c r="N20" s="313">
        <v>0</v>
      </c>
      <c r="O20" s="313">
        <v>11451</v>
      </c>
      <c r="P20" s="313">
        <v>29804</v>
      </c>
      <c r="Q20" s="262">
        <f t="shared" si="1"/>
        <v>41255</v>
      </c>
      <c r="R20" s="313">
        <f t="shared" si="2"/>
        <v>0</v>
      </c>
      <c r="S20" s="313">
        <f t="shared" si="3"/>
        <v>1971613</v>
      </c>
      <c r="T20" s="313">
        <f t="shared" si="4"/>
        <v>294213</v>
      </c>
      <c r="U20" s="262">
        <f t="shared" si="5"/>
        <v>2265826</v>
      </c>
    </row>
    <row r="21" spans="1:21" s="162" customFormat="1" ht="12.75">
      <c r="A21" s="271" t="s">
        <v>104</v>
      </c>
      <c r="B21" s="164" t="s">
        <v>431</v>
      </c>
      <c r="C21" s="165"/>
      <c r="D21" s="166"/>
      <c r="E21" s="272"/>
      <c r="F21" s="251">
        <f>SUM(F19:F20)</f>
        <v>0</v>
      </c>
      <c r="G21" s="251">
        <f>SUM(G19:G20)</f>
        <v>2366515</v>
      </c>
      <c r="H21" s="251">
        <f>SUM(H19:H20)</f>
        <v>271669</v>
      </c>
      <c r="I21" s="251">
        <f t="shared" si="0"/>
        <v>2638184</v>
      </c>
      <c r="J21" s="195">
        <f>SUM(J19:J20)</f>
        <v>0</v>
      </c>
      <c r="K21" s="195">
        <f>SUM(K19:K20)</f>
        <v>250123</v>
      </c>
      <c r="L21" s="195">
        <f>SUM(L19:L20)</f>
        <v>494742</v>
      </c>
      <c r="M21" s="195">
        <f>SUM(J21:L21)</f>
        <v>744865</v>
      </c>
      <c r="N21" s="195">
        <v>0</v>
      </c>
      <c r="O21" s="195">
        <f>SUM(O19:O20)</f>
        <v>23477</v>
      </c>
      <c r="P21" s="195">
        <f>SUM(P19:P20)</f>
        <v>50277</v>
      </c>
      <c r="Q21" s="195">
        <f t="shared" si="1"/>
        <v>73754</v>
      </c>
      <c r="R21" s="764">
        <f t="shared" si="2"/>
        <v>0</v>
      </c>
      <c r="S21" s="764">
        <f t="shared" si="3"/>
        <v>2389992</v>
      </c>
      <c r="T21" s="764">
        <f t="shared" si="4"/>
        <v>321946</v>
      </c>
      <c r="U21" s="195">
        <f t="shared" si="5"/>
        <v>2711938</v>
      </c>
    </row>
    <row r="22" spans="1:21" ht="12.75">
      <c r="A22" s="263" t="s">
        <v>109</v>
      </c>
      <c r="B22" s="170" t="s">
        <v>110</v>
      </c>
      <c r="C22" s="171"/>
      <c r="D22" s="175"/>
      <c r="E22" s="264"/>
      <c r="F22" s="253"/>
      <c r="G22" s="257"/>
      <c r="H22" s="250"/>
      <c r="I22" s="253"/>
      <c r="J22" s="313"/>
      <c r="K22" s="172"/>
      <c r="L22" s="313"/>
      <c r="M22" s="262"/>
      <c r="N22" s="313"/>
      <c r="O22" s="313"/>
      <c r="P22" s="313"/>
      <c r="Q22" s="262"/>
      <c r="R22" s="313"/>
      <c r="S22" s="313"/>
      <c r="T22" s="313"/>
      <c r="U22" s="262"/>
    </row>
    <row r="23" spans="1:21" ht="12.75">
      <c r="A23" s="269"/>
      <c r="B23" s="173" t="s">
        <v>49</v>
      </c>
      <c r="C23" s="163" t="s">
        <v>132</v>
      </c>
      <c r="D23" s="180"/>
      <c r="E23" s="270"/>
      <c r="F23" s="250">
        <v>0</v>
      </c>
      <c r="G23" s="250">
        <f>SUM('címrendes bevétel'!M127)</f>
        <v>0</v>
      </c>
      <c r="H23" s="250">
        <v>8549</v>
      </c>
      <c r="I23" s="253">
        <f t="shared" si="0"/>
        <v>8549</v>
      </c>
      <c r="J23" s="313">
        <v>0</v>
      </c>
      <c r="K23" s="172">
        <v>7468</v>
      </c>
      <c r="L23" s="313">
        <v>322</v>
      </c>
      <c r="M23" s="262">
        <f>SUM(J23:L23)</f>
        <v>7790</v>
      </c>
      <c r="N23" s="313">
        <v>0</v>
      </c>
      <c r="O23" s="313">
        <v>0</v>
      </c>
      <c r="P23" s="313">
        <v>0</v>
      </c>
      <c r="Q23" s="262">
        <f t="shared" si="1"/>
        <v>0</v>
      </c>
      <c r="R23" s="313">
        <f t="shared" si="2"/>
        <v>0</v>
      </c>
      <c r="S23" s="313">
        <f t="shared" si="3"/>
        <v>0</v>
      </c>
      <c r="T23" s="313">
        <f t="shared" si="4"/>
        <v>8549</v>
      </c>
      <c r="U23" s="262">
        <f t="shared" si="5"/>
        <v>8549</v>
      </c>
    </row>
    <row r="24" spans="1:21" ht="12.75">
      <c r="A24" s="263"/>
      <c r="B24" s="173" t="s">
        <v>54</v>
      </c>
      <c r="C24" s="174" t="s">
        <v>112</v>
      </c>
      <c r="D24" s="180"/>
      <c r="E24" s="264"/>
      <c r="F24" s="253">
        <v>0</v>
      </c>
      <c r="G24" s="250">
        <v>500</v>
      </c>
      <c r="H24" s="250">
        <v>0</v>
      </c>
      <c r="I24" s="253">
        <f t="shared" si="0"/>
        <v>500</v>
      </c>
      <c r="J24" s="313">
        <v>0</v>
      </c>
      <c r="K24" s="172">
        <v>3266</v>
      </c>
      <c r="L24" s="313">
        <v>0</v>
      </c>
      <c r="M24" s="262">
        <f>SUM(J24:L24)</f>
        <v>3266</v>
      </c>
      <c r="N24" s="313">
        <v>0</v>
      </c>
      <c r="O24" s="313">
        <v>0</v>
      </c>
      <c r="P24" s="313">
        <v>0</v>
      </c>
      <c r="Q24" s="262">
        <f t="shared" si="1"/>
        <v>0</v>
      </c>
      <c r="R24" s="313">
        <f t="shared" si="2"/>
        <v>0</v>
      </c>
      <c r="S24" s="313">
        <f t="shared" si="3"/>
        <v>500</v>
      </c>
      <c r="T24" s="313">
        <f t="shared" si="4"/>
        <v>0</v>
      </c>
      <c r="U24" s="262">
        <f t="shared" si="5"/>
        <v>500</v>
      </c>
    </row>
    <row r="25" spans="1:21" s="162" customFormat="1" ht="12.75">
      <c r="A25" s="271" t="s">
        <v>109</v>
      </c>
      <c r="B25" s="164" t="s">
        <v>113</v>
      </c>
      <c r="C25" s="165"/>
      <c r="D25" s="166"/>
      <c r="E25" s="272"/>
      <c r="F25" s="251">
        <f>SUM(F23:F24)</f>
        <v>0</v>
      </c>
      <c r="G25" s="251">
        <f>SUM(G23:G24)</f>
        <v>500</v>
      </c>
      <c r="H25" s="251">
        <f>SUM(H23:H24)</f>
        <v>8549</v>
      </c>
      <c r="I25" s="251">
        <f t="shared" si="0"/>
        <v>9049</v>
      </c>
      <c r="J25" s="195">
        <f>SUM(J23:J24)</f>
        <v>0</v>
      </c>
      <c r="K25" s="195">
        <f>SUM(K23:K24)</f>
        <v>10734</v>
      </c>
      <c r="L25" s="195">
        <f>SUM(L23:L24)</f>
        <v>322</v>
      </c>
      <c r="M25" s="195">
        <f>SUM(J25:L25)</f>
        <v>11056</v>
      </c>
      <c r="N25" s="195">
        <f>SUM(N23:N24)</f>
        <v>0</v>
      </c>
      <c r="O25" s="195">
        <f>SUM(O23:O24)</f>
        <v>0</v>
      </c>
      <c r="P25" s="195">
        <f>SUM(P23:P24)</f>
        <v>0</v>
      </c>
      <c r="Q25" s="195">
        <f t="shared" si="1"/>
        <v>0</v>
      </c>
      <c r="R25" s="764">
        <f t="shared" si="2"/>
        <v>0</v>
      </c>
      <c r="S25" s="764">
        <f t="shared" si="3"/>
        <v>500</v>
      </c>
      <c r="T25" s="764">
        <f t="shared" si="4"/>
        <v>8549</v>
      </c>
      <c r="U25" s="195">
        <f t="shared" si="5"/>
        <v>9049</v>
      </c>
    </row>
    <row r="26" spans="1:21" s="162" customFormat="1" ht="12.75">
      <c r="A26" s="271" t="s">
        <v>114</v>
      </c>
      <c r="B26" s="164" t="s">
        <v>438</v>
      </c>
      <c r="C26" s="165"/>
      <c r="D26" s="166"/>
      <c r="E26" s="272"/>
      <c r="F26" s="251">
        <v>0</v>
      </c>
      <c r="G26" s="251">
        <v>3100</v>
      </c>
      <c r="H26" s="251">
        <v>0</v>
      </c>
      <c r="I26" s="253">
        <f t="shared" si="0"/>
        <v>3100</v>
      </c>
      <c r="J26" s="195">
        <v>0</v>
      </c>
      <c r="K26" s="195">
        <v>3735</v>
      </c>
      <c r="L26" s="195">
        <v>0</v>
      </c>
      <c r="M26" s="195">
        <f>SUM(J26:L26)</f>
        <v>3735</v>
      </c>
      <c r="N26" s="262">
        <v>0</v>
      </c>
      <c r="O26" s="262">
        <v>0</v>
      </c>
      <c r="P26" s="262">
        <v>1946</v>
      </c>
      <c r="Q26" s="262">
        <f t="shared" si="1"/>
        <v>1946</v>
      </c>
      <c r="R26" s="313">
        <f t="shared" si="2"/>
        <v>0</v>
      </c>
      <c r="S26" s="313">
        <f t="shared" si="3"/>
        <v>3100</v>
      </c>
      <c r="T26" s="313">
        <f t="shared" si="4"/>
        <v>1946</v>
      </c>
      <c r="U26" s="262">
        <f t="shared" si="5"/>
        <v>5046</v>
      </c>
    </row>
    <row r="27" spans="1:21" s="162" customFormat="1" ht="12.75">
      <c r="A27" s="271" t="s">
        <v>87</v>
      </c>
      <c r="B27" s="164" t="s">
        <v>355</v>
      </c>
      <c r="C27" s="165"/>
      <c r="D27" s="166"/>
      <c r="E27" s="272"/>
      <c r="F27" s="251">
        <f>SUM(F15+F16+F17+F21+F25+F26)</f>
        <v>19817</v>
      </c>
      <c r="G27" s="251">
        <f>SUM(G15+G16+G17+G21+G25+G26)</f>
        <v>3028093</v>
      </c>
      <c r="H27" s="251">
        <f>H15+H16+H17+H21+H25+H26</f>
        <v>1042725</v>
      </c>
      <c r="I27" s="251">
        <f>I15+I16+I17+I21+I25+I26</f>
        <v>4090635</v>
      </c>
      <c r="J27" s="195">
        <v>0</v>
      </c>
      <c r="K27" s="195">
        <f aca="true" t="shared" si="7" ref="K27:P27">K15+K16+K17+K21+K25+K26</f>
        <v>658466</v>
      </c>
      <c r="L27" s="195">
        <f t="shared" si="7"/>
        <v>1083791</v>
      </c>
      <c r="M27" s="195">
        <f t="shared" si="7"/>
        <v>1742257</v>
      </c>
      <c r="N27" s="195">
        <f t="shared" si="7"/>
        <v>107</v>
      </c>
      <c r="O27" s="195">
        <f t="shared" si="7"/>
        <v>222880</v>
      </c>
      <c r="P27" s="195">
        <f t="shared" si="7"/>
        <v>175681</v>
      </c>
      <c r="Q27" s="195">
        <f t="shared" si="1"/>
        <v>398668</v>
      </c>
      <c r="R27" s="195">
        <f t="shared" si="2"/>
        <v>19924</v>
      </c>
      <c r="S27" s="195">
        <f t="shared" si="3"/>
        <v>3250973</v>
      </c>
      <c r="T27" s="195">
        <f t="shared" si="4"/>
        <v>1218406</v>
      </c>
      <c r="U27" s="195">
        <f t="shared" si="5"/>
        <v>4489303</v>
      </c>
    </row>
    <row r="28" spans="1:21" ht="12.75">
      <c r="A28" s="269"/>
      <c r="B28" s="170"/>
      <c r="C28" s="171"/>
      <c r="D28" s="180"/>
      <c r="E28" s="270"/>
      <c r="F28" s="250"/>
      <c r="G28" s="250"/>
      <c r="H28" s="250"/>
      <c r="I28" s="253"/>
      <c r="J28" s="313"/>
      <c r="K28" s="172"/>
      <c r="L28" s="313"/>
      <c r="M28" s="262"/>
      <c r="N28" s="313"/>
      <c r="O28" s="313"/>
      <c r="P28" s="313"/>
      <c r="Q28" s="262"/>
      <c r="R28" s="313"/>
      <c r="S28" s="313"/>
      <c r="T28" s="313"/>
      <c r="U28" s="262"/>
    </row>
    <row r="29" spans="1:21" ht="12.75">
      <c r="A29" s="269"/>
      <c r="B29" s="176" t="s">
        <v>356</v>
      </c>
      <c r="C29" s="171"/>
      <c r="D29" s="180"/>
      <c r="E29" s="270"/>
      <c r="F29" s="250"/>
      <c r="G29" s="250"/>
      <c r="H29" s="250"/>
      <c r="I29" s="253"/>
      <c r="J29" s="313"/>
      <c r="K29" s="172"/>
      <c r="L29" s="313"/>
      <c r="M29" s="262"/>
      <c r="N29" s="313"/>
      <c r="O29" s="313"/>
      <c r="P29" s="313"/>
      <c r="Q29" s="262"/>
      <c r="R29" s="313"/>
      <c r="S29" s="313"/>
      <c r="T29" s="313"/>
      <c r="U29" s="262"/>
    </row>
    <row r="30" spans="1:21" s="162" customFormat="1" ht="12.75">
      <c r="A30" s="263" t="s">
        <v>49</v>
      </c>
      <c r="B30" s="170" t="s">
        <v>150</v>
      </c>
      <c r="C30" s="171"/>
      <c r="D30" s="175"/>
      <c r="E30" s="264"/>
      <c r="F30" s="253"/>
      <c r="G30" s="253"/>
      <c r="H30" s="253"/>
      <c r="I30" s="253"/>
      <c r="J30" s="262"/>
      <c r="K30" s="727"/>
      <c r="L30" s="262"/>
      <c r="M30" s="262"/>
      <c r="N30" s="262"/>
      <c r="O30" s="262"/>
      <c r="P30" s="262"/>
      <c r="Q30" s="262"/>
      <c r="R30" s="313"/>
      <c r="S30" s="313"/>
      <c r="T30" s="313"/>
      <c r="U30" s="262"/>
    </row>
    <row r="31" spans="1:21" ht="12.75">
      <c r="A31" s="269"/>
      <c r="B31" s="163" t="s">
        <v>84</v>
      </c>
      <c r="C31" s="174" t="s">
        <v>249</v>
      </c>
      <c r="D31" s="180"/>
      <c r="E31" s="270"/>
      <c r="F31" s="250">
        <f>45876+169+51</f>
        <v>46096</v>
      </c>
      <c r="G31" s="250">
        <f>271324+291777</f>
        <v>563101</v>
      </c>
      <c r="H31" s="250">
        <f>27973+220+58+1306</f>
        <v>29557</v>
      </c>
      <c r="I31" s="253">
        <f>SUM(F31:H31)</f>
        <v>638754</v>
      </c>
      <c r="J31" s="313">
        <v>29147</v>
      </c>
      <c r="K31" s="172">
        <v>236896</v>
      </c>
      <c r="L31" s="313">
        <v>13224</v>
      </c>
      <c r="M31" s="262">
        <f>SUM(J31:L31)</f>
        <v>279267</v>
      </c>
      <c r="N31" s="313">
        <v>84</v>
      </c>
      <c r="O31" s="313">
        <v>6398</v>
      </c>
      <c r="P31" s="313">
        <v>5138</v>
      </c>
      <c r="Q31" s="262">
        <f t="shared" si="1"/>
        <v>11620</v>
      </c>
      <c r="R31" s="313">
        <f t="shared" si="2"/>
        <v>46180</v>
      </c>
      <c r="S31" s="313">
        <f t="shared" si="3"/>
        <v>569499</v>
      </c>
      <c r="T31" s="313">
        <f t="shared" si="4"/>
        <v>34695</v>
      </c>
      <c r="U31" s="262">
        <f t="shared" si="5"/>
        <v>650374</v>
      </c>
    </row>
    <row r="32" spans="1:21" ht="12.75">
      <c r="A32" s="269"/>
      <c r="B32" s="163" t="s">
        <v>88</v>
      </c>
      <c r="C32" s="273" t="s">
        <v>426</v>
      </c>
      <c r="D32" s="180"/>
      <c r="E32" s="270"/>
      <c r="F32" s="250">
        <f>11991+46</f>
        <v>12037</v>
      </c>
      <c r="G32" s="250">
        <f>73582+425+41135</f>
        <v>115142</v>
      </c>
      <c r="H32" s="250">
        <f>7552+60+15+353</f>
        <v>7980</v>
      </c>
      <c r="I32" s="253">
        <f aca="true" t="shared" si="8" ref="I32:I39">SUM(F32:H32)</f>
        <v>135159</v>
      </c>
      <c r="J32" s="313">
        <v>7193</v>
      </c>
      <c r="K32" s="172">
        <v>49174</v>
      </c>
      <c r="L32" s="313">
        <v>3824</v>
      </c>
      <c r="M32" s="262">
        <f aca="true" t="shared" si="9" ref="M32:M39">SUM(J32:L32)</f>
        <v>60191</v>
      </c>
      <c r="N32" s="313">
        <v>23</v>
      </c>
      <c r="O32" s="313">
        <v>1683</v>
      </c>
      <c r="P32" s="313">
        <v>1291</v>
      </c>
      <c r="Q32" s="262">
        <f t="shared" si="1"/>
        <v>2997</v>
      </c>
      <c r="R32" s="313">
        <f t="shared" si="2"/>
        <v>12060</v>
      </c>
      <c r="S32" s="313">
        <f t="shared" si="3"/>
        <v>116825</v>
      </c>
      <c r="T32" s="313">
        <f t="shared" si="4"/>
        <v>9271</v>
      </c>
      <c r="U32" s="262">
        <f t="shared" si="5"/>
        <v>138156</v>
      </c>
    </row>
    <row r="33" spans="1:21" ht="12.75">
      <c r="A33" s="269"/>
      <c r="B33" s="163" t="s">
        <v>152</v>
      </c>
      <c r="C33" s="174" t="s">
        <v>153</v>
      </c>
      <c r="D33" s="180"/>
      <c r="E33" s="270"/>
      <c r="F33" s="250">
        <f>19155+103</f>
        <v>19258</v>
      </c>
      <c r="G33" s="250">
        <f>296412+144569</f>
        <v>440981</v>
      </c>
      <c r="H33" s="250">
        <f>51360+38493+7586+86889</f>
        <v>184328</v>
      </c>
      <c r="I33" s="253">
        <f t="shared" si="8"/>
        <v>644567</v>
      </c>
      <c r="J33" s="313">
        <v>3631</v>
      </c>
      <c r="K33" s="172">
        <v>233178</v>
      </c>
      <c r="L33" s="313">
        <v>67096</v>
      </c>
      <c r="M33" s="262">
        <f t="shared" si="9"/>
        <v>303905</v>
      </c>
      <c r="N33" s="313">
        <v>0</v>
      </c>
      <c r="O33" s="313">
        <v>11355</v>
      </c>
      <c r="P33" s="313">
        <v>131575</v>
      </c>
      <c r="Q33" s="262">
        <f t="shared" si="1"/>
        <v>142930</v>
      </c>
      <c r="R33" s="313">
        <f t="shared" si="2"/>
        <v>19258</v>
      </c>
      <c r="S33" s="313">
        <f t="shared" si="3"/>
        <v>452336</v>
      </c>
      <c r="T33" s="313">
        <f t="shared" si="4"/>
        <v>315903</v>
      </c>
      <c r="U33" s="262">
        <f t="shared" si="5"/>
        <v>787497</v>
      </c>
    </row>
    <row r="34" spans="1:21" ht="12.75">
      <c r="A34" s="269"/>
      <c r="B34" s="163" t="s">
        <v>162</v>
      </c>
      <c r="C34" s="174" t="s">
        <v>420</v>
      </c>
      <c r="D34" s="180"/>
      <c r="E34" s="270"/>
      <c r="F34" s="250">
        <v>0</v>
      </c>
      <c r="G34" s="250">
        <v>0</v>
      </c>
      <c r="H34" s="250">
        <v>0</v>
      </c>
      <c r="I34" s="253">
        <f t="shared" si="8"/>
        <v>0</v>
      </c>
      <c r="J34" s="313">
        <v>0</v>
      </c>
      <c r="K34" s="172">
        <v>0</v>
      </c>
      <c r="L34" s="313">
        <v>0</v>
      </c>
      <c r="M34" s="262">
        <f t="shared" si="9"/>
        <v>0</v>
      </c>
      <c r="N34" s="313">
        <v>0</v>
      </c>
      <c r="O34" s="313">
        <v>0</v>
      </c>
      <c r="P34" s="313">
        <v>0</v>
      </c>
      <c r="Q34" s="262">
        <f t="shared" si="1"/>
        <v>0</v>
      </c>
      <c r="R34" s="313">
        <f t="shared" si="2"/>
        <v>0</v>
      </c>
      <c r="S34" s="313">
        <f t="shared" si="3"/>
        <v>0</v>
      </c>
      <c r="T34" s="313">
        <f t="shared" si="4"/>
        <v>0</v>
      </c>
      <c r="U34" s="262">
        <f t="shared" si="5"/>
        <v>0</v>
      </c>
    </row>
    <row r="35" spans="1:21" ht="12.75">
      <c r="A35" s="269"/>
      <c r="B35" s="163" t="s">
        <v>94</v>
      </c>
      <c r="C35" s="151" t="s">
        <v>154</v>
      </c>
      <c r="D35" s="180"/>
      <c r="E35" s="270"/>
      <c r="F35" s="250">
        <v>0</v>
      </c>
      <c r="G35" s="250">
        <f>30305+194</f>
        <v>30499</v>
      </c>
      <c r="H35" s="250">
        <f>15580+20463</f>
        <v>36043</v>
      </c>
      <c r="I35" s="253">
        <f t="shared" si="8"/>
        <v>66542</v>
      </c>
      <c r="J35" s="313">
        <v>0</v>
      </c>
      <c r="K35" s="172">
        <v>39329</v>
      </c>
      <c r="L35" s="313">
        <v>2442</v>
      </c>
      <c r="M35" s="262">
        <f t="shared" si="9"/>
        <v>41771</v>
      </c>
      <c r="N35" s="313">
        <v>0</v>
      </c>
      <c r="O35" s="313">
        <v>128379</v>
      </c>
      <c r="P35" s="313">
        <v>379</v>
      </c>
      <c r="Q35" s="262">
        <f t="shared" si="1"/>
        <v>128758</v>
      </c>
      <c r="R35" s="313">
        <f t="shared" si="2"/>
        <v>0</v>
      </c>
      <c r="S35" s="313">
        <f t="shared" si="3"/>
        <v>158878</v>
      </c>
      <c r="T35" s="313">
        <f t="shared" si="4"/>
        <v>36422</v>
      </c>
      <c r="U35" s="262">
        <f t="shared" si="5"/>
        <v>195300</v>
      </c>
    </row>
    <row r="36" spans="1:21" ht="12.75">
      <c r="A36" s="269"/>
      <c r="B36" s="163" t="s">
        <v>95</v>
      </c>
      <c r="C36" s="174" t="s">
        <v>357</v>
      </c>
      <c r="D36" s="180"/>
      <c r="E36" s="270"/>
      <c r="F36" s="250">
        <v>0</v>
      </c>
      <c r="G36" s="250">
        <f>95803+14742</f>
        <v>110545</v>
      </c>
      <c r="H36" s="250">
        <f>93679+9306</f>
        <v>102985</v>
      </c>
      <c r="I36" s="253">
        <f t="shared" si="8"/>
        <v>213530</v>
      </c>
      <c r="J36" s="313">
        <v>0</v>
      </c>
      <c r="K36" s="172">
        <v>31575</v>
      </c>
      <c r="L36" s="313">
        <v>46402</v>
      </c>
      <c r="M36" s="262">
        <f t="shared" si="9"/>
        <v>77977</v>
      </c>
      <c r="N36" s="313">
        <v>0</v>
      </c>
      <c r="O36" s="313">
        <v>9</v>
      </c>
      <c r="P36" s="313">
        <v>1085</v>
      </c>
      <c r="Q36" s="262">
        <f t="shared" si="1"/>
        <v>1094</v>
      </c>
      <c r="R36" s="313">
        <f t="shared" si="2"/>
        <v>0</v>
      </c>
      <c r="S36" s="313">
        <f t="shared" si="3"/>
        <v>110554</v>
      </c>
      <c r="T36" s="313">
        <f t="shared" si="4"/>
        <v>104070</v>
      </c>
      <c r="U36" s="262">
        <f t="shared" si="5"/>
        <v>214624</v>
      </c>
    </row>
    <row r="37" spans="1:21" ht="12.75">
      <c r="A37" s="269"/>
      <c r="B37" s="163" t="s">
        <v>156</v>
      </c>
      <c r="C37" s="174" t="s">
        <v>157</v>
      </c>
      <c r="D37" s="180"/>
      <c r="E37" s="270"/>
      <c r="F37" s="250">
        <v>0</v>
      </c>
      <c r="G37" s="250">
        <v>56428</v>
      </c>
      <c r="H37" s="250">
        <f>41430+1039</f>
        <v>42469</v>
      </c>
      <c r="I37" s="253">
        <f t="shared" si="8"/>
        <v>98897</v>
      </c>
      <c r="J37" s="313">
        <v>0</v>
      </c>
      <c r="K37" s="172">
        <v>44979</v>
      </c>
      <c r="L37" s="313">
        <v>17092</v>
      </c>
      <c r="M37" s="262">
        <f t="shared" si="9"/>
        <v>62071</v>
      </c>
      <c r="N37" s="313">
        <v>0</v>
      </c>
      <c r="O37" s="313">
        <v>14651</v>
      </c>
      <c r="P37" s="313">
        <v>4296</v>
      </c>
      <c r="Q37" s="262">
        <f t="shared" si="1"/>
        <v>18947</v>
      </c>
      <c r="R37" s="313">
        <f t="shared" si="2"/>
        <v>0</v>
      </c>
      <c r="S37" s="313">
        <f t="shared" si="3"/>
        <v>71079</v>
      </c>
      <c r="T37" s="313">
        <f t="shared" si="4"/>
        <v>46765</v>
      </c>
      <c r="U37" s="262">
        <f t="shared" si="5"/>
        <v>117844</v>
      </c>
    </row>
    <row r="38" spans="1:21" ht="12.75">
      <c r="A38" s="269"/>
      <c r="B38" s="163" t="s">
        <v>158</v>
      </c>
      <c r="C38" s="174" t="s">
        <v>159</v>
      </c>
      <c r="D38" s="180"/>
      <c r="E38" s="270"/>
      <c r="F38" s="250">
        <v>0</v>
      </c>
      <c r="G38" s="250">
        <f>SUM('címrendes kiadás'!M50)</f>
        <v>52500</v>
      </c>
      <c r="H38" s="250">
        <v>0</v>
      </c>
      <c r="I38" s="253">
        <f t="shared" si="8"/>
        <v>52500</v>
      </c>
      <c r="J38" s="313">
        <v>0</v>
      </c>
      <c r="K38" s="172">
        <v>17185</v>
      </c>
      <c r="L38" s="313">
        <v>0</v>
      </c>
      <c r="M38" s="262">
        <f t="shared" si="9"/>
        <v>17185</v>
      </c>
      <c r="N38" s="313">
        <v>0</v>
      </c>
      <c r="O38" s="313">
        <v>0</v>
      </c>
      <c r="P38" s="313">
        <v>0</v>
      </c>
      <c r="Q38" s="262">
        <f t="shared" si="1"/>
        <v>0</v>
      </c>
      <c r="R38" s="313">
        <f t="shared" si="2"/>
        <v>0</v>
      </c>
      <c r="S38" s="313">
        <f t="shared" si="3"/>
        <v>52500</v>
      </c>
      <c r="T38" s="313">
        <f t="shared" si="4"/>
        <v>0</v>
      </c>
      <c r="U38" s="262">
        <f t="shared" si="5"/>
        <v>52500</v>
      </c>
    </row>
    <row r="39" spans="1:21" ht="12" customHeight="1">
      <c r="A39" s="269"/>
      <c r="B39" s="163" t="s">
        <v>160</v>
      </c>
      <c r="C39" s="180" t="s">
        <v>164</v>
      </c>
      <c r="D39" s="180"/>
      <c r="E39" s="270"/>
      <c r="F39" s="250">
        <v>0</v>
      </c>
      <c r="G39" s="250">
        <f>362+13267</f>
        <v>13629</v>
      </c>
      <c r="H39" s="250">
        <v>21238</v>
      </c>
      <c r="I39" s="253">
        <f t="shared" si="8"/>
        <v>34867</v>
      </c>
      <c r="J39" s="313">
        <v>0</v>
      </c>
      <c r="K39" s="172">
        <v>0</v>
      </c>
      <c r="L39" s="313">
        <v>0</v>
      </c>
      <c r="M39" s="262">
        <f t="shared" si="9"/>
        <v>0</v>
      </c>
      <c r="N39" s="313">
        <v>0</v>
      </c>
      <c r="O39" s="313">
        <v>0</v>
      </c>
      <c r="P39" s="313">
        <v>-4017</v>
      </c>
      <c r="Q39" s="262">
        <f t="shared" si="1"/>
        <v>-4017</v>
      </c>
      <c r="R39" s="313">
        <f t="shared" si="2"/>
        <v>0</v>
      </c>
      <c r="S39" s="313">
        <f t="shared" si="3"/>
        <v>13629</v>
      </c>
      <c r="T39" s="313">
        <f t="shared" si="4"/>
        <v>17221</v>
      </c>
      <c r="U39" s="262">
        <f t="shared" si="5"/>
        <v>30850</v>
      </c>
    </row>
    <row r="40" spans="1:21" s="162" customFormat="1" ht="12.75">
      <c r="A40" s="271" t="s">
        <v>49</v>
      </c>
      <c r="B40" s="164" t="s">
        <v>163</v>
      </c>
      <c r="C40" s="178"/>
      <c r="D40" s="166"/>
      <c r="E40" s="272"/>
      <c r="F40" s="251">
        <f>SUM(F31:F39)</f>
        <v>77391</v>
      </c>
      <c r="G40" s="251">
        <f>SUM(G31:G39)</f>
        <v>1382825</v>
      </c>
      <c r="H40" s="251">
        <f>SUM(H31:H39)</f>
        <v>424600</v>
      </c>
      <c r="I40" s="251">
        <f>SUM(F40:H40)</f>
        <v>1884816</v>
      </c>
      <c r="J40" s="195">
        <f aca="true" t="shared" si="10" ref="J40:P40">SUM(J31:J39)</f>
        <v>39971</v>
      </c>
      <c r="K40" s="195">
        <f t="shared" si="10"/>
        <v>652316</v>
      </c>
      <c r="L40" s="195">
        <f t="shared" si="10"/>
        <v>150080</v>
      </c>
      <c r="M40" s="195">
        <f t="shared" si="10"/>
        <v>842367</v>
      </c>
      <c r="N40" s="195">
        <f t="shared" si="10"/>
        <v>107</v>
      </c>
      <c r="O40" s="195">
        <f t="shared" si="10"/>
        <v>162475</v>
      </c>
      <c r="P40" s="195">
        <f t="shared" si="10"/>
        <v>139747</v>
      </c>
      <c r="Q40" s="195">
        <f t="shared" si="1"/>
        <v>302329</v>
      </c>
      <c r="R40" s="764">
        <f t="shared" si="2"/>
        <v>77498</v>
      </c>
      <c r="S40" s="764">
        <f t="shared" si="3"/>
        <v>1545300</v>
      </c>
      <c r="T40" s="764">
        <f t="shared" si="4"/>
        <v>564347</v>
      </c>
      <c r="U40" s="195">
        <f t="shared" si="5"/>
        <v>2187145</v>
      </c>
    </row>
    <row r="41" spans="1:21" ht="12.75">
      <c r="A41" s="263" t="s">
        <v>54</v>
      </c>
      <c r="B41" s="170" t="s">
        <v>166</v>
      </c>
      <c r="C41" s="174"/>
      <c r="D41" s="180"/>
      <c r="E41" s="270"/>
      <c r="F41" s="250"/>
      <c r="G41" s="250"/>
      <c r="H41" s="250"/>
      <c r="I41" s="253"/>
      <c r="J41" s="313"/>
      <c r="K41" s="172"/>
      <c r="L41" s="313"/>
      <c r="M41" s="262"/>
      <c r="N41" s="313"/>
      <c r="O41" s="313"/>
      <c r="P41" s="313"/>
      <c r="Q41" s="262"/>
      <c r="R41" s="313"/>
      <c r="S41" s="313"/>
      <c r="T41" s="313"/>
      <c r="U41" s="262"/>
    </row>
    <row r="42" spans="1:21" ht="12.75">
      <c r="A42" s="269"/>
      <c r="B42" s="163" t="s">
        <v>167</v>
      </c>
      <c r="C42" s="174" t="s">
        <v>411</v>
      </c>
      <c r="D42" s="180"/>
      <c r="E42" s="270"/>
      <c r="F42" s="250">
        <v>0</v>
      </c>
      <c r="G42" s="250">
        <v>983927</v>
      </c>
      <c r="H42" s="250">
        <v>1833546</v>
      </c>
      <c r="I42" s="253">
        <f aca="true" t="shared" si="11" ref="I42:I48">SUM(G42:H42)</f>
        <v>2817473</v>
      </c>
      <c r="J42" s="313">
        <v>0</v>
      </c>
      <c r="K42" s="172">
        <v>75768</v>
      </c>
      <c r="L42" s="313">
        <v>533050</v>
      </c>
      <c r="M42" s="262">
        <f>SUM(J42:L42)</f>
        <v>608818</v>
      </c>
      <c r="N42" s="313">
        <v>0</v>
      </c>
      <c r="O42" s="313">
        <v>82040</v>
      </c>
      <c r="P42" s="313">
        <v>31368</v>
      </c>
      <c r="Q42" s="262">
        <f t="shared" si="1"/>
        <v>113408</v>
      </c>
      <c r="R42" s="313">
        <f t="shared" si="2"/>
        <v>0</v>
      </c>
      <c r="S42" s="313">
        <f t="shared" si="3"/>
        <v>1065967</v>
      </c>
      <c r="T42" s="313">
        <f t="shared" si="4"/>
        <v>1864914</v>
      </c>
      <c r="U42" s="262">
        <f t="shared" si="5"/>
        <v>2930881</v>
      </c>
    </row>
    <row r="43" spans="1:21" ht="12.75">
      <c r="A43" s="269"/>
      <c r="B43" s="163" t="s">
        <v>56</v>
      </c>
      <c r="C43" s="174" t="s">
        <v>412</v>
      </c>
      <c r="D43" s="180"/>
      <c r="E43" s="270"/>
      <c r="F43" s="250">
        <v>0</v>
      </c>
      <c r="G43" s="250">
        <f>414+5588</f>
        <v>6002</v>
      </c>
      <c r="H43" s="250">
        <v>0</v>
      </c>
      <c r="I43" s="253">
        <f t="shared" si="11"/>
        <v>6002</v>
      </c>
      <c r="J43" s="313">
        <v>0</v>
      </c>
      <c r="K43" s="172">
        <v>414</v>
      </c>
      <c r="L43" s="313">
        <v>981</v>
      </c>
      <c r="M43" s="262">
        <f aca="true" t="shared" si="12" ref="M43:M48">SUM(J43:L43)</f>
        <v>1395</v>
      </c>
      <c r="N43" s="313">
        <v>0</v>
      </c>
      <c r="O43" s="313">
        <v>1405</v>
      </c>
      <c r="P43" s="313">
        <v>0</v>
      </c>
      <c r="Q43" s="262">
        <f t="shared" si="1"/>
        <v>1405</v>
      </c>
      <c r="R43" s="313">
        <f t="shared" si="2"/>
        <v>0</v>
      </c>
      <c r="S43" s="313">
        <f t="shared" si="3"/>
        <v>7407</v>
      </c>
      <c r="T43" s="313">
        <f t="shared" si="4"/>
        <v>0</v>
      </c>
      <c r="U43" s="262">
        <f t="shared" si="5"/>
        <v>7407</v>
      </c>
    </row>
    <row r="44" spans="1:21" ht="12.75">
      <c r="A44" s="269"/>
      <c r="B44" s="163" t="s">
        <v>65</v>
      </c>
      <c r="C44" s="174" t="s">
        <v>358</v>
      </c>
      <c r="D44" s="180"/>
      <c r="E44" s="270"/>
      <c r="F44" s="250">
        <v>0</v>
      </c>
      <c r="G44" s="250">
        <v>9235</v>
      </c>
      <c r="H44" s="250">
        <f>158+6531</f>
        <v>6689</v>
      </c>
      <c r="I44" s="253">
        <f t="shared" si="11"/>
        <v>15924</v>
      </c>
      <c r="J44" s="313">
        <v>0</v>
      </c>
      <c r="K44" s="172">
        <v>0</v>
      </c>
      <c r="L44" s="313">
        <v>6024</v>
      </c>
      <c r="M44" s="262">
        <f t="shared" si="12"/>
        <v>6024</v>
      </c>
      <c r="N44" s="313">
        <v>0</v>
      </c>
      <c r="O44" s="313">
        <v>0</v>
      </c>
      <c r="P44" s="313">
        <v>260</v>
      </c>
      <c r="Q44" s="262">
        <f t="shared" si="1"/>
        <v>260</v>
      </c>
      <c r="R44" s="313">
        <f t="shared" si="2"/>
        <v>0</v>
      </c>
      <c r="S44" s="313">
        <f t="shared" si="3"/>
        <v>9235</v>
      </c>
      <c r="T44" s="313">
        <f t="shared" si="4"/>
        <v>6949</v>
      </c>
      <c r="U44" s="262">
        <f t="shared" si="5"/>
        <v>16184</v>
      </c>
    </row>
    <row r="45" spans="1:21" ht="12.75">
      <c r="A45" s="269"/>
      <c r="B45" s="163" t="s">
        <v>69</v>
      </c>
      <c r="C45" s="174" t="s">
        <v>359</v>
      </c>
      <c r="D45" s="180"/>
      <c r="E45" s="270"/>
      <c r="F45" s="250">
        <v>0</v>
      </c>
      <c r="G45" s="250">
        <v>24</v>
      </c>
      <c r="H45" s="250">
        <v>2246</v>
      </c>
      <c r="I45" s="253">
        <f t="shared" si="11"/>
        <v>2270</v>
      </c>
      <c r="J45" s="313">
        <v>0</v>
      </c>
      <c r="K45" s="172">
        <v>0</v>
      </c>
      <c r="L45" s="313">
        <v>21</v>
      </c>
      <c r="M45" s="262">
        <f t="shared" si="12"/>
        <v>21</v>
      </c>
      <c r="N45" s="313">
        <v>0</v>
      </c>
      <c r="O45" s="313">
        <v>0</v>
      </c>
      <c r="P45" s="313">
        <v>293</v>
      </c>
      <c r="Q45" s="262">
        <f t="shared" si="1"/>
        <v>293</v>
      </c>
      <c r="R45" s="313">
        <f t="shared" si="2"/>
        <v>0</v>
      </c>
      <c r="S45" s="313">
        <f t="shared" si="3"/>
        <v>24</v>
      </c>
      <c r="T45" s="313">
        <f t="shared" si="4"/>
        <v>2539</v>
      </c>
      <c r="U45" s="262">
        <f t="shared" si="5"/>
        <v>2563</v>
      </c>
    </row>
    <row r="46" spans="1:21" ht="12.75">
      <c r="A46" s="269"/>
      <c r="B46" s="163" t="s">
        <v>171</v>
      </c>
      <c r="C46" s="174" t="s">
        <v>172</v>
      </c>
      <c r="D46" s="180"/>
      <c r="E46" s="270"/>
      <c r="F46" s="250">
        <v>0</v>
      </c>
      <c r="G46" s="250">
        <v>45000</v>
      </c>
      <c r="H46" s="250">
        <v>0</v>
      </c>
      <c r="I46" s="253">
        <f t="shared" si="11"/>
        <v>45000</v>
      </c>
      <c r="J46" s="313">
        <v>0</v>
      </c>
      <c r="K46" s="172">
        <v>0</v>
      </c>
      <c r="L46" s="313">
        <v>0</v>
      </c>
      <c r="M46" s="262">
        <f t="shared" si="12"/>
        <v>0</v>
      </c>
      <c r="N46" s="313">
        <v>0</v>
      </c>
      <c r="O46" s="313">
        <v>0</v>
      </c>
      <c r="P46" s="313">
        <v>104</v>
      </c>
      <c r="Q46" s="262">
        <f t="shared" si="1"/>
        <v>104</v>
      </c>
      <c r="R46" s="313">
        <f t="shared" si="2"/>
        <v>0</v>
      </c>
      <c r="S46" s="313">
        <f t="shared" si="3"/>
        <v>45000</v>
      </c>
      <c r="T46" s="313">
        <f t="shared" si="4"/>
        <v>104</v>
      </c>
      <c r="U46" s="262">
        <f t="shared" si="5"/>
        <v>45104</v>
      </c>
    </row>
    <row r="47" spans="1:21" ht="12.75">
      <c r="A47" s="269"/>
      <c r="B47" s="163" t="s">
        <v>173</v>
      </c>
      <c r="C47" s="174" t="s">
        <v>174</v>
      </c>
      <c r="D47" s="180"/>
      <c r="E47" s="270"/>
      <c r="F47" s="250">
        <v>0</v>
      </c>
      <c r="G47" s="250">
        <f>45670+1022429</f>
        <v>1068099</v>
      </c>
      <c r="H47" s="250">
        <v>368</v>
      </c>
      <c r="I47" s="253">
        <f t="shared" si="11"/>
        <v>1068467</v>
      </c>
      <c r="J47" s="313">
        <v>0</v>
      </c>
      <c r="K47" s="172">
        <v>0</v>
      </c>
      <c r="L47" s="313">
        <v>0</v>
      </c>
      <c r="M47" s="262">
        <f t="shared" si="12"/>
        <v>0</v>
      </c>
      <c r="N47" s="313">
        <v>0</v>
      </c>
      <c r="O47" s="313">
        <v>0</v>
      </c>
      <c r="P47" s="313">
        <v>78870</v>
      </c>
      <c r="Q47" s="262">
        <f t="shared" si="1"/>
        <v>78870</v>
      </c>
      <c r="R47" s="313">
        <f t="shared" si="2"/>
        <v>0</v>
      </c>
      <c r="S47" s="313">
        <f t="shared" si="3"/>
        <v>1068099</v>
      </c>
      <c r="T47" s="313">
        <f t="shared" si="4"/>
        <v>79238</v>
      </c>
      <c r="U47" s="262">
        <f t="shared" si="5"/>
        <v>1147337</v>
      </c>
    </row>
    <row r="48" spans="1:21" s="162" customFormat="1" ht="12.75">
      <c r="A48" s="271" t="s">
        <v>54</v>
      </c>
      <c r="B48" s="164" t="s">
        <v>360</v>
      </c>
      <c r="C48" s="178"/>
      <c r="D48" s="166"/>
      <c r="E48" s="272"/>
      <c r="F48" s="251">
        <f>SUM(F42:F47)</f>
        <v>0</v>
      </c>
      <c r="G48" s="251">
        <f>SUM(G42:G47)</f>
        <v>2112287</v>
      </c>
      <c r="H48" s="251">
        <f>SUM(H42:H47)</f>
        <v>1842849</v>
      </c>
      <c r="I48" s="251">
        <f t="shared" si="11"/>
        <v>3955136</v>
      </c>
      <c r="J48" s="195">
        <f>SUM(J42:J47)</f>
        <v>0</v>
      </c>
      <c r="K48" s="195">
        <f>SUM(K42:K47)</f>
        <v>76182</v>
      </c>
      <c r="L48" s="195">
        <f>SUM(L42:L47)</f>
        <v>540076</v>
      </c>
      <c r="M48" s="195">
        <f t="shared" si="12"/>
        <v>616258</v>
      </c>
      <c r="N48" s="195">
        <f>SUM(N42:N47)</f>
        <v>0</v>
      </c>
      <c r="O48" s="195">
        <f>SUM(O42:O47)</f>
        <v>83445</v>
      </c>
      <c r="P48" s="195">
        <f>SUM(P42:P47)</f>
        <v>110895</v>
      </c>
      <c r="Q48" s="195">
        <f t="shared" si="1"/>
        <v>194340</v>
      </c>
      <c r="R48" s="764">
        <f t="shared" si="2"/>
        <v>0</v>
      </c>
      <c r="S48" s="764">
        <f t="shared" si="3"/>
        <v>2195732</v>
      </c>
      <c r="T48" s="764">
        <f t="shared" si="4"/>
        <v>1953744</v>
      </c>
      <c r="U48" s="195">
        <f t="shared" si="5"/>
        <v>4149476</v>
      </c>
    </row>
    <row r="49" spans="1:21" s="162" customFormat="1" ht="12.75">
      <c r="A49" s="271"/>
      <c r="B49" s="164" t="s">
        <v>361</v>
      </c>
      <c r="C49" s="178"/>
      <c r="D49" s="166"/>
      <c r="E49" s="272"/>
      <c r="F49" s="251">
        <f>SUM(F40+F48)</f>
        <v>77391</v>
      </c>
      <c r="G49" s="251">
        <f>SUM(G40+G48)</f>
        <v>3495112</v>
      </c>
      <c r="H49" s="251">
        <f>SUM(H40+H48)</f>
        <v>2267449</v>
      </c>
      <c r="I49" s="251">
        <f>SUM(F49:H49)</f>
        <v>5839952</v>
      </c>
      <c r="J49" s="195">
        <f aca="true" t="shared" si="13" ref="J49:P49">J40+J48</f>
        <v>39971</v>
      </c>
      <c r="K49" s="195">
        <f t="shared" si="13"/>
        <v>728498</v>
      </c>
      <c r="L49" s="195">
        <f t="shared" si="13"/>
        <v>690156</v>
      </c>
      <c r="M49" s="195">
        <f t="shared" si="13"/>
        <v>1458625</v>
      </c>
      <c r="N49" s="195">
        <f t="shared" si="13"/>
        <v>107</v>
      </c>
      <c r="O49" s="195">
        <f t="shared" si="13"/>
        <v>245920</v>
      </c>
      <c r="P49" s="195">
        <f t="shared" si="13"/>
        <v>250642</v>
      </c>
      <c r="Q49" s="195">
        <f t="shared" si="1"/>
        <v>496669</v>
      </c>
      <c r="R49" s="764">
        <f t="shared" si="2"/>
        <v>77498</v>
      </c>
      <c r="S49" s="764">
        <f t="shared" si="3"/>
        <v>3741032</v>
      </c>
      <c r="T49" s="764">
        <f t="shared" si="4"/>
        <v>2518091</v>
      </c>
      <c r="U49" s="195">
        <f t="shared" si="5"/>
        <v>6336621</v>
      </c>
    </row>
    <row r="50" spans="1:21" ht="12.75">
      <c r="A50" s="269"/>
      <c r="B50" s="163"/>
      <c r="C50" s="179"/>
      <c r="D50" s="180"/>
      <c r="E50" s="270"/>
      <c r="F50" s="250"/>
      <c r="G50" s="250"/>
      <c r="H50" s="312"/>
      <c r="I50" s="257"/>
      <c r="J50" s="313"/>
      <c r="K50" s="172"/>
      <c r="L50" s="313"/>
      <c r="M50" s="262"/>
      <c r="N50" s="313"/>
      <c r="O50" s="313"/>
      <c r="P50" s="313"/>
      <c r="Q50" s="262"/>
      <c r="R50" s="313"/>
      <c r="S50" s="313"/>
      <c r="T50" s="313"/>
      <c r="U50" s="262"/>
    </row>
    <row r="51" spans="1:21" s="162" customFormat="1" ht="12.75">
      <c r="A51" s="263"/>
      <c r="B51" s="170" t="s">
        <v>341</v>
      </c>
      <c r="C51" s="160"/>
      <c r="D51" s="175"/>
      <c r="E51" s="264"/>
      <c r="F51" s="253"/>
      <c r="G51" s="258"/>
      <c r="H51" s="262"/>
      <c r="I51" s="253"/>
      <c r="J51" s="262"/>
      <c r="K51" s="727"/>
      <c r="L51" s="262"/>
      <c r="M51" s="262"/>
      <c r="N51" s="262"/>
      <c r="O51" s="262"/>
      <c r="P51" s="262"/>
      <c r="Q51" s="262"/>
      <c r="R51" s="313"/>
      <c r="S51" s="313"/>
      <c r="T51" s="313"/>
      <c r="U51" s="262"/>
    </row>
    <row r="52" spans="1:21" s="162" customFormat="1" ht="12.75">
      <c r="A52" s="263" t="s">
        <v>137</v>
      </c>
      <c r="B52" s="170" t="s">
        <v>362</v>
      </c>
      <c r="C52" s="160"/>
      <c r="D52" s="175"/>
      <c r="E52" s="264"/>
      <c r="F52" s="253"/>
      <c r="G52" s="258"/>
      <c r="H52" s="262"/>
      <c r="I52" s="253"/>
      <c r="J52" s="262"/>
      <c r="K52" s="727"/>
      <c r="L52" s="262"/>
      <c r="M52" s="262"/>
      <c r="N52" s="262"/>
      <c r="O52" s="262"/>
      <c r="P52" s="262"/>
      <c r="Q52" s="262"/>
      <c r="R52" s="313"/>
      <c r="S52" s="313"/>
      <c r="T52" s="313"/>
      <c r="U52" s="262"/>
    </row>
    <row r="53" spans="1:21" ht="12.75">
      <c r="A53" s="269"/>
      <c r="B53" s="163" t="s">
        <v>49</v>
      </c>
      <c r="C53" s="179" t="s">
        <v>139</v>
      </c>
      <c r="D53" s="180"/>
      <c r="E53" s="270"/>
      <c r="F53" s="250">
        <v>0</v>
      </c>
      <c r="G53" s="250">
        <f>SUM('címrendes bevétel'!M140)</f>
        <v>0</v>
      </c>
      <c r="H53" s="313">
        <v>0</v>
      </c>
      <c r="I53" s="253">
        <f aca="true" t="shared" si="14" ref="I53:I62">SUM(G53:H53)</f>
        <v>0</v>
      </c>
      <c r="J53" s="313">
        <v>0</v>
      </c>
      <c r="K53" s="172">
        <v>0</v>
      </c>
      <c r="L53" s="313">
        <v>0</v>
      </c>
      <c r="M53" s="262">
        <v>0</v>
      </c>
      <c r="N53" s="313">
        <v>0</v>
      </c>
      <c r="O53" s="313">
        <v>0</v>
      </c>
      <c r="P53" s="313">
        <v>0</v>
      </c>
      <c r="Q53" s="262">
        <f t="shared" si="1"/>
        <v>0</v>
      </c>
      <c r="R53" s="313">
        <f t="shared" si="2"/>
        <v>0</v>
      </c>
      <c r="S53" s="313">
        <f t="shared" si="3"/>
        <v>0</v>
      </c>
      <c r="T53" s="313">
        <f t="shared" si="4"/>
        <v>0</v>
      </c>
      <c r="U53" s="262">
        <f t="shared" si="5"/>
        <v>0</v>
      </c>
    </row>
    <row r="54" spans="1:21" ht="12.75">
      <c r="A54" s="274"/>
      <c r="B54" s="181" t="s">
        <v>54</v>
      </c>
      <c r="C54" s="182" t="s">
        <v>140</v>
      </c>
      <c r="D54" s="183"/>
      <c r="E54" s="275"/>
      <c r="F54" s="254">
        <v>0</v>
      </c>
      <c r="G54" s="254">
        <f>SUM('címrendes bevétel'!M141+'címrendes bevétel'!M142)</f>
        <v>0</v>
      </c>
      <c r="H54" s="313">
        <f>16055+39668</f>
        <v>55723</v>
      </c>
      <c r="I54" s="253">
        <f t="shared" si="14"/>
        <v>55723</v>
      </c>
      <c r="J54" s="313">
        <v>0</v>
      </c>
      <c r="K54" s="172">
        <v>0</v>
      </c>
      <c r="L54" s="313">
        <v>0</v>
      </c>
      <c r="M54" s="262">
        <v>0</v>
      </c>
      <c r="N54" s="313">
        <v>0</v>
      </c>
      <c r="O54" s="313">
        <v>0</v>
      </c>
      <c r="P54" s="313">
        <v>98001</v>
      </c>
      <c r="Q54" s="262">
        <f t="shared" si="1"/>
        <v>98001</v>
      </c>
      <c r="R54" s="313">
        <f t="shared" si="2"/>
        <v>0</v>
      </c>
      <c r="S54" s="313">
        <f t="shared" si="3"/>
        <v>0</v>
      </c>
      <c r="T54" s="313">
        <f t="shared" si="4"/>
        <v>153724</v>
      </c>
      <c r="U54" s="262">
        <f t="shared" si="5"/>
        <v>153724</v>
      </c>
    </row>
    <row r="55" spans="1:21" s="162" customFormat="1" ht="12.75">
      <c r="A55" s="263"/>
      <c r="B55" s="170" t="s">
        <v>142</v>
      </c>
      <c r="C55" s="160"/>
      <c r="D55" s="175"/>
      <c r="E55" s="264"/>
      <c r="F55" s="253">
        <f>SUM(F53:F54)</f>
        <v>0</v>
      </c>
      <c r="G55" s="253">
        <f>SUM(G53:G54)</f>
        <v>0</v>
      </c>
      <c r="H55" s="195">
        <f>SUM(H53:H54)</f>
        <v>55723</v>
      </c>
      <c r="I55" s="251">
        <f t="shared" si="14"/>
        <v>55723</v>
      </c>
      <c r="J55" s="195">
        <f aca="true" t="shared" si="15" ref="J55:P55">SUM(J53:J54)</f>
        <v>0</v>
      </c>
      <c r="K55" s="195">
        <f t="shared" si="15"/>
        <v>0</v>
      </c>
      <c r="L55" s="195">
        <f t="shared" si="15"/>
        <v>0</v>
      </c>
      <c r="M55" s="195">
        <f t="shared" si="15"/>
        <v>0</v>
      </c>
      <c r="N55" s="195">
        <f t="shared" si="15"/>
        <v>0</v>
      </c>
      <c r="O55" s="195">
        <f t="shared" si="15"/>
        <v>0</v>
      </c>
      <c r="P55" s="195">
        <f t="shared" si="15"/>
        <v>98001</v>
      </c>
      <c r="Q55" s="195">
        <f t="shared" si="1"/>
        <v>98001</v>
      </c>
      <c r="R55" s="764">
        <f t="shared" si="2"/>
        <v>0</v>
      </c>
      <c r="S55" s="764">
        <f t="shared" si="3"/>
        <v>0</v>
      </c>
      <c r="T55" s="764">
        <f t="shared" si="4"/>
        <v>153724</v>
      </c>
      <c r="U55" s="195">
        <f t="shared" si="5"/>
        <v>153724</v>
      </c>
    </row>
    <row r="56" spans="1:21" s="162" customFormat="1" ht="12.75">
      <c r="A56" s="271" t="s">
        <v>143</v>
      </c>
      <c r="B56" s="164" t="s">
        <v>144</v>
      </c>
      <c r="C56" s="165"/>
      <c r="D56" s="166"/>
      <c r="E56" s="272"/>
      <c r="F56" s="251">
        <v>0</v>
      </c>
      <c r="G56" s="251">
        <v>0</v>
      </c>
      <c r="H56" s="195">
        <f>172546+1733008</f>
        <v>1905554</v>
      </c>
      <c r="I56" s="253">
        <f t="shared" si="14"/>
        <v>1905554</v>
      </c>
      <c r="J56" s="195">
        <v>0</v>
      </c>
      <c r="K56" s="195">
        <v>0</v>
      </c>
      <c r="L56" s="195">
        <v>437589</v>
      </c>
      <c r="M56" s="195">
        <f>SUM(J56:L56)</f>
        <v>437589</v>
      </c>
      <c r="N56" s="262">
        <v>0</v>
      </c>
      <c r="O56" s="262">
        <v>0</v>
      </c>
      <c r="P56" s="262">
        <v>0</v>
      </c>
      <c r="Q56" s="262">
        <f t="shared" si="1"/>
        <v>0</v>
      </c>
      <c r="R56" s="313">
        <f t="shared" si="2"/>
        <v>0</v>
      </c>
      <c r="S56" s="313">
        <f t="shared" si="3"/>
        <v>0</v>
      </c>
      <c r="T56" s="313">
        <f t="shared" si="4"/>
        <v>1905554</v>
      </c>
      <c r="U56" s="262">
        <f t="shared" si="5"/>
        <v>1905554</v>
      </c>
    </row>
    <row r="57" spans="1:21" s="162" customFormat="1" ht="12.75">
      <c r="A57" s="271"/>
      <c r="B57" s="164" t="s">
        <v>148</v>
      </c>
      <c r="C57" s="184"/>
      <c r="D57" s="166"/>
      <c r="E57" s="272"/>
      <c r="F57" s="251">
        <v>0</v>
      </c>
      <c r="G57" s="251">
        <f>SUM(G55+G56)</f>
        <v>0</v>
      </c>
      <c r="H57" s="195">
        <f>SUM(H55+H56)</f>
        <v>1961277</v>
      </c>
      <c r="I57" s="251">
        <f t="shared" si="14"/>
        <v>1961277</v>
      </c>
      <c r="J57" s="195">
        <f aca="true" t="shared" si="16" ref="J57:P57">J55+J56</f>
        <v>0</v>
      </c>
      <c r="K57" s="195">
        <f t="shared" si="16"/>
        <v>0</v>
      </c>
      <c r="L57" s="195">
        <f t="shared" si="16"/>
        <v>437589</v>
      </c>
      <c r="M57" s="195">
        <f t="shared" si="16"/>
        <v>437589</v>
      </c>
      <c r="N57" s="195">
        <f t="shared" si="16"/>
        <v>0</v>
      </c>
      <c r="O57" s="195">
        <f t="shared" si="16"/>
        <v>0</v>
      </c>
      <c r="P57" s="195">
        <f t="shared" si="16"/>
        <v>98001</v>
      </c>
      <c r="Q57" s="195">
        <f t="shared" si="1"/>
        <v>98001</v>
      </c>
      <c r="R57" s="764">
        <f t="shared" si="2"/>
        <v>0</v>
      </c>
      <c r="S57" s="764">
        <f t="shared" si="3"/>
        <v>0</v>
      </c>
      <c r="T57" s="764">
        <f t="shared" si="4"/>
        <v>2059278</v>
      </c>
      <c r="U57" s="195">
        <f t="shared" si="5"/>
        <v>2059278</v>
      </c>
    </row>
    <row r="58" spans="1:21" ht="12.75">
      <c r="A58" s="269"/>
      <c r="B58" s="163"/>
      <c r="C58" s="179"/>
      <c r="D58" s="180"/>
      <c r="E58" s="270"/>
      <c r="F58" s="250"/>
      <c r="G58" s="250"/>
      <c r="H58" s="313"/>
      <c r="I58" s="253"/>
      <c r="J58" s="313"/>
      <c r="K58" s="172"/>
      <c r="L58" s="313"/>
      <c r="M58" s="262"/>
      <c r="N58" s="313"/>
      <c r="O58" s="313"/>
      <c r="P58" s="313"/>
      <c r="Q58" s="262"/>
      <c r="R58" s="313"/>
      <c r="S58" s="313"/>
      <c r="T58" s="313"/>
      <c r="U58" s="262"/>
    </row>
    <row r="59" spans="1:21" s="162" customFormat="1" ht="12.75">
      <c r="A59" s="263" t="s">
        <v>101</v>
      </c>
      <c r="B59" s="170" t="s">
        <v>363</v>
      </c>
      <c r="C59" s="160"/>
      <c r="D59" s="175"/>
      <c r="E59" s="264"/>
      <c r="F59" s="253"/>
      <c r="G59" s="258"/>
      <c r="H59" s="262"/>
      <c r="I59" s="253"/>
      <c r="J59" s="262"/>
      <c r="K59" s="727"/>
      <c r="L59" s="262"/>
      <c r="M59" s="262"/>
      <c r="N59" s="262"/>
      <c r="O59" s="262"/>
      <c r="P59" s="262"/>
      <c r="Q59" s="262"/>
      <c r="R59" s="313"/>
      <c r="S59" s="313"/>
      <c r="T59" s="313"/>
      <c r="U59" s="262"/>
    </row>
    <row r="60" spans="1:21" ht="12.75">
      <c r="A60" s="269"/>
      <c r="B60" s="177" t="s">
        <v>181</v>
      </c>
      <c r="C60" s="180" t="s">
        <v>364</v>
      </c>
      <c r="D60" s="180"/>
      <c r="E60" s="270"/>
      <c r="F60" s="250">
        <v>0</v>
      </c>
      <c r="G60" s="250">
        <f>69579+3631</f>
        <v>73210</v>
      </c>
      <c r="H60" s="313">
        <v>0</v>
      </c>
      <c r="I60" s="253">
        <f t="shared" si="14"/>
        <v>73210</v>
      </c>
      <c r="J60" s="313">
        <v>0</v>
      </c>
      <c r="K60" s="172">
        <v>104947</v>
      </c>
      <c r="L60" s="313">
        <v>0</v>
      </c>
      <c r="M60" s="262">
        <f>SUM(J60:L60)</f>
        <v>104947</v>
      </c>
      <c r="N60" s="313">
        <v>0</v>
      </c>
      <c r="O60" s="313">
        <v>0</v>
      </c>
      <c r="P60" s="313">
        <v>0</v>
      </c>
      <c r="Q60" s="262">
        <f t="shared" si="1"/>
        <v>0</v>
      </c>
      <c r="R60" s="313">
        <f t="shared" si="2"/>
        <v>0</v>
      </c>
      <c r="S60" s="313">
        <f t="shared" si="3"/>
        <v>73210</v>
      </c>
      <c r="T60" s="313">
        <f t="shared" si="4"/>
        <v>0</v>
      </c>
      <c r="U60" s="262">
        <f t="shared" si="5"/>
        <v>73210</v>
      </c>
    </row>
    <row r="61" spans="1:21" ht="12.75">
      <c r="A61" s="274"/>
      <c r="B61" s="185" t="s">
        <v>189</v>
      </c>
      <c r="C61" s="183" t="s">
        <v>186</v>
      </c>
      <c r="D61" s="183"/>
      <c r="E61" s="275"/>
      <c r="F61" s="254">
        <v>0</v>
      </c>
      <c r="G61" s="254">
        <f>SUM('címrendes kiadás'!M165)</f>
        <v>138750</v>
      </c>
      <c r="H61" s="313">
        <v>0</v>
      </c>
      <c r="I61" s="253">
        <f t="shared" si="14"/>
        <v>138750</v>
      </c>
      <c r="J61" s="313">
        <v>0</v>
      </c>
      <c r="K61" s="172">
        <v>92500</v>
      </c>
      <c r="L61" s="313">
        <v>0</v>
      </c>
      <c r="M61" s="262">
        <f>SUM(J61:L61)</f>
        <v>92500</v>
      </c>
      <c r="N61" s="313">
        <v>0</v>
      </c>
      <c r="O61" s="313">
        <v>0</v>
      </c>
      <c r="P61" s="313">
        <v>0</v>
      </c>
      <c r="Q61" s="262">
        <f t="shared" si="1"/>
        <v>0</v>
      </c>
      <c r="R61" s="313">
        <f t="shared" si="2"/>
        <v>0</v>
      </c>
      <c r="S61" s="313">
        <f t="shared" si="3"/>
        <v>138750</v>
      </c>
      <c r="T61" s="313">
        <f t="shared" si="4"/>
        <v>0</v>
      </c>
      <c r="U61" s="262">
        <f t="shared" si="5"/>
        <v>138750</v>
      </c>
    </row>
    <row r="62" spans="1:21" s="162" customFormat="1" ht="12.75">
      <c r="A62" s="265"/>
      <c r="B62" s="167" t="s">
        <v>365</v>
      </c>
      <c r="C62" s="169"/>
      <c r="D62" s="169"/>
      <c r="E62" s="267"/>
      <c r="F62" s="252">
        <f>SUM(F60:F61)</f>
        <v>0</v>
      </c>
      <c r="G62" s="252">
        <f>SUM(G60:G61)</f>
        <v>211960</v>
      </c>
      <c r="H62" s="195">
        <f>SUM(H60:H61)</f>
        <v>0</v>
      </c>
      <c r="I62" s="251">
        <f t="shared" si="14"/>
        <v>211960</v>
      </c>
      <c r="J62" s="195">
        <f aca="true" t="shared" si="17" ref="J62:P62">SUM(J60:J61)</f>
        <v>0</v>
      </c>
      <c r="K62" s="195">
        <f t="shared" si="17"/>
        <v>197447</v>
      </c>
      <c r="L62" s="195">
        <f t="shared" si="17"/>
        <v>0</v>
      </c>
      <c r="M62" s="195">
        <f t="shared" si="17"/>
        <v>197447</v>
      </c>
      <c r="N62" s="195">
        <f t="shared" si="17"/>
        <v>0</v>
      </c>
      <c r="O62" s="195">
        <f t="shared" si="17"/>
        <v>0</v>
      </c>
      <c r="P62" s="195">
        <f t="shared" si="17"/>
        <v>0</v>
      </c>
      <c r="Q62" s="195">
        <f t="shared" si="1"/>
        <v>0</v>
      </c>
      <c r="R62" s="764">
        <f t="shared" si="2"/>
        <v>0</v>
      </c>
      <c r="S62" s="764">
        <f t="shared" si="3"/>
        <v>211960</v>
      </c>
      <c r="T62" s="764">
        <f t="shared" si="4"/>
        <v>0</v>
      </c>
      <c r="U62" s="195">
        <f t="shared" si="5"/>
        <v>211960</v>
      </c>
    </row>
    <row r="63" spans="1:21" s="162" customFormat="1" ht="12.75">
      <c r="A63" s="265"/>
      <c r="B63" s="167"/>
      <c r="C63" s="169"/>
      <c r="D63" s="169"/>
      <c r="E63" s="267"/>
      <c r="F63" s="252"/>
      <c r="G63" s="252"/>
      <c r="H63" s="195"/>
      <c r="I63" s="253"/>
      <c r="J63" s="262"/>
      <c r="K63" s="727"/>
      <c r="L63" s="262"/>
      <c r="M63" s="262"/>
      <c r="N63" s="262"/>
      <c r="O63" s="262"/>
      <c r="P63" s="262"/>
      <c r="Q63" s="262"/>
      <c r="R63" s="313"/>
      <c r="S63" s="313"/>
      <c r="T63" s="313"/>
      <c r="U63" s="262"/>
    </row>
    <row r="64" spans="1:21" s="162" customFormat="1" ht="12.75">
      <c r="A64" s="265"/>
      <c r="B64" s="167" t="s">
        <v>149</v>
      </c>
      <c r="C64" s="169"/>
      <c r="D64" s="169"/>
      <c r="E64" s="267"/>
      <c r="F64" s="252">
        <f>SUM(F57+F27)</f>
        <v>19817</v>
      </c>
      <c r="G64" s="252">
        <f>SUM(G57+G27)</f>
        <v>3028093</v>
      </c>
      <c r="H64" s="314">
        <f>SUM(H57+H27)</f>
        <v>3004002</v>
      </c>
      <c r="I64" s="251">
        <f>SUM(F64:H64)</f>
        <v>6051912</v>
      </c>
      <c r="J64" s="195">
        <f aca="true" t="shared" si="18" ref="J64:P64">J27+J57</f>
        <v>0</v>
      </c>
      <c r="K64" s="195">
        <f t="shared" si="18"/>
        <v>658466</v>
      </c>
      <c r="L64" s="195">
        <f t="shared" si="18"/>
        <v>1521380</v>
      </c>
      <c r="M64" s="195">
        <f t="shared" si="18"/>
        <v>2179846</v>
      </c>
      <c r="N64" s="195">
        <f t="shared" si="18"/>
        <v>107</v>
      </c>
      <c r="O64" s="195">
        <f t="shared" si="18"/>
        <v>222880</v>
      </c>
      <c r="P64" s="195">
        <f t="shared" si="18"/>
        <v>273682</v>
      </c>
      <c r="Q64" s="195">
        <f t="shared" si="1"/>
        <v>496669</v>
      </c>
      <c r="R64" s="764">
        <f t="shared" si="2"/>
        <v>19924</v>
      </c>
      <c r="S64" s="764">
        <f t="shared" si="3"/>
        <v>3250973</v>
      </c>
      <c r="T64" s="764">
        <f t="shared" si="4"/>
        <v>3277684</v>
      </c>
      <c r="U64" s="195">
        <f t="shared" si="5"/>
        <v>6548581</v>
      </c>
    </row>
    <row r="65" spans="1:21" s="162" customFormat="1" ht="12.75">
      <c r="A65" s="271"/>
      <c r="B65" s="164" t="s">
        <v>348</v>
      </c>
      <c r="C65" s="166"/>
      <c r="D65" s="166"/>
      <c r="E65" s="272"/>
      <c r="F65" s="251">
        <f>SUM(F62+F49)</f>
        <v>77391</v>
      </c>
      <c r="G65" s="251">
        <f>SUM(G62+G49)</f>
        <v>3707072</v>
      </c>
      <c r="H65" s="195">
        <f>SUM(H62+H49)</f>
        <v>2267449</v>
      </c>
      <c r="I65" s="251">
        <f>SUM(F65:H65)</f>
        <v>6051912</v>
      </c>
      <c r="J65" s="195">
        <f aca="true" t="shared" si="19" ref="J65:P65">J49+J62</f>
        <v>39971</v>
      </c>
      <c r="K65" s="195">
        <f t="shared" si="19"/>
        <v>925945</v>
      </c>
      <c r="L65" s="195">
        <f t="shared" si="19"/>
        <v>690156</v>
      </c>
      <c r="M65" s="195">
        <f t="shared" si="19"/>
        <v>1656072</v>
      </c>
      <c r="N65" s="195">
        <f t="shared" si="19"/>
        <v>107</v>
      </c>
      <c r="O65" s="195">
        <f t="shared" si="19"/>
        <v>245920</v>
      </c>
      <c r="P65" s="195">
        <f t="shared" si="19"/>
        <v>250642</v>
      </c>
      <c r="Q65" s="195">
        <f t="shared" si="1"/>
        <v>496669</v>
      </c>
      <c r="R65" s="764">
        <f t="shared" si="2"/>
        <v>77498</v>
      </c>
      <c r="S65" s="764">
        <f t="shared" si="3"/>
        <v>3952992</v>
      </c>
      <c r="T65" s="764">
        <f t="shared" si="4"/>
        <v>2518091</v>
      </c>
      <c r="U65" s="195">
        <f t="shared" si="5"/>
        <v>6548581</v>
      </c>
    </row>
    <row r="66" ht="13.5">
      <c r="A66" s="812" t="s">
        <v>827</v>
      </c>
    </row>
  </sheetData>
  <mergeCells count="21">
    <mergeCell ref="A4:U4"/>
    <mergeCell ref="J8:M8"/>
    <mergeCell ref="I1:U1"/>
    <mergeCell ref="A3:U3"/>
    <mergeCell ref="G6:U6"/>
    <mergeCell ref="N8:Q8"/>
    <mergeCell ref="F9:F10"/>
    <mergeCell ref="F8:I8"/>
    <mergeCell ref="A7:E7"/>
    <mergeCell ref="I9:I10"/>
    <mergeCell ref="J9:J10"/>
    <mergeCell ref="K9:L9"/>
    <mergeCell ref="M9:M10"/>
    <mergeCell ref="G9:H9"/>
    <mergeCell ref="N9:N10"/>
    <mergeCell ref="O9:P9"/>
    <mergeCell ref="Q9:Q10"/>
    <mergeCell ref="R8:U8"/>
    <mergeCell ref="R9:R10"/>
    <mergeCell ref="S9:T9"/>
    <mergeCell ref="U9:U10"/>
  </mergeCells>
  <printOptions/>
  <pageMargins left="0.57" right="0.34" top="0.65" bottom="0.48" header="0.5" footer="0.5"/>
  <pageSetup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/>
  <dimension ref="A1:I64"/>
  <sheetViews>
    <sheetView view="pageBreakPreview" zoomScaleSheetLayoutView="100" workbookViewId="0" topLeftCell="A1">
      <selection activeCell="C1" sqref="C1:G1"/>
    </sheetView>
  </sheetViews>
  <sheetFormatPr defaultColWidth="9.00390625" defaultRowHeight="12.75"/>
  <cols>
    <col min="1" max="1" width="4.75390625" style="154" customWidth="1"/>
    <col min="2" max="2" width="5.625" style="155" customWidth="1"/>
    <col min="3" max="3" width="18.375" style="156" customWidth="1"/>
    <col min="4" max="4" width="18.25390625" style="156" customWidth="1"/>
    <col min="5" max="5" width="10.125" style="156" customWidth="1"/>
    <col min="6" max="6" width="10.375" style="157" bestFit="1" customWidth="1"/>
    <col min="7" max="7" width="10.375" style="157" customWidth="1"/>
    <col min="8" max="16384" width="9.125" style="156" customWidth="1"/>
  </cols>
  <sheetData>
    <row r="1" spans="2:7" ht="14.25">
      <c r="B1" s="155" t="s">
        <v>87</v>
      </c>
      <c r="C1" s="915" t="s">
        <v>771</v>
      </c>
      <c r="D1" s="915"/>
      <c r="E1" s="915"/>
      <c r="F1" s="915"/>
      <c r="G1" s="915"/>
    </row>
    <row r="3" spans="1:7" ht="12.75">
      <c r="A3" s="911" t="s">
        <v>767</v>
      </c>
      <c r="B3" s="911"/>
      <c r="C3" s="911"/>
      <c r="D3" s="911"/>
      <c r="E3" s="911"/>
      <c r="F3" s="911"/>
      <c r="G3" s="911"/>
    </row>
    <row r="6" spans="6:7" ht="12.75">
      <c r="F6" s="914" t="s">
        <v>35</v>
      </c>
      <c r="G6" s="914"/>
    </row>
    <row r="7" spans="1:7" ht="12.75">
      <c r="A7" s="916" t="s">
        <v>320</v>
      </c>
      <c r="B7" s="916"/>
      <c r="C7" s="916"/>
      <c r="D7" s="916"/>
      <c r="E7" s="813" t="s">
        <v>323</v>
      </c>
      <c r="F7" s="239" t="s">
        <v>482</v>
      </c>
      <c r="G7" s="239" t="s">
        <v>768</v>
      </c>
    </row>
    <row r="8" spans="1:7" ht="12.75">
      <c r="A8" s="724"/>
      <c r="B8" s="814" t="s">
        <v>349</v>
      </c>
      <c r="C8" s="724"/>
      <c r="D8" s="724"/>
      <c r="E8" s="724"/>
      <c r="F8" s="815"/>
      <c r="G8" s="815"/>
    </row>
    <row r="9" spans="1:7" s="162" customFormat="1" ht="12.75">
      <c r="A9" s="159" t="s">
        <v>350</v>
      </c>
      <c r="B9" s="160" t="s">
        <v>351</v>
      </c>
      <c r="C9" s="161"/>
      <c r="E9" s="816" t="s">
        <v>279</v>
      </c>
      <c r="F9" s="816" t="s">
        <v>280</v>
      </c>
      <c r="G9" s="816" t="s">
        <v>290</v>
      </c>
    </row>
    <row r="10" spans="2:7" ht="12.75">
      <c r="B10" s="817" t="s">
        <v>179</v>
      </c>
      <c r="C10" s="163" t="s">
        <v>121</v>
      </c>
      <c r="E10" s="157">
        <f>SUM('[2]5.mell. (2)'!F11)</f>
        <v>156322</v>
      </c>
      <c r="F10" s="157">
        <f>SUM(E10)*1.03</f>
        <v>161011.66</v>
      </c>
      <c r="G10" s="157">
        <f>SUM(F10)*1.03</f>
        <v>165842.0098</v>
      </c>
    </row>
    <row r="11" spans="2:7" ht="12.75">
      <c r="B11" s="817" t="s">
        <v>176</v>
      </c>
      <c r="C11" s="163" t="s">
        <v>352</v>
      </c>
      <c r="E11" s="157">
        <f>SUM('[2]5.mell. (2)'!F12)</f>
        <v>685000</v>
      </c>
      <c r="F11" s="157">
        <f>SUM(E11)*1.01</f>
        <v>691850</v>
      </c>
      <c r="G11" s="157">
        <f>SUM(F11)*1.01</f>
        <v>698768.5</v>
      </c>
    </row>
    <row r="12" spans="1:7" ht="12.75">
      <c r="A12" s="818" t="s">
        <v>51</v>
      </c>
      <c r="B12" s="164" t="s">
        <v>430</v>
      </c>
      <c r="C12" s="165"/>
      <c r="D12" s="166"/>
      <c r="E12" s="819">
        <f>SUM(E10:E11)</f>
        <v>841322</v>
      </c>
      <c r="F12" s="819">
        <f>SUM(F10:F11)</f>
        <v>852861.66</v>
      </c>
      <c r="G12" s="819">
        <f>SUM(G10:G11)</f>
        <v>864610.5098</v>
      </c>
    </row>
    <row r="13" spans="1:7" ht="12.75">
      <c r="A13" s="818" t="s">
        <v>81</v>
      </c>
      <c r="B13" s="164" t="s">
        <v>82</v>
      </c>
      <c r="C13" s="165"/>
      <c r="D13" s="166"/>
      <c r="E13" s="819">
        <v>420594</v>
      </c>
      <c r="F13" s="819">
        <v>320000</v>
      </c>
      <c r="G13" s="819">
        <v>325000</v>
      </c>
    </row>
    <row r="14" spans="1:7" ht="12.75">
      <c r="A14" s="820" t="s">
        <v>353</v>
      </c>
      <c r="B14" s="167" t="s">
        <v>98</v>
      </c>
      <c r="C14" s="168"/>
      <c r="D14" s="169"/>
      <c r="E14" s="819">
        <f>SUM('[2]5.mell. (2)'!F15)</f>
        <v>87530</v>
      </c>
      <c r="F14" s="819">
        <v>85000</v>
      </c>
      <c r="G14" s="819">
        <v>86000</v>
      </c>
    </row>
    <row r="15" spans="1:7" s="162" customFormat="1" ht="12.75">
      <c r="A15" s="159" t="s">
        <v>104</v>
      </c>
      <c r="B15" s="170" t="s">
        <v>130</v>
      </c>
      <c r="C15" s="171"/>
      <c r="E15" s="821"/>
      <c r="F15" s="726"/>
      <c r="G15" s="726"/>
    </row>
    <row r="16" spans="2:7" ht="12.75">
      <c r="B16" s="817" t="s">
        <v>49</v>
      </c>
      <c r="C16" s="151" t="s">
        <v>106</v>
      </c>
      <c r="E16" s="172">
        <v>11024</v>
      </c>
      <c r="F16" s="157">
        <v>10000</v>
      </c>
      <c r="G16" s="157">
        <v>10000</v>
      </c>
    </row>
    <row r="17" spans="2:7" ht="12.75">
      <c r="B17" s="173" t="s">
        <v>54</v>
      </c>
      <c r="C17" s="152" t="s">
        <v>107</v>
      </c>
      <c r="E17" s="172">
        <v>264409</v>
      </c>
      <c r="F17" s="822">
        <v>358840</v>
      </c>
      <c r="G17" s="822">
        <v>0</v>
      </c>
    </row>
    <row r="18" spans="1:7" ht="12.75">
      <c r="A18" s="818" t="s">
        <v>104</v>
      </c>
      <c r="B18" s="164" t="s">
        <v>431</v>
      </c>
      <c r="C18" s="165"/>
      <c r="D18" s="166"/>
      <c r="E18" s="819">
        <f>SUM(E16:E17)</f>
        <v>275433</v>
      </c>
      <c r="F18" s="819">
        <f>SUM(F16:F17)</f>
        <v>368840</v>
      </c>
      <c r="G18" s="819">
        <f>SUM(G16:G17)</f>
        <v>10000</v>
      </c>
    </row>
    <row r="19" spans="1:5" ht="12.75">
      <c r="A19" s="159" t="s">
        <v>109</v>
      </c>
      <c r="B19" s="170" t="s">
        <v>110</v>
      </c>
      <c r="C19" s="171"/>
      <c r="D19" s="162"/>
      <c r="E19" s="821"/>
    </row>
    <row r="20" spans="2:7" ht="12.75">
      <c r="B20" s="817" t="s">
        <v>49</v>
      </c>
      <c r="C20" s="163" t="s">
        <v>132</v>
      </c>
      <c r="E20" s="172">
        <f>SUM('[2]5.mell. (2)'!F21)</f>
        <v>0</v>
      </c>
      <c r="F20" s="157">
        <v>0</v>
      </c>
      <c r="G20" s="157">
        <v>0</v>
      </c>
    </row>
    <row r="21" spans="1:7" ht="12.75">
      <c r="A21" s="823"/>
      <c r="B21" s="173" t="s">
        <v>54</v>
      </c>
      <c r="C21" s="174" t="s">
        <v>112</v>
      </c>
      <c r="E21" s="172">
        <f>SUM('[2]5.mell. (2)'!F22)</f>
        <v>500</v>
      </c>
      <c r="F21" s="157">
        <v>41000</v>
      </c>
      <c r="G21" s="157">
        <v>41000</v>
      </c>
    </row>
    <row r="22" spans="1:7" ht="12.75">
      <c r="A22" s="818" t="s">
        <v>109</v>
      </c>
      <c r="B22" s="164" t="s">
        <v>113</v>
      </c>
      <c r="C22" s="165"/>
      <c r="D22" s="166"/>
      <c r="E22" s="819">
        <f>SUM(E20:E21)</f>
        <v>500</v>
      </c>
      <c r="F22" s="819">
        <f>SUM(F20:F21)</f>
        <v>41000</v>
      </c>
      <c r="G22" s="819">
        <f>SUM(G20:G21)</f>
        <v>41000</v>
      </c>
    </row>
    <row r="23" spans="1:7" ht="12.75">
      <c r="A23" s="818" t="s">
        <v>114</v>
      </c>
      <c r="B23" s="164" t="s">
        <v>438</v>
      </c>
      <c r="C23" s="165"/>
      <c r="D23" s="166"/>
      <c r="E23" s="819">
        <f>SUM('[2]5.mell. (2)'!F24)</f>
        <v>3100</v>
      </c>
      <c r="F23" s="819">
        <v>3000</v>
      </c>
      <c r="G23" s="819">
        <v>2900</v>
      </c>
    </row>
    <row r="24" spans="1:7" ht="12.75">
      <c r="A24" s="813" t="s">
        <v>87</v>
      </c>
      <c r="B24" s="164" t="s">
        <v>355</v>
      </c>
      <c r="C24" s="165"/>
      <c r="D24" s="824"/>
      <c r="E24" s="819">
        <f>SUM(E12+E13+E14+E18+E22+E23)</f>
        <v>1628479</v>
      </c>
      <c r="F24" s="819">
        <f>SUM(F12+F13+F14+F18+F22+F23)</f>
        <v>1670701.6600000001</v>
      </c>
      <c r="G24" s="819">
        <f>SUM(G12+G13+G14+G18+G22+G23)</f>
        <v>1329510.5098</v>
      </c>
    </row>
    <row r="25" spans="2:5" ht="12.75">
      <c r="B25" s="170"/>
      <c r="C25" s="171"/>
      <c r="E25" s="157"/>
    </row>
    <row r="26" spans="2:5" ht="12.75">
      <c r="B26" s="176" t="s">
        <v>356</v>
      </c>
      <c r="C26" s="171"/>
      <c r="E26" s="157"/>
    </row>
    <row r="27" spans="1:7" s="162" customFormat="1" ht="12.75">
      <c r="A27" s="159" t="s">
        <v>49</v>
      </c>
      <c r="B27" s="170" t="s">
        <v>150</v>
      </c>
      <c r="C27" s="171"/>
      <c r="E27" s="726"/>
      <c r="F27" s="726"/>
      <c r="G27" s="726"/>
    </row>
    <row r="28" spans="2:7" ht="12.75">
      <c r="B28" s="163" t="s">
        <v>84</v>
      </c>
      <c r="C28" s="174" t="s">
        <v>249</v>
      </c>
      <c r="E28" s="157">
        <f>SUM('[2]5.mell. (2)'!F29)</f>
        <v>345173</v>
      </c>
      <c r="F28" s="157">
        <f>SUM(E28)*1.005</f>
        <v>346898.865</v>
      </c>
      <c r="G28" s="157">
        <f>SUM(F28)*1.005</f>
        <v>348633.35932499997</v>
      </c>
    </row>
    <row r="29" spans="2:7" ht="12.75">
      <c r="B29" s="163" t="s">
        <v>88</v>
      </c>
      <c r="C29" s="825" t="s">
        <v>426</v>
      </c>
      <c r="E29" s="157">
        <f>SUM('[2]5.mell. (2)'!F30)</f>
        <v>93125</v>
      </c>
      <c r="F29" s="157">
        <f>SUM(E29)*1.005</f>
        <v>93590.62499999999</v>
      </c>
      <c r="G29" s="157">
        <f>SUM(F29)*1.005</f>
        <v>94058.57812499997</v>
      </c>
    </row>
    <row r="30" spans="2:7" ht="12.75">
      <c r="B30" s="163" t="s">
        <v>152</v>
      </c>
      <c r="C30" s="174" t="s">
        <v>153</v>
      </c>
      <c r="E30" s="157">
        <f>SUM('[2]5.mell. (2)'!F31)</f>
        <v>366927</v>
      </c>
      <c r="F30" s="157">
        <v>358772</v>
      </c>
      <c r="G30" s="157">
        <v>370605</v>
      </c>
    </row>
    <row r="31" spans="2:7" ht="12.75">
      <c r="B31" s="163" t="s">
        <v>162</v>
      </c>
      <c r="C31" s="174" t="s">
        <v>420</v>
      </c>
      <c r="E31" s="157">
        <v>0</v>
      </c>
      <c r="F31" s="157">
        <v>0</v>
      </c>
      <c r="G31" s="157">
        <v>0</v>
      </c>
    </row>
    <row r="32" spans="2:7" ht="12.75">
      <c r="B32" s="163" t="s">
        <v>94</v>
      </c>
      <c r="C32" s="826" t="s">
        <v>154</v>
      </c>
      <c r="E32" s="157">
        <f>SUM('[2]5.mell. (2)'!F33)</f>
        <v>45885</v>
      </c>
      <c r="F32" s="157">
        <f>SUM(E32)*1.005</f>
        <v>46114.424999999996</v>
      </c>
      <c r="G32" s="157">
        <f>SUM(F32)*1.005</f>
        <v>46344.99712499999</v>
      </c>
    </row>
    <row r="33" spans="2:7" ht="12.75">
      <c r="B33" s="163" t="s">
        <v>95</v>
      </c>
      <c r="C33" s="174" t="s">
        <v>357</v>
      </c>
      <c r="E33" s="157">
        <f>SUM('[2]5.mell. (2)'!F34)</f>
        <v>189482</v>
      </c>
      <c r="F33" s="157">
        <f>SUM(E33)*1.005</f>
        <v>190429.40999999997</v>
      </c>
      <c r="G33" s="157">
        <f>SUM(F33)*1.005</f>
        <v>191381.55704999994</v>
      </c>
    </row>
    <row r="34" spans="2:7" ht="12.75">
      <c r="B34" s="163" t="s">
        <v>156</v>
      </c>
      <c r="C34" s="174" t="s">
        <v>157</v>
      </c>
      <c r="E34" s="157">
        <v>76613</v>
      </c>
      <c r="F34" s="157">
        <v>53169</v>
      </c>
      <c r="G34" s="157">
        <v>67373</v>
      </c>
    </row>
    <row r="35" spans="2:7" ht="15.75" customHeight="1">
      <c r="B35" s="163" t="s">
        <v>158</v>
      </c>
      <c r="C35" s="174" t="s">
        <v>159</v>
      </c>
      <c r="E35" s="157">
        <f>SUM('[2]5.mell. (2)'!F36)</f>
        <v>52500</v>
      </c>
      <c r="F35" s="157">
        <v>36000</v>
      </c>
      <c r="G35" s="157">
        <v>36000</v>
      </c>
    </row>
    <row r="36" spans="2:5" ht="15.75" customHeight="1">
      <c r="B36" s="163" t="s">
        <v>160</v>
      </c>
      <c r="C36" s="156" t="s">
        <v>164</v>
      </c>
      <c r="E36" s="157">
        <v>362</v>
      </c>
    </row>
    <row r="37" spans="1:7" ht="12.75">
      <c r="A37" s="818" t="s">
        <v>49</v>
      </c>
      <c r="B37" s="164" t="s">
        <v>163</v>
      </c>
      <c r="C37" s="178"/>
      <c r="D37" s="166"/>
      <c r="E37" s="819">
        <f>SUM(E28:E36)</f>
        <v>1170067</v>
      </c>
      <c r="F37" s="819">
        <f>SUM(F28:F36)</f>
        <v>1124974.325</v>
      </c>
      <c r="G37" s="819">
        <f>SUM(G28:G36)</f>
        <v>1154396.4916249998</v>
      </c>
    </row>
    <row r="38" spans="1:5" ht="12.75">
      <c r="A38" s="159" t="s">
        <v>54</v>
      </c>
      <c r="B38" s="170" t="s">
        <v>166</v>
      </c>
      <c r="C38" s="174"/>
      <c r="E38" s="157"/>
    </row>
    <row r="39" spans="2:7" ht="12.75">
      <c r="B39" s="163" t="s">
        <v>167</v>
      </c>
      <c r="C39" s="174" t="s">
        <v>411</v>
      </c>
      <c r="E39" s="157">
        <v>392050</v>
      </c>
      <c r="F39" s="157">
        <v>414116</v>
      </c>
      <c r="G39" s="157">
        <v>3000</v>
      </c>
    </row>
    <row r="40" spans="2:7" ht="12.75">
      <c r="B40" s="163"/>
      <c r="C40" s="827" t="s">
        <v>769</v>
      </c>
      <c r="E40" s="157">
        <v>308088</v>
      </c>
      <c r="F40" s="157">
        <v>411116</v>
      </c>
      <c r="G40" s="157">
        <v>0</v>
      </c>
    </row>
    <row r="41" spans="2:7" ht="12.75">
      <c r="B41" s="163" t="s">
        <v>56</v>
      </c>
      <c r="C41" s="174" t="s">
        <v>412</v>
      </c>
      <c r="E41" s="157">
        <v>414</v>
      </c>
      <c r="F41" s="157">
        <v>0</v>
      </c>
      <c r="G41" s="157">
        <v>0</v>
      </c>
    </row>
    <row r="42" spans="2:7" ht="12.75">
      <c r="B42" s="163" t="s">
        <v>65</v>
      </c>
      <c r="C42" s="174" t="s">
        <v>358</v>
      </c>
      <c r="E42" s="157">
        <v>158</v>
      </c>
      <c r="F42" s="157">
        <v>0</v>
      </c>
      <c r="G42" s="157">
        <v>0</v>
      </c>
    </row>
    <row r="43" spans="2:7" ht="12.75">
      <c r="B43" s="163" t="s">
        <v>69</v>
      </c>
      <c r="C43" s="174" t="s">
        <v>359</v>
      </c>
      <c r="E43" s="157">
        <v>24</v>
      </c>
      <c r="F43" s="157">
        <v>0</v>
      </c>
      <c r="G43" s="157">
        <v>0</v>
      </c>
    </row>
    <row r="44" spans="2:7" ht="12.75">
      <c r="B44" s="163" t="s">
        <v>171</v>
      </c>
      <c r="C44" s="174" t="s">
        <v>172</v>
      </c>
      <c r="E44" s="157">
        <f>SUM('[3]5.mell. (2)'!F42)</f>
        <v>0</v>
      </c>
      <c r="F44" s="157">
        <v>0</v>
      </c>
      <c r="G44" s="157">
        <v>0</v>
      </c>
    </row>
    <row r="45" spans="2:7" ht="12.75">
      <c r="B45" s="155" t="s">
        <v>173</v>
      </c>
      <c r="C45" s="174" t="s">
        <v>174</v>
      </c>
      <c r="E45" s="157">
        <v>46038</v>
      </c>
      <c r="F45" s="157">
        <v>45000</v>
      </c>
      <c r="G45" s="157">
        <v>50000</v>
      </c>
    </row>
    <row r="46" spans="1:9" ht="12.75">
      <c r="A46" s="818" t="s">
        <v>54</v>
      </c>
      <c r="B46" s="164" t="s">
        <v>360</v>
      </c>
      <c r="C46" s="178"/>
      <c r="D46" s="166"/>
      <c r="E46" s="819">
        <f>E39+E41+E42+E43+E44+E45</f>
        <v>438684</v>
      </c>
      <c r="F46" s="819">
        <f>F39+F41+F42+F43+F44+F45</f>
        <v>459116</v>
      </c>
      <c r="G46" s="819">
        <f>SUM(G39:G45)</f>
        <v>53000</v>
      </c>
      <c r="I46" s="157"/>
    </row>
    <row r="47" spans="1:7" s="162" customFormat="1" ht="12.75">
      <c r="A47" s="818"/>
      <c r="B47" s="164" t="s">
        <v>361</v>
      </c>
      <c r="C47" s="178"/>
      <c r="D47" s="166"/>
      <c r="E47" s="819">
        <f>SUM(E37+E46)</f>
        <v>1608751</v>
      </c>
      <c r="F47" s="819">
        <f>SUM(F37+F46)</f>
        <v>1584090.325</v>
      </c>
      <c r="G47" s="819">
        <f>SUM(G37+G46)</f>
        <v>1207396.4916249998</v>
      </c>
    </row>
    <row r="48" spans="3:5" ht="12.75">
      <c r="C48" s="828"/>
      <c r="E48" s="157"/>
    </row>
    <row r="49" spans="1:7" s="162" customFormat="1" ht="12.75">
      <c r="A49" s="823"/>
      <c r="B49" s="170" t="s">
        <v>770</v>
      </c>
      <c r="C49" s="160"/>
      <c r="D49" s="175"/>
      <c r="E49" s="175"/>
      <c r="F49" s="727"/>
      <c r="G49" s="727"/>
    </row>
    <row r="50" spans="1:7" s="162" customFormat="1" ht="12.75">
      <c r="A50" s="823" t="s">
        <v>137</v>
      </c>
      <c r="B50" s="170" t="s">
        <v>362</v>
      </c>
      <c r="C50" s="160"/>
      <c r="D50" s="175"/>
      <c r="E50" s="175"/>
      <c r="F50" s="726"/>
      <c r="G50" s="726"/>
    </row>
    <row r="51" spans="1:7" ht="12.75">
      <c r="A51" s="724"/>
      <c r="B51" s="163" t="s">
        <v>49</v>
      </c>
      <c r="C51" s="179" t="s">
        <v>139</v>
      </c>
      <c r="D51" s="180"/>
      <c r="E51" s="172">
        <f>SUM('[3]címrendes bevétel'!M160)</f>
        <v>0</v>
      </c>
      <c r="F51" s="157">
        <v>0</v>
      </c>
      <c r="G51" s="157">
        <v>0</v>
      </c>
    </row>
    <row r="52" spans="1:7" ht="12.75">
      <c r="A52" s="829"/>
      <c r="B52" s="181" t="s">
        <v>54</v>
      </c>
      <c r="C52" s="182" t="s">
        <v>140</v>
      </c>
      <c r="D52" s="183"/>
      <c r="E52" s="822">
        <v>16055</v>
      </c>
      <c r="F52" s="822">
        <v>52276</v>
      </c>
      <c r="G52" s="822">
        <v>0</v>
      </c>
    </row>
    <row r="53" spans="1:7" s="162" customFormat="1" ht="12.75">
      <c r="A53" s="823"/>
      <c r="B53" s="170" t="s">
        <v>142</v>
      </c>
      <c r="C53" s="160"/>
      <c r="D53" s="175"/>
      <c r="E53" s="727">
        <f>SUM(E51:E52)</f>
        <v>16055</v>
      </c>
      <c r="F53" s="727">
        <f>SUM(F51:F52)</f>
        <v>52276</v>
      </c>
      <c r="G53" s="727">
        <f>SUM(G51:G52)</f>
        <v>0</v>
      </c>
    </row>
    <row r="54" spans="1:7" ht="12.75">
      <c r="A54" s="818" t="s">
        <v>143</v>
      </c>
      <c r="B54" s="164" t="s">
        <v>144</v>
      </c>
      <c r="C54" s="165"/>
      <c r="D54" s="166"/>
      <c r="E54" s="819">
        <v>172546</v>
      </c>
      <c r="F54" s="819">
        <v>0</v>
      </c>
      <c r="G54" s="819">
        <v>0</v>
      </c>
    </row>
    <row r="55" spans="1:7" s="162" customFormat="1" ht="12.75">
      <c r="A55" s="818"/>
      <c r="B55" s="164" t="s">
        <v>148</v>
      </c>
      <c r="C55" s="184"/>
      <c r="D55" s="166"/>
      <c r="E55" s="819">
        <f>SUM(E53+E54)</f>
        <v>188601</v>
      </c>
      <c r="F55" s="819">
        <f>SUM(F53+F54)</f>
        <v>52276</v>
      </c>
      <c r="G55" s="819">
        <f>SUM(G53+G54)</f>
        <v>0</v>
      </c>
    </row>
    <row r="56" spans="3:5" ht="12.75">
      <c r="C56" s="828"/>
      <c r="E56" s="157"/>
    </row>
    <row r="57" spans="1:7" s="162" customFormat="1" ht="12.75">
      <c r="A57" s="159" t="s">
        <v>101</v>
      </c>
      <c r="B57" s="170" t="s">
        <v>363</v>
      </c>
      <c r="C57" s="160"/>
      <c r="F57" s="726"/>
      <c r="G57" s="726"/>
    </row>
    <row r="58" spans="1:7" ht="12.75">
      <c r="A58" s="724"/>
      <c r="B58" s="177" t="s">
        <v>181</v>
      </c>
      <c r="C58" s="180" t="s">
        <v>364</v>
      </c>
      <c r="D58" s="180"/>
      <c r="E58" s="172">
        <f>SUM('[2]5.mell. (2)'!F58)</f>
        <v>69579</v>
      </c>
      <c r="F58" s="172">
        <v>46388</v>
      </c>
      <c r="G58" s="172">
        <v>27115</v>
      </c>
    </row>
    <row r="59" spans="1:7" ht="12.75">
      <c r="A59" s="829"/>
      <c r="B59" s="185" t="s">
        <v>189</v>
      </c>
      <c r="C59" s="183" t="s">
        <v>186</v>
      </c>
      <c r="D59" s="183"/>
      <c r="E59" s="822">
        <f>SUM('[2]5.mell. (2)'!F59)</f>
        <v>138750</v>
      </c>
      <c r="F59" s="822">
        <v>92500</v>
      </c>
      <c r="G59" s="822">
        <v>95000</v>
      </c>
    </row>
    <row r="60" spans="1:7" s="162" customFormat="1" ht="12.75">
      <c r="A60" s="820"/>
      <c r="B60" s="167" t="s">
        <v>365</v>
      </c>
      <c r="C60" s="169"/>
      <c r="D60" s="169"/>
      <c r="E60" s="837">
        <f>SUM(E58:E59)</f>
        <v>208329</v>
      </c>
      <c r="F60" s="837">
        <f>SUM(F58:F59)</f>
        <v>138888</v>
      </c>
      <c r="G60" s="837">
        <f>SUM(G58:G59)</f>
        <v>122115</v>
      </c>
    </row>
    <row r="61" spans="1:7" s="162" customFormat="1" ht="12.75">
      <c r="A61" s="820"/>
      <c r="B61" s="167"/>
      <c r="C61" s="169"/>
      <c r="D61" s="169"/>
      <c r="E61" s="837"/>
      <c r="F61" s="837"/>
      <c r="G61" s="837"/>
    </row>
    <row r="62" spans="1:7" s="162" customFormat="1" ht="12.75">
      <c r="A62" s="820"/>
      <c r="B62" s="167" t="s">
        <v>149</v>
      </c>
      <c r="C62" s="169"/>
      <c r="D62" s="169"/>
      <c r="E62" s="837">
        <f>SUM(E55+E24)</f>
        <v>1817080</v>
      </c>
      <c r="F62" s="837">
        <f>SUM(F55+F24)</f>
        <v>1722977.6600000001</v>
      </c>
      <c r="G62" s="837">
        <f>SUM(G55+G24)</f>
        <v>1329510.5098</v>
      </c>
    </row>
    <row r="63" spans="1:9" s="162" customFormat="1" ht="12.75">
      <c r="A63" s="818"/>
      <c r="B63" s="164" t="s">
        <v>348</v>
      </c>
      <c r="C63" s="166"/>
      <c r="D63" s="166"/>
      <c r="E63" s="819">
        <f>SUM(E60+E47)</f>
        <v>1817080</v>
      </c>
      <c r="F63" s="819">
        <f>SUM(F60+F47)</f>
        <v>1722978.325</v>
      </c>
      <c r="G63" s="819">
        <f>SUM(G60+G47)</f>
        <v>1329511.4916249998</v>
      </c>
      <c r="H63" s="726"/>
      <c r="I63" s="726"/>
    </row>
    <row r="64" ht="12.75">
      <c r="A64" s="838" t="s">
        <v>772</v>
      </c>
    </row>
  </sheetData>
  <mergeCells count="4">
    <mergeCell ref="F6:G6"/>
    <mergeCell ref="A3:G3"/>
    <mergeCell ref="C1:G1"/>
    <mergeCell ref="A7:D7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/>
  <dimension ref="A1:W38"/>
  <sheetViews>
    <sheetView view="pageBreakPreview" zoomScale="75" zoomScaleNormal="75" zoomScaleSheetLayoutView="75" workbookViewId="0" topLeftCell="A1">
      <selection activeCell="A3" sqref="A3:W3"/>
    </sheetView>
  </sheetViews>
  <sheetFormatPr defaultColWidth="9.00390625" defaultRowHeight="12.75"/>
  <cols>
    <col min="1" max="1" width="8.375" style="186" customWidth="1"/>
    <col min="2" max="2" width="37.25390625" style="186" customWidth="1"/>
    <col min="3" max="3" width="16.375" style="186" customWidth="1"/>
    <col min="4" max="4" width="13.375" style="186" customWidth="1"/>
    <col min="5" max="5" width="13.25390625" style="186" customWidth="1"/>
    <col min="6" max="6" width="12.25390625" style="186" customWidth="1"/>
    <col min="7" max="8" width="11.75390625" style="186" hidden="1" customWidth="1"/>
    <col min="9" max="9" width="16.75390625" style="186" customWidth="1"/>
    <col min="10" max="10" width="9.25390625" style="186" bestFit="1" customWidth="1"/>
    <col min="11" max="11" width="14.00390625" style="186" bestFit="1" customWidth="1"/>
    <col min="12" max="12" width="11.25390625" style="186" bestFit="1" customWidth="1"/>
    <col min="13" max="13" width="21.125" style="186" hidden="1" customWidth="1"/>
    <col min="14" max="14" width="10.75390625" style="186" hidden="1" customWidth="1"/>
    <col min="15" max="15" width="13.625" style="186" hidden="1" customWidth="1"/>
    <col min="16" max="16" width="11.875" style="186" hidden="1" customWidth="1"/>
    <col min="17" max="17" width="9.125" style="186" hidden="1" customWidth="1"/>
    <col min="18" max="19" width="9.125" style="186" customWidth="1"/>
    <col min="20" max="20" width="16.25390625" style="186" customWidth="1"/>
    <col min="21" max="21" width="9.25390625" style="186" customWidth="1"/>
    <col min="22" max="22" width="13.875" style="186" customWidth="1"/>
    <col min="23" max="23" width="11.375" style="186" customWidth="1"/>
    <col min="24" max="16384" width="9.125" style="186" customWidth="1"/>
  </cols>
  <sheetData>
    <row r="1" spans="1:23" ht="17.25" customHeight="1">
      <c r="A1" s="912" t="s">
        <v>4</v>
      </c>
      <c r="B1" s="874"/>
      <c r="C1" s="874"/>
      <c r="D1" s="874"/>
      <c r="E1" s="874"/>
      <c r="F1" s="874"/>
      <c r="G1" s="874"/>
      <c r="H1" s="874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  <c r="V1" s="875"/>
      <c r="W1" s="875"/>
    </row>
    <row r="2" spans="1:23" ht="12.75">
      <c r="A2" s="875"/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</row>
    <row r="3" spans="1:23" ht="15.75">
      <c r="A3" s="921" t="s">
        <v>433</v>
      </c>
      <c r="B3" s="921"/>
      <c r="C3" s="921"/>
      <c r="D3" s="921"/>
      <c r="E3" s="921"/>
      <c r="F3" s="921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</row>
    <row r="4" spans="1:8" ht="15.75">
      <c r="A4" s="946"/>
      <c r="B4" s="946"/>
      <c r="C4" s="946"/>
      <c r="D4" s="946"/>
      <c r="E4" s="946"/>
      <c r="F4" s="946"/>
      <c r="G4" s="451"/>
      <c r="H4" s="451"/>
    </row>
    <row r="5" spans="1:23" ht="25.5" customHeight="1">
      <c r="A5" s="947" t="s">
        <v>190</v>
      </c>
      <c r="B5" s="948"/>
      <c r="C5" s="922" t="s">
        <v>480</v>
      </c>
      <c r="D5" s="949"/>
      <c r="E5" s="949"/>
      <c r="F5" s="920"/>
      <c r="G5" s="917" t="s">
        <v>366</v>
      </c>
      <c r="H5" s="918"/>
      <c r="I5" s="922" t="s">
        <v>529</v>
      </c>
      <c r="J5" s="923"/>
      <c r="K5" s="923"/>
      <c r="L5" s="918"/>
      <c r="M5" s="922" t="s">
        <v>650</v>
      </c>
      <c r="N5" s="923"/>
      <c r="O5" s="923"/>
      <c r="P5" s="918"/>
      <c r="Q5" s="309" t="s">
        <v>192</v>
      </c>
      <c r="R5" s="917" t="s">
        <v>366</v>
      </c>
      <c r="S5" s="918"/>
      <c r="T5" s="922" t="s">
        <v>675</v>
      </c>
      <c r="U5" s="923"/>
      <c r="V5" s="923"/>
      <c r="W5" s="918"/>
    </row>
    <row r="6" spans="1:23" s="156" customFormat="1" ht="15">
      <c r="A6" s="473"/>
      <c r="B6" s="237" t="s">
        <v>320</v>
      </c>
      <c r="C6" s="928" t="s">
        <v>321</v>
      </c>
      <c r="D6" s="925"/>
      <c r="E6" s="925"/>
      <c r="F6" s="926"/>
      <c r="G6" s="919" t="s">
        <v>322</v>
      </c>
      <c r="H6" s="920"/>
      <c r="I6" s="924" t="s">
        <v>322</v>
      </c>
      <c r="J6" s="925"/>
      <c r="K6" s="925"/>
      <c r="L6" s="926"/>
      <c r="M6" s="927" t="s">
        <v>323</v>
      </c>
      <c r="N6" s="925"/>
      <c r="O6" s="925"/>
      <c r="P6" s="926"/>
      <c r="Q6" s="518" t="s">
        <v>482</v>
      </c>
      <c r="R6" s="919" t="s">
        <v>322</v>
      </c>
      <c r="S6" s="920"/>
      <c r="T6" s="924" t="s">
        <v>323</v>
      </c>
      <c r="U6" s="925"/>
      <c r="V6" s="925"/>
      <c r="W6" s="926"/>
    </row>
    <row r="7" spans="1:23" s="162" customFormat="1" ht="15" customHeight="1">
      <c r="A7" s="931"/>
      <c r="B7" s="932"/>
      <c r="C7" s="943" t="s">
        <v>460</v>
      </c>
      <c r="D7" s="944" t="s">
        <v>461</v>
      </c>
      <c r="E7" s="945"/>
      <c r="F7" s="929" t="s">
        <v>122</v>
      </c>
      <c r="G7" s="455"/>
      <c r="H7" s="456"/>
      <c r="I7" s="907" t="s">
        <v>460</v>
      </c>
      <c r="J7" s="925"/>
      <c r="K7" s="926"/>
      <c r="L7" s="929" t="s">
        <v>122</v>
      </c>
      <c r="M7" s="907" t="s">
        <v>460</v>
      </c>
      <c r="N7" s="925"/>
      <c r="O7" s="926"/>
      <c r="P7" s="929" t="s">
        <v>122</v>
      </c>
      <c r="Q7" s="262"/>
      <c r="R7" s="455"/>
      <c r="S7" s="456"/>
      <c r="T7" s="907" t="s">
        <v>460</v>
      </c>
      <c r="U7" s="925"/>
      <c r="V7" s="926"/>
      <c r="W7" s="929" t="s">
        <v>122</v>
      </c>
    </row>
    <row r="8" spans="1:23" s="162" customFormat="1" ht="18.75" customHeight="1">
      <c r="A8" s="933"/>
      <c r="B8" s="934"/>
      <c r="C8" s="943"/>
      <c r="D8" s="194" t="s">
        <v>454</v>
      </c>
      <c r="E8" s="259" t="s">
        <v>453</v>
      </c>
      <c r="F8" s="930"/>
      <c r="G8" s="460"/>
      <c r="H8" s="461"/>
      <c r="I8" s="907"/>
      <c r="J8" s="194" t="s">
        <v>454</v>
      </c>
      <c r="K8" s="259" t="s">
        <v>453</v>
      </c>
      <c r="L8" s="930"/>
      <c r="M8" s="907"/>
      <c r="N8" s="194" t="s">
        <v>454</v>
      </c>
      <c r="O8" s="259" t="s">
        <v>453</v>
      </c>
      <c r="P8" s="930"/>
      <c r="Q8" s="314"/>
      <c r="R8" s="460"/>
      <c r="S8" s="461"/>
      <c r="T8" s="907"/>
      <c r="U8" s="194" t="s">
        <v>454</v>
      </c>
      <c r="V8" s="259" t="s">
        <v>453</v>
      </c>
      <c r="W8" s="930"/>
    </row>
    <row r="9" spans="1:23" ht="18.75" customHeight="1">
      <c r="A9" s="940" t="s">
        <v>50</v>
      </c>
      <c r="B9" s="941"/>
      <c r="C9" s="941"/>
      <c r="D9" s="941"/>
      <c r="E9" s="942"/>
      <c r="F9" s="290">
        <f>SUM(D10:D17)</f>
        <v>41</v>
      </c>
      <c r="G9" s="462"/>
      <c r="H9" s="463">
        <v>0</v>
      </c>
      <c r="I9" s="446"/>
      <c r="J9" s="446"/>
      <c r="K9" s="447"/>
      <c r="L9" s="290">
        <f>SUM(J10:J17)</f>
        <v>161</v>
      </c>
      <c r="M9" s="652"/>
      <c r="N9" s="653"/>
      <c r="O9" s="654"/>
      <c r="P9" s="194">
        <v>251</v>
      </c>
      <c r="Q9" s="653">
        <v>156</v>
      </c>
      <c r="R9" s="462"/>
      <c r="S9" s="463">
        <v>168</v>
      </c>
      <c r="T9" s="446"/>
      <c r="U9" s="446"/>
      <c r="V9" s="447"/>
      <c r="W9" s="290">
        <f>SUM(U10:U17)</f>
        <v>329</v>
      </c>
    </row>
    <row r="10" spans="1:23" ht="18.75" customHeight="1">
      <c r="A10" s="305"/>
      <c r="B10" s="306" t="s">
        <v>370</v>
      </c>
      <c r="C10" s="278"/>
      <c r="D10" s="285">
        <v>1</v>
      </c>
      <c r="E10" s="289"/>
      <c r="F10" s="307"/>
      <c r="G10" s="454">
        <v>0</v>
      </c>
      <c r="H10" s="457"/>
      <c r="I10" s="452"/>
      <c r="J10" s="528">
        <v>1</v>
      </c>
      <c r="K10" s="536"/>
      <c r="L10" s="307"/>
      <c r="N10" s="651">
        <v>1</v>
      </c>
      <c r="P10" s="649"/>
      <c r="Q10" s="651"/>
      <c r="R10" s="454">
        <v>0</v>
      </c>
      <c r="S10" s="457"/>
      <c r="T10" s="452"/>
      <c r="U10" s="528">
        <v>1</v>
      </c>
      <c r="V10" s="536"/>
      <c r="W10" s="307"/>
    </row>
    <row r="11" spans="1:23" ht="18.75" customHeight="1">
      <c r="A11" s="294"/>
      <c r="B11" s="187" t="s">
        <v>414</v>
      </c>
      <c r="C11" s="279"/>
      <c r="D11" s="280">
        <v>1</v>
      </c>
      <c r="E11" s="286"/>
      <c r="F11" s="291"/>
      <c r="G11" s="454">
        <v>0</v>
      </c>
      <c r="H11" s="457"/>
      <c r="I11" s="192"/>
      <c r="J11" s="348">
        <v>1</v>
      </c>
      <c r="K11" s="535"/>
      <c r="L11" s="291"/>
      <c r="N11" s="651">
        <v>1</v>
      </c>
      <c r="P11" s="649"/>
      <c r="Q11" s="651"/>
      <c r="R11" s="454">
        <v>0</v>
      </c>
      <c r="S11" s="457"/>
      <c r="T11" s="192"/>
      <c r="U11" s="348">
        <v>1</v>
      </c>
      <c r="V11" s="535"/>
      <c r="W11" s="291"/>
    </row>
    <row r="12" spans="1:23" ht="18.75" customHeight="1">
      <c r="A12" s="294"/>
      <c r="B12" s="190" t="s">
        <v>368</v>
      </c>
      <c r="C12" s="279"/>
      <c r="D12" s="282">
        <v>13</v>
      </c>
      <c r="E12" s="286"/>
      <c r="F12" s="291"/>
      <c r="G12" s="454">
        <v>0</v>
      </c>
      <c r="H12" s="457"/>
      <c r="I12" s="192"/>
      <c r="J12" s="348">
        <v>13</v>
      </c>
      <c r="K12" s="535"/>
      <c r="L12" s="291"/>
      <c r="N12" s="651">
        <v>13</v>
      </c>
      <c r="P12" s="649"/>
      <c r="Q12" s="651"/>
      <c r="R12" s="454">
        <v>0</v>
      </c>
      <c r="S12" s="457"/>
      <c r="T12" s="192"/>
      <c r="U12" s="348">
        <v>13</v>
      </c>
      <c r="V12" s="535"/>
      <c r="W12" s="291"/>
    </row>
    <row r="13" spans="1:23" ht="18.75" customHeight="1">
      <c r="A13" s="294"/>
      <c r="B13" s="190" t="s">
        <v>369</v>
      </c>
      <c r="C13" s="279"/>
      <c r="D13" s="282">
        <v>10</v>
      </c>
      <c r="E13" s="286"/>
      <c r="F13" s="291"/>
      <c r="G13" s="454">
        <v>0</v>
      </c>
      <c r="H13" s="457"/>
      <c r="I13" s="192"/>
      <c r="J13" s="348">
        <v>10</v>
      </c>
      <c r="K13" s="535"/>
      <c r="L13" s="291"/>
      <c r="N13" s="651">
        <v>10</v>
      </c>
      <c r="P13" s="649"/>
      <c r="Q13" s="651"/>
      <c r="R13" s="454">
        <v>0</v>
      </c>
      <c r="S13" s="457"/>
      <c r="T13" s="192"/>
      <c r="U13" s="348">
        <v>10</v>
      </c>
      <c r="V13" s="535"/>
      <c r="W13" s="291"/>
    </row>
    <row r="14" spans="1:23" ht="18.75" customHeight="1">
      <c r="A14" s="294"/>
      <c r="B14" s="190" t="s">
        <v>457</v>
      </c>
      <c r="C14" s="279"/>
      <c r="D14" s="282">
        <v>1</v>
      </c>
      <c r="E14" s="286"/>
      <c r="F14" s="291"/>
      <c r="G14" s="454">
        <v>0</v>
      </c>
      <c r="H14" s="457"/>
      <c r="I14" s="192"/>
      <c r="J14" s="348">
        <v>1</v>
      </c>
      <c r="K14" s="535"/>
      <c r="L14" s="291"/>
      <c r="N14" s="651">
        <v>1</v>
      </c>
      <c r="P14" s="649"/>
      <c r="Q14" s="651"/>
      <c r="R14" s="454">
        <v>0</v>
      </c>
      <c r="S14" s="457"/>
      <c r="T14" s="192"/>
      <c r="U14" s="348">
        <v>1</v>
      </c>
      <c r="V14" s="535"/>
      <c r="W14" s="291"/>
    </row>
    <row r="15" spans="1:23" ht="15.75">
      <c r="A15" s="295"/>
      <c r="B15" s="187" t="s">
        <v>367</v>
      </c>
      <c r="C15" s="279"/>
      <c r="D15" s="280">
        <v>3</v>
      </c>
      <c r="E15" s="286"/>
      <c r="F15" s="291"/>
      <c r="G15" s="454">
        <v>0</v>
      </c>
      <c r="H15" s="457"/>
      <c r="I15" s="192"/>
      <c r="J15" s="348">
        <v>3</v>
      </c>
      <c r="K15" s="535"/>
      <c r="L15" s="291"/>
      <c r="N15" s="651">
        <v>3</v>
      </c>
      <c r="P15" s="649"/>
      <c r="Q15" s="651"/>
      <c r="R15" s="454">
        <v>0</v>
      </c>
      <c r="S15" s="457"/>
      <c r="T15" s="192"/>
      <c r="U15" s="348">
        <v>3</v>
      </c>
      <c r="V15" s="535"/>
      <c r="W15" s="291"/>
    </row>
    <row r="16" spans="1:23" ht="15.75">
      <c r="A16" s="295"/>
      <c r="B16" s="187" t="s">
        <v>413</v>
      </c>
      <c r="C16" s="279"/>
      <c r="D16" s="280">
        <v>12</v>
      </c>
      <c r="E16" s="286"/>
      <c r="F16" s="291"/>
      <c r="G16" s="454">
        <v>0</v>
      </c>
      <c r="H16" s="457"/>
      <c r="I16" s="192"/>
      <c r="J16" s="348">
        <v>0</v>
      </c>
      <c r="K16" s="535"/>
      <c r="L16" s="291"/>
      <c r="N16" s="651">
        <v>6</v>
      </c>
      <c r="P16" s="649"/>
      <c r="Q16" s="651"/>
      <c r="R16" s="454">
        <v>0</v>
      </c>
      <c r="S16" s="457"/>
      <c r="T16" s="192"/>
      <c r="U16" s="348">
        <v>0</v>
      </c>
      <c r="V16" s="535"/>
      <c r="W16" s="291"/>
    </row>
    <row r="17" spans="1:23" ht="15.75">
      <c r="A17" s="295"/>
      <c r="B17" s="187" t="s">
        <v>416</v>
      </c>
      <c r="C17" s="279"/>
      <c r="D17" s="280">
        <v>0</v>
      </c>
      <c r="E17" s="286"/>
      <c r="F17" s="291"/>
      <c r="G17" s="454">
        <v>0</v>
      </c>
      <c r="H17" s="457"/>
      <c r="I17" s="192"/>
      <c r="J17" s="348">
        <v>132</v>
      </c>
      <c r="K17" s="535"/>
      <c r="L17" s="291"/>
      <c r="N17" s="651">
        <v>216</v>
      </c>
      <c r="P17" s="649"/>
      <c r="Q17" s="651"/>
      <c r="R17" s="454">
        <v>168</v>
      </c>
      <c r="S17" s="457"/>
      <c r="T17" s="192"/>
      <c r="U17" s="348">
        <v>300</v>
      </c>
      <c r="V17" s="535"/>
      <c r="W17" s="291"/>
    </row>
    <row r="18" spans="1:23" ht="15">
      <c r="A18" s="296"/>
      <c r="B18" s="297"/>
      <c r="C18" s="298"/>
      <c r="D18" s="299"/>
      <c r="E18" s="299"/>
      <c r="F18" s="300"/>
      <c r="G18" s="465"/>
      <c r="H18" s="466"/>
      <c r="I18" s="453"/>
      <c r="J18" s="538"/>
      <c r="K18" s="537"/>
      <c r="L18" s="300"/>
      <c r="N18" s="651"/>
      <c r="P18" s="649"/>
      <c r="Q18" s="651"/>
      <c r="R18" s="465"/>
      <c r="S18" s="466"/>
      <c r="T18" s="453"/>
      <c r="U18" s="538"/>
      <c r="V18" s="537"/>
      <c r="W18" s="300"/>
    </row>
    <row r="19" spans="1:23" ht="15.75">
      <c r="A19" s="937" t="s">
        <v>146</v>
      </c>
      <c r="B19" s="938"/>
      <c r="C19" s="938"/>
      <c r="D19" s="938"/>
      <c r="E19" s="939"/>
      <c r="F19" s="293">
        <f>SUM(C20+C21+C22+C23+D20+D21+D22+D23+E20+E21+E22+E23)</f>
        <v>65</v>
      </c>
      <c r="G19" s="467"/>
      <c r="H19" s="468">
        <v>0</v>
      </c>
      <c r="I19" s="444"/>
      <c r="J19" s="539"/>
      <c r="K19" s="445"/>
      <c r="L19" s="293">
        <f>SUM(I20+I21+I22+I23+J20+J21+J22+J23+K20+K21+K22+K23)</f>
        <v>65</v>
      </c>
      <c r="M19" s="652"/>
      <c r="N19" s="653"/>
      <c r="O19" s="654"/>
      <c r="P19" s="194">
        <v>59</v>
      </c>
      <c r="Q19" s="653">
        <v>91</v>
      </c>
      <c r="R19" s="467"/>
      <c r="S19" s="468">
        <v>6.5</v>
      </c>
      <c r="T19" s="444"/>
      <c r="U19" s="539"/>
      <c r="V19" s="445"/>
      <c r="W19" s="293">
        <f>SUM(T20+T21+T22+T23+U20+U21+U22+U23+V20+V21+V22+V23)</f>
        <v>71.5</v>
      </c>
    </row>
    <row r="20" spans="1:23" ht="15">
      <c r="A20" s="282"/>
      <c r="B20" s="190" t="s">
        <v>371</v>
      </c>
      <c r="C20" s="282">
        <v>13</v>
      </c>
      <c r="D20" s="288">
        <v>35</v>
      </c>
      <c r="E20" s="288"/>
      <c r="F20" s="292"/>
      <c r="G20" s="464">
        <v>0</v>
      </c>
      <c r="H20" s="458"/>
      <c r="I20" s="190">
        <v>13</v>
      </c>
      <c r="J20" s="288">
        <v>35</v>
      </c>
      <c r="K20" s="288"/>
      <c r="L20" s="292"/>
      <c r="M20" s="186">
        <v>13</v>
      </c>
      <c r="N20" s="651">
        <v>32</v>
      </c>
      <c r="P20" s="649"/>
      <c r="Q20" s="651"/>
      <c r="R20" s="464">
        <v>5.5</v>
      </c>
      <c r="S20" s="458"/>
      <c r="T20" s="190">
        <v>13</v>
      </c>
      <c r="U20" s="288">
        <v>40.5</v>
      </c>
      <c r="V20" s="288"/>
      <c r="W20" s="292"/>
    </row>
    <row r="21" spans="1:23" ht="15">
      <c r="A21" s="282"/>
      <c r="B21" s="190" t="s">
        <v>372</v>
      </c>
      <c r="C21" s="282">
        <v>1</v>
      </c>
      <c r="D21" s="288">
        <v>2</v>
      </c>
      <c r="E21" s="288"/>
      <c r="F21" s="292"/>
      <c r="G21" s="464">
        <v>0</v>
      </c>
      <c r="H21" s="458"/>
      <c r="I21" s="190">
        <v>1</v>
      </c>
      <c r="J21" s="288">
        <v>2</v>
      </c>
      <c r="K21" s="288"/>
      <c r="L21" s="292"/>
      <c r="M21" s="186">
        <v>1</v>
      </c>
      <c r="N21" s="651">
        <v>2</v>
      </c>
      <c r="P21" s="649"/>
      <c r="Q21" s="651"/>
      <c r="R21" s="464">
        <v>1</v>
      </c>
      <c r="S21" s="458"/>
      <c r="T21" s="190">
        <v>1</v>
      </c>
      <c r="U21" s="288">
        <v>3</v>
      </c>
      <c r="V21" s="288"/>
      <c r="W21" s="292"/>
    </row>
    <row r="22" spans="1:23" ht="15">
      <c r="A22" s="282"/>
      <c r="B22" s="190" t="s">
        <v>373</v>
      </c>
      <c r="C22" s="282"/>
      <c r="D22" s="288">
        <v>9</v>
      </c>
      <c r="E22" s="288"/>
      <c r="F22" s="292"/>
      <c r="G22" s="464">
        <v>0</v>
      </c>
      <c r="H22" s="458"/>
      <c r="I22" s="190"/>
      <c r="J22" s="288">
        <v>9</v>
      </c>
      <c r="K22" s="288"/>
      <c r="L22" s="292"/>
      <c r="N22" s="651">
        <v>9</v>
      </c>
      <c r="P22" s="649"/>
      <c r="Q22" s="651"/>
      <c r="R22" s="464">
        <v>0</v>
      </c>
      <c r="S22" s="458"/>
      <c r="T22" s="190"/>
      <c r="U22" s="288">
        <v>9</v>
      </c>
      <c r="V22" s="288"/>
      <c r="W22" s="292"/>
    </row>
    <row r="23" spans="1:23" ht="15">
      <c r="A23" s="282"/>
      <c r="B23" s="190" t="s">
        <v>374</v>
      </c>
      <c r="C23" s="282"/>
      <c r="D23" s="288"/>
      <c r="E23" s="288">
        <v>5</v>
      </c>
      <c r="F23" s="292"/>
      <c r="G23" s="464">
        <v>0</v>
      </c>
      <c r="H23" s="458"/>
      <c r="I23" s="190"/>
      <c r="J23" s="288"/>
      <c r="K23" s="288">
        <v>5</v>
      </c>
      <c r="L23" s="292"/>
      <c r="N23" s="651"/>
      <c r="O23" s="186">
        <v>2</v>
      </c>
      <c r="P23" s="649"/>
      <c r="Q23" s="651"/>
      <c r="R23" s="464">
        <v>0</v>
      </c>
      <c r="S23" s="458"/>
      <c r="T23" s="190"/>
      <c r="U23" s="288"/>
      <c r="V23" s="288">
        <v>5</v>
      </c>
      <c r="W23" s="292"/>
    </row>
    <row r="24" spans="1:23" ht="15">
      <c r="A24" s="301"/>
      <c r="B24" s="191"/>
      <c r="C24" s="301"/>
      <c r="D24" s="287"/>
      <c r="E24" s="287"/>
      <c r="F24" s="302"/>
      <c r="G24" s="469"/>
      <c r="H24" s="470"/>
      <c r="I24" s="191"/>
      <c r="J24" s="287"/>
      <c r="K24" s="287"/>
      <c r="L24" s="302"/>
      <c r="N24" s="651"/>
      <c r="P24" s="649"/>
      <c r="Q24" s="651"/>
      <c r="R24" s="469"/>
      <c r="S24" s="470"/>
      <c r="T24" s="191"/>
      <c r="U24" s="287"/>
      <c r="V24" s="287"/>
      <c r="W24" s="302"/>
    </row>
    <row r="25" spans="1:23" ht="15.75">
      <c r="A25" s="937" t="s">
        <v>407</v>
      </c>
      <c r="B25" s="938"/>
      <c r="C25" s="938"/>
      <c r="D25" s="938"/>
      <c r="E25" s="939"/>
      <c r="F25" s="303">
        <f>SUM(D26:D28)</f>
        <v>26</v>
      </c>
      <c r="G25" s="471"/>
      <c r="H25" s="472">
        <v>0</v>
      </c>
      <c r="I25" s="444"/>
      <c r="J25" s="444"/>
      <c r="K25" s="445"/>
      <c r="L25" s="303">
        <f>SUM(J26:J28)</f>
        <v>26</v>
      </c>
      <c r="M25" s="652"/>
      <c r="N25" s="653"/>
      <c r="O25" s="654"/>
      <c r="P25" s="194">
        <v>26</v>
      </c>
      <c r="Q25" s="653">
        <v>100</v>
      </c>
      <c r="R25" s="471"/>
      <c r="S25" s="472">
        <v>-1</v>
      </c>
      <c r="T25" s="444"/>
      <c r="U25" s="444"/>
      <c r="V25" s="445"/>
      <c r="W25" s="303">
        <f>SUM(U26:U28)</f>
        <v>25</v>
      </c>
    </row>
    <row r="26" spans="1:23" ht="15">
      <c r="A26" s="282"/>
      <c r="B26" s="304" t="s">
        <v>415</v>
      </c>
      <c r="C26" s="283"/>
      <c r="D26" s="288">
        <v>15</v>
      </c>
      <c r="E26" s="279"/>
      <c r="F26" s="292"/>
      <c r="G26" s="464">
        <v>0</v>
      </c>
      <c r="H26" s="458"/>
      <c r="I26" s="304"/>
      <c r="J26" s="540">
        <v>15</v>
      </c>
      <c r="K26" s="279"/>
      <c r="L26" s="292"/>
      <c r="N26" s="651">
        <v>15</v>
      </c>
      <c r="P26" s="649"/>
      <c r="Q26" s="651"/>
      <c r="R26" s="464">
        <v>-2</v>
      </c>
      <c r="S26" s="458"/>
      <c r="T26" s="304"/>
      <c r="U26" s="540">
        <v>13</v>
      </c>
      <c r="V26" s="279"/>
      <c r="W26" s="292"/>
    </row>
    <row r="27" spans="1:23" ht="15">
      <c r="A27" s="282"/>
      <c r="B27" s="304" t="s">
        <v>452</v>
      </c>
      <c r="C27" s="283"/>
      <c r="D27" s="288">
        <v>8</v>
      </c>
      <c r="E27" s="279"/>
      <c r="F27" s="292"/>
      <c r="G27" s="464">
        <v>0</v>
      </c>
      <c r="H27" s="458"/>
      <c r="I27" s="304"/>
      <c r="J27" s="540">
        <v>8</v>
      </c>
      <c r="K27" s="279"/>
      <c r="L27" s="292"/>
      <c r="N27" s="651">
        <v>8</v>
      </c>
      <c r="P27" s="649"/>
      <c r="Q27" s="651"/>
      <c r="R27" s="464">
        <v>1</v>
      </c>
      <c r="S27" s="458"/>
      <c r="T27" s="304"/>
      <c r="U27" s="540">
        <v>9</v>
      </c>
      <c r="V27" s="279"/>
      <c r="W27" s="292"/>
    </row>
    <row r="28" spans="1:23" ht="15">
      <c r="A28" s="282"/>
      <c r="B28" s="304" t="s">
        <v>375</v>
      </c>
      <c r="C28" s="283"/>
      <c r="D28" s="288">
        <v>3</v>
      </c>
      <c r="E28" s="279"/>
      <c r="F28" s="292"/>
      <c r="G28" s="464">
        <v>0</v>
      </c>
      <c r="H28" s="458"/>
      <c r="I28" s="304"/>
      <c r="J28" s="540">
        <v>3</v>
      </c>
      <c r="K28" s="279"/>
      <c r="L28" s="292"/>
      <c r="N28" s="651">
        <v>3</v>
      </c>
      <c r="P28" s="649"/>
      <c r="Q28" s="651"/>
      <c r="R28" s="464">
        <v>0</v>
      </c>
      <c r="S28" s="458"/>
      <c r="T28" s="304"/>
      <c r="U28" s="540">
        <v>3</v>
      </c>
      <c r="V28" s="279"/>
      <c r="W28" s="292"/>
    </row>
    <row r="29" spans="1:23" ht="15">
      <c r="A29" s="282"/>
      <c r="B29" s="304"/>
      <c r="C29" s="283"/>
      <c r="D29" s="279"/>
      <c r="E29" s="279"/>
      <c r="F29" s="292"/>
      <c r="G29" s="464"/>
      <c r="H29" s="458"/>
      <c r="I29" s="304"/>
      <c r="J29" s="279"/>
      <c r="K29" s="279"/>
      <c r="L29" s="292"/>
      <c r="N29" s="651"/>
      <c r="P29" s="649"/>
      <c r="Q29" s="651"/>
      <c r="R29" s="464"/>
      <c r="S29" s="458"/>
      <c r="T29" s="304"/>
      <c r="U29" s="279"/>
      <c r="V29" s="279"/>
      <c r="W29" s="292"/>
    </row>
    <row r="30" spans="1:23" ht="15">
      <c r="A30" s="301"/>
      <c r="B30" s="188"/>
      <c r="C30" s="281"/>
      <c r="D30" s="287"/>
      <c r="E30" s="287"/>
      <c r="F30" s="302"/>
      <c r="G30" s="469"/>
      <c r="H30" s="470"/>
      <c r="I30" s="188"/>
      <c r="J30" s="287"/>
      <c r="K30" s="287"/>
      <c r="L30" s="302"/>
      <c r="N30" s="651"/>
      <c r="P30" s="649"/>
      <c r="Q30" s="651"/>
      <c r="R30" s="469"/>
      <c r="S30" s="470"/>
      <c r="T30" s="188"/>
      <c r="U30" s="287"/>
      <c r="V30" s="287"/>
      <c r="W30" s="302"/>
    </row>
    <row r="31" spans="1:23" ht="15.75">
      <c r="A31" s="937" t="s">
        <v>408</v>
      </c>
      <c r="B31" s="938"/>
      <c r="C31" s="938"/>
      <c r="D31" s="938"/>
      <c r="E31" s="939"/>
      <c r="F31" s="303">
        <f>SUM(C32+C33+C34+D32+D33+D34+E32+E33+E34)</f>
        <v>17.5</v>
      </c>
      <c r="G31" s="471"/>
      <c r="H31" s="472">
        <v>0</v>
      </c>
      <c r="I31" s="444"/>
      <c r="J31" s="444"/>
      <c r="K31" s="445"/>
      <c r="L31" s="303">
        <f>SUM(I32+I33+I34+J32+J33+J34+K32+K33+K34)+K35</f>
        <v>18.5</v>
      </c>
      <c r="M31" s="652"/>
      <c r="N31" s="653"/>
      <c r="O31" s="654"/>
      <c r="P31" s="194">
        <v>17</v>
      </c>
      <c r="Q31" s="653">
        <v>92</v>
      </c>
      <c r="R31" s="471"/>
      <c r="S31" s="472">
        <v>1.5</v>
      </c>
      <c r="T31" s="444"/>
      <c r="U31" s="444"/>
      <c r="V31" s="445"/>
      <c r="W31" s="303">
        <f>SUM(T32+T33+T34+U32+U33+U34+V32+V33+V34)+V35</f>
        <v>20</v>
      </c>
    </row>
    <row r="32" spans="1:23" ht="15">
      <c r="A32" s="282"/>
      <c r="B32" s="304" t="s">
        <v>458</v>
      </c>
      <c r="C32" s="283"/>
      <c r="D32" s="288">
        <v>0</v>
      </c>
      <c r="E32" s="288">
        <v>6</v>
      </c>
      <c r="F32" s="292"/>
      <c r="G32" s="464">
        <v>0</v>
      </c>
      <c r="H32" s="458"/>
      <c r="I32" s="304"/>
      <c r="J32" s="288">
        <v>0</v>
      </c>
      <c r="K32" s="288">
        <v>6</v>
      </c>
      <c r="L32" s="292"/>
      <c r="N32" s="651"/>
      <c r="O32" s="186">
        <v>6</v>
      </c>
      <c r="P32" s="649"/>
      <c r="Q32" s="651"/>
      <c r="R32" s="464">
        <v>1</v>
      </c>
      <c r="S32" s="458"/>
      <c r="T32" s="304"/>
      <c r="U32" s="288">
        <v>0</v>
      </c>
      <c r="V32" s="288">
        <v>7</v>
      </c>
      <c r="W32" s="292"/>
    </row>
    <row r="33" spans="1:23" ht="15">
      <c r="A33" s="282"/>
      <c r="B33" s="304" t="s">
        <v>459</v>
      </c>
      <c r="C33" s="283"/>
      <c r="D33" s="288">
        <v>7</v>
      </c>
      <c r="E33" s="288">
        <v>0</v>
      </c>
      <c r="F33" s="292"/>
      <c r="G33" s="464">
        <v>0</v>
      </c>
      <c r="H33" s="458"/>
      <c r="I33" s="304"/>
      <c r="J33" s="288">
        <v>7</v>
      </c>
      <c r="K33" s="288">
        <v>0</v>
      </c>
      <c r="L33" s="292"/>
      <c r="N33" s="651">
        <v>7</v>
      </c>
      <c r="P33" s="649"/>
      <c r="Q33" s="651"/>
      <c r="R33" s="464">
        <v>0</v>
      </c>
      <c r="S33" s="458"/>
      <c r="T33" s="304"/>
      <c r="U33" s="288">
        <v>7</v>
      </c>
      <c r="V33" s="288">
        <v>0</v>
      </c>
      <c r="W33" s="292"/>
    </row>
    <row r="34" spans="1:23" ht="15">
      <c r="A34" s="282"/>
      <c r="B34" s="304" t="s">
        <v>375</v>
      </c>
      <c r="C34" s="283"/>
      <c r="D34" s="288">
        <v>1</v>
      </c>
      <c r="E34" s="288">
        <v>3.5</v>
      </c>
      <c r="F34" s="292"/>
      <c r="G34" s="464">
        <v>0</v>
      </c>
      <c r="H34" s="458"/>
      <c r="I34" s="304"/>
      <c r="J34" s="288">
        <v>1</v>
      </c>
      <c r="K34" s="288">
        <v>3.5</v>
      </c>
      <c r="L34" s="292"/>
      <c r="N34" s="651">
        <v>1</v>
      </c>
      <c r="O34" s="186">
        <v>2</v>
      </c>
      <c r="P34" s="649"/>
      <c r="Q34" s="651"/>
      <c r="R34" s="464">
        <v>0.5</v>
      </c>
      <c r="S34" s="458"/>
      <c r="T34" s="304"/>
      <c r="U34" s="288">
        <v>1</v>
      </c>
      <c r="V34" s="288">
        <v>4</v>
      </c>
      <c r="W34" s="292"/>
    </row>
    <row r="35" spans="1:23" ht="15">
      <c r="A35" s="301"/>
      <c r="B35" s="187" t="s">
        <v>416</v>
      </c>
      <c r="C35" s="301"/>
      <c r="D35" s="287"/>
      <c r="E35" s="287"/>
      <c r="F35" s="302"/>
      <c r="G35" s="464"/>
      <c r="H35" s="458"/>
      <c r="I35" s="191"/>
      <c r="J35" s="287"/>
      <c r="K35" s="287">
        <v>1</v>
      </c>
      <c r="L35" s="302"/>
      <c r="N35" s="651"/>
      <c r="O35" s="186">
        <v>1</v>
      </c>
      <c r="P35" s="649"/>
      <c r="Q35" s="651"/>
      <c r="R35" s="464"/>
      <c r="S35" s="458"/>
      <c r="T35" s="191"/>
      <c r="U35" s="287"/>
      <c r="V35" s="287">
        <v>1</v>
      </c>
      <c r="W35" s="302"/>
    </row>
    <row r="36" spans="1:23" ht="15.75">
      <c r="A36" s="935" t="s">
        <v>376</v>
      </c>
      <c r="B36" s="936"/>
      <c r="C36" s="284">
        <f>SUM(C10:C34)</f>
        <v>14</v>
      </c>
      <c r="D36" s="284">
        <f>SUM(D10:D34)</f>
        <v>121</v>
      </c>
      <c r="E36" s="284">
        <f>SUM(E10:E34)</f>
        <v>14.5</v>
      </c>
      <c r="F36" s="293">
        <f>SUM(F8:F35)</f>
        <v>149.5</v>
      </c>
      <c r="G36" s="293">
        <f>SUM(G10:G35)</f>
        <v>0</v>
      </c>
      <c r="H36" s="459">
        <f>SUM(H9:H35)</f>
        <v>0</v>
      </c>
      <c r="I36" s="193">
        <f>SUM(I10:I34)</f>
        <v>14</v>
      </c>
      <c r="J36" s="284">
        <f>SUM(J10:J34)</f>
        <v>241</v>
      </c>
      <c r="K36" s="284">
        <f>SUM(K10:K35)</f>
        <v>15.5</v>
      </c>
      <c r="L36" s="293">
        <f>SUM(L8:L35)</f>
        <v>270.5</v>
      </c>
      <c r="M36" s="259">
        <f>SUM(M9:M35)</f>
        <v>14</v>
      </c>
      <c r="N36" s="194">
        <f>SUM(N9:N35)</f>
        <v>328</v>
      </c>
      <c r="O36" s="166">
        <f>SUM(O9:O35)</f>
        <v>11</v>
      </c>
      <c r="P36" s="194">
        <f>SUM(P9:P35)</f>
        <v>353</v>
      </c>
      <c r="Q36" s="650">
        <v>130</v>
      </c>
      <c r="R36" s="293">
        <f>SUM(R10:R35)</f>
        <v>175</v>
      </c>
      <c r="S36" s="459"/>
      <c r="T36" s="193">
        <f>SUM(T10:T34)</f>
        <v>14</v>
      </c>
      <c r="U36" s="284">
        <f>SUM(U10:U34)</f>
        <v>414.5</v>
      </c>
      <c r="V36" s="284">
        <f>SUM(V10:V35)</f>
        <v>17</v>
      </c>
      <c r="W36" s="293">
        <f>SUM(W8:W35)</f>
        <v>445.5</v>
      </c>
    </row>
    <row r="37" spans="1:3" ht="15">
      <c r="A37" s="189"/>
      <c r="B37" s="189"/>
      <c r="C37" s="189"/>
    </row>
    <row r="38" ht="13.5">
      <c r="A38" s="812" t="s">
        <v>827</v>
      </c>
    </row>
  </sheetData>
  <mergeCells count="34">
    <mergeCell ref="A4:F4"/>
    <mergeCell ref="A5:B5"/>
    <mergeCell ref="C5:F5"/>
    <mergeCell ref="G5:H5"/>
    <mergeCell ref="A7:B8"/>
    <mergeCell ref="F7:F8"/>
    <mergeCell ref="A36:B36"/>
    <mergeCell ref="A19:E19"/>
    <mergeCell ref="A9:E9"/>
    <mergeCell ref="A25:E25"/>
    <mergeCell ref="A31:E31"/>
    <mergeCell ref="C7:C8"/>
    <mergeCell ref="D7:E7"/>
    <mergeCell ref="W7:W8"/>
    <mergeCell ref="I7:I8"/>
    <mergeCell ref="J7:K7"/>
    <mergeCell ref="L7:L8"/>
    <mergeCell ref="M7:M8"/>
    <mergeCell ref="N7:O7"/>
    <mergeCell ref="P7:P8"/>
    <mergeCell ref="I6:L6"/>
    <mergeCell ref="G6:H6"/>
    <mergeCell ref="T7:T8"/>
    <mergeCell ref="U7:V7"/>
    <mergeCell ref="R5:S5"/>
    <mergeCell ref="R6:S6"/>
    <mergeCell ref="A1:W2"/>
    <mergeCell ref="A3:W3"/>
    <mergeCell ref="T5:W5"/>
    <mergeCell ref="T6:W6"/>
    <mergeCell ref="M5:P5"/>
    <mergeCell ref="M6:P6"/>
    <mergeCell ref="C6:F6"/>
    <mergeCell ref="I5:L5"/>
  </mergeCells>
  <printOptions/>
  <pageMargins left="0.67" right="0.75" top="1" bottom="1" header="0.5" footer="0.5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/>
  <dimension ref="A1:N24"/>
  <sheetViews>
    <sheetView workbookViewId="0" topLeftCell="A1">
      <pane xSplit="1" ySplit="1" topLeftCell="B2" activePane="bottomRight" state="frozen"/>
      <selection pane="topLeft" activeCell="F1" sqref="F1"/>
      <selection pane="topRight" activeCell="F1" sqref="F1"/>
      <selection pane="bottomLeft" activeCell="F1" sqref="F1"/>
      <selection pane="bottomRight" activeCell="I29" sqref="I29"/>
    </sheetView>
  </sheetViews>
  <sheetFormatPr defaultColWidth="9.00390625" defaultRowHeight="12.75"/>
  <cols>
    <col min="1" max="1" width="21.25390625" style="186" customWidth="1"/>
    <col min="2" max="5" width="9.125" style="186" customWidth="1"/>
    <col min="6" max="6" width="9.125" style="839" customWidth="1"/>
    <col min="7" max="9" width="9.125" style="186" customWidth="1"/>
    <col min="10" max="10" width="10.375" style="186" customWidth="1"/>
    <col min="11" max="11" width="9.125" style="186" customWidth="1"/>
    <col min="12" max="12" width="11.125" style="186" bestFit="1" customWidth="1"/>
    <col min="13" max="13" width="9.75390625" style="186" bestFit="1" customWidth="1"/>
    <col min="14" max="14" width="11.75390625" style="162" customWidth="1"/>
    <col min="15" max="16384" width="9.125" style="186" customWidth="1"/>
  </cols>
  <sheetData>
    <row r="1" spans="8:14" ht="12.75">
      <c r="H1" s="951" t="s">
        <v>773</v>
      </c>
      <c r="I1" s="951"/>
      <c r="J1" s="951"/>
      <c r="K1" s="951"/>
      <c r="L1" s="951"/>
      <c r="M1" s="951"/>
      <c r="N1" s="951"/>
    </row>
    <row r="3" spans="1:14" ht="12.75">
      <c r="A3" s="950" t="s">
        <v>774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</row>
    <row r="4" spans="12:14" ht="12.75">
      <c r="L4" s="896" t="s">
        <v>35</v>
      </c>
      <c r="M4" s="896"/>
      <c r="N4" s="896"/>
    </row>
    <row r="5" spans="1:14" ht="12.75">
      <c r="A5" s="840" t="s">
        <v>190</v>
      </c>
      <c r="B5" s="840" t="s">
        <v>775</v>
      </c>
      <c r="C5" s="840" t="s">
        <v>776</v>
      </c>
      <c r="D5" s="840" t="s">
        <v>777</v>
      </c>
      <c r="E5" s="840" t="s">
        <v>778</v>
      </c>
      <c r="F5" s="841" t="s">
        <v>779</v>
      </c>
      <c r="G5" s="840" t="s">
        <v>780</v>
      </c>
      <c r="H5" s="840" t="s">
        <v>781</v>
      </c>
      <c r="I5" s="840" t="s">
        <v>782</v>
      </c>
      <c r="J5" s="840" t="s">
        <v>783</v>
      </c>
      <c r="K5" s="840" t="s">
        <v>784</v>
      </c>
      <c r="L5" s="840" t="s">
        <v>785</v>
      </c>
      <c r="M5" s="840" t="s">
        <v>786</v>
      </c>
      <c r="N5" s="767" t="s">
        <v>274</v>
      </c>
    </row>
    <row r="6" spans="1:14" ht="12.75">
      <c r="A6" s="842" t="s">
        <v>787</v>
      </c>
      <c r="C6" s="653"/>
      <c r="D6" s="653"/>
      <c r="E6" s="653"/>
      <c r="F6" s="843"/>
      <c r="G6" s="653"/>
      <c r="H6" s="653"/>
      <c r="I6" s="653"/>
      <c r="J6" s="653"/>
      <c r="K6" s="653"/>
      <c r="L6" s="653"/>
      <c r="M6" s="653"/>
      <c r="N6" s="194"/>
    </row>
    <row r="7" spans="1:14" ht="12.75">
      <c r="A7" s="653" t="s">
        <v>788</v>
      </c>
      <c r="B7" s="843">
        <v>23571</v>
      </c>
      <c r="C7" s="843">
        <v>23571</v>
      </c>
      <c r="D7" s="843">
        <v>229071</v>
      </c>
      <c r="E7" s="843">
        <v>23571</v>
      </c>
      <c r="F7" s="843">
        <v>141071</v>
      </c>
      <c r="G7" s="843">
        <v>23571</v>
      </c>
      <c r="H7" s="843">
        <v>23571</v>
      </c>
      <c r="I7" s="843">
        <v>23571</v>
      </c>
      <c r="J7" s="843">
        <v>232171</v>
      </c>
      <c r="K7" s="843">
        <v>23571</v>
      </c>
      <c r="L7" s="843">
        <v>23571</v>
      </c>
      <c r="M7" s="843">
        <v>141071</v>
      </c>
      <c r="N7" s="195">
        <f>SUM(B7:M7)</f>
        <v>931952</v>
      </c>
    </row>
    <row r="8" spans="1:14" ht="12.75">
      <c r="A8" s="653" t="s">
        <v>789</v>
      </c>
      <c r="B8" s="843">
        <v>926</v>
      </c>
      <c r="C8" s="843">
        <v>927</v>
      </c>
      <c r="D8" s="843">
        <v>926</v>
      </c>
      <c r="E8" s="843">
        <v>927</v>
      </c>
      <c r="F8" s="843">
        <v>926</v>
      </c>
      <c r="G8" s="843">
        <v>927</v>
      </c>
      <c r="H8" s="843">
        <v>926</v>
      </c>
      <c r="I8" s="843">
        <v>927</v>
      </c>
      <c r="J8" s="843">
        <v>926</v>
      </c>
      <c r="K8" s="843">
        <v>927</v>
      </c>
      <c r="L8" s="843">
        <v>926</v>
      </c>
      <c r="M8" s="843">
        <v>927</v>
      </c>
      <c r="N8" s="195">
        <f>SUM(B8:M8)</f>
        <v>11118</v>
      </c>
    </row>
    <row r="9" spans="1:14" ht="12.75">
      <c r="A9" s="653" t="s">
        <v>790</v>
      </c>
      <c r="B9" s="843">
        <v>26255</v>
      </c>
      <c r="C9" s="843">
        <v>26256</v>
      </c>
      <c r="D9" s="843">
        <v>26255</v>
      </c>
      <c r="E9" s="843">
        <v>26255</v>
      </c>
      <c r="F9" s="843">
        <v>26256</v>
      </c>
      <c r="G9" s="843">
        <v>26256</v>
      </c>
      <c r="H9" s="843">
        <v>26255</v>
      </c>
      <c r="I9" s="843">
        <v>26255</v>
      </c>
      <c r="J9" s="843">
        <v>26256</v>
      </c>
      <c r="K9" s="843">
        <v>26256</v>
      </c>
      <c r="L9" s="843">
        <v>26256</v>
      </c>
      <c r="M9" s="843">
        <v>26256</v>
      </c>
      <c r="N9" s="195">
        <f>SUM(B9:M9)</f>
        <v>315067</v>
      </c>
    </row>
    <row r="10" spans="1:14" ht="12.75">
      <c r="A10" s="653" t="s">
        <v>791</v>
      </c>
      <c r="B10" s="843">
        <v>0</v>
      </c>
      <c r="C10" s="843">
        <v>0</v>
      </c>
      <c r="D10" s="843">
        <v>0</v>
      </c>
      <c r="E10" s="843">
        <v>0</v>
      </c>
      <c r="F10" s="843">
        <v>0</v>
      </c>
      <c r="G10" s="843">
        <v>0</v>
      </c>
      <c r="H10" s="843">
        <v>0</v>
      </c>
      <c r="I10" s="843">
        <v>0</v>
      </c>
      <c r="J10" s="843">
        <v>0</v>
      </c>
      <c r="K10" s="843">
        <v>0</v>
      </c>
      <c r="L10" s="843">
        <v>0</v>
      </c>
      <c r="M10" s="843">
        <v>0</v>
      </c>
      <c r="N10" s="195">
        <f>SUM(B10:M10)</f>
        <v>0</v>
      </c>
    </row>
    <row r="11" spans="1:14" ht="12.75">
      <c r="A11" s="653" t="s">
        <v>792</v>
      </c>
      <c r="B11" s="843">
        <v>36107</v>
      </c>
      <c r="C11" s="843">
        <v>36108</v>
      </c>
      <c r="D11" s="843">
        <v>36107</v>
      </c>
      <c r="E11" s="843">
        <v>36108</v>
      </c>
      <c r="F11" s="843"/>
      <c r="G11" s="843"/>
      <c r="H11" s="843"/>
      <c r="I11" s="843"/>
      <c r="J11" s="843"/>
      <c r="K11" s="843"/>
      <c r="L11" s="843"/>
      <c r="M11" s="843"/>
      <c r="N11" s="195">
        <f>SUM(B11:M11)</f>
        <v>144430</v>
      </c>
    </row>
    <row r="12" spans="1:14" ht="12.75">
      <c r="A12" s="653" t="s">
        <v>793</v>
      </c>
      <c r="B12" s="843">
        <v>1844479</v>
      </c>
      <c r="C12" s="843">
        <v>1834340</v>
      </c>
      <c r="D12" s="843">
        <v>1824203</v>
      </c>
      <c r="E12" s="843">
        <v>1995295</v>
      </c>
      <c r="F12" s="843">
        <v>1962659</v>
      </c>
      <c r="G12" s="843">
        <v>2036089</v>
      </c>
      <c r="H12" s="843">
        <v>1974625</v>
      </c>
      <c r="I12" s="843">
        <v>1928555</v>
      </c>
      <c r="J12" s="843">
        <v>1884486</v>
      </c>
      <c r="K12" s="843">
        <v>1984746</v>
      </c>
      <c r="L12" s="843">
        <v>1918179</v>
      </c>
      <c r="M12" s="843">
        <v>1874110</v>
      </c>
      <c r="N12" s="195"/>
    </row>
    <row r="13" spans="1:14" s="162" customFormat="1" ht="12.75">
      <c r="A13" s="194" t="s">
        <v>794</v>
      </c>
      <c r="B13" s="195">
        <f aca="true" t="shared" si="0" ref="B13:N13">SUM(B7:B12)</f>
        <v>1931338</v>
      </c>
      <c r="C13" s="195">
        <f t="shared" si="0"/>
        <v>1921202</v>
      </c>
      <c r="D13" s="195">
        <f t="shared" si="0"/>
        <v>2116562</v>
      </c>
      <c r="E13" s="195">
        <f t="shared" si="0"/>
        <v>2082156</v>
      </c>
      <c r="F13" s="195">
        <f t="shared" si="0"/>
        <v>2130912</v>
      </c>
      <c r="G13" s="195">
        <f t="shared" si="0"/>
        <v>2086843</v>
      </c>
      <c r="H13" s="195">
        <f t="shared" si="0"/>
        <v>2025377</v>
      </c>
      <c r="I13" s="195">
        <f t="shared" si="0"/>
        <v>1979308</v>
      </c>
      <c r="J13" s="195">
        <f t="shared" si="0"/>
        <v>2143839</v>
      </c>
      <c r="K13" s="195">
        <f t="shared" si="0"/>
        <v>2035500</v>
      </c>
      <c r="L13" s="195">
        <f t="shared" si="0"/>
        <v>1968932</v>
      </c>
      <c r="M13" s="195">
        <f t="shared" si="0"/>
        <v>2042364</v>
      </c>
      <c r="N13" s="195">
        <f t="shared" si="0"/>
        <v>1402567</v>
      </c>
    </row>
    <row r="14" spans="1:14" ht="12.75">
      <c r="A14" s="842" t="s">
        <v>795</v>
      </c>
      <c r="B14" s="843"/>
      <c r="C14" s="843"/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195"/>
    </row>
    <row r="15" spans="1:14" ht="12.75">
      <c r="A15" s="844" t="s">
        <v>796</v>
      </c>
      <c r="B15" s="843">
        <v>64922</v>
      </c>
      <c r="C15" s="843">
        <v>64922</v>
      </c>
      <c r="D15" s="843">
        <v>64922</v>
      </c>
      <c r="E15" s="843">
        <v>64922</v>
      </c>
      <c r="F15" s="843">
        <v>64922</v>
      </c>
      <c r="G15" s="843">
        <v>64922</v>
      </c>
      <c r="H15" s="843">
        <v>64922</v>
      </c>
      <c r="I15" s="843">
        <v>64922</v>
      </c>
      <c r="J15" s="843">
        <v>64922</v>
      </c>
      <c r="K15" s="843">
        <v>64922</v>
      </c>
      <c r="L15" s="843">
        <v>64922</v>
      </c>
      <c r="M15" s="843">
        <v>64927</v>
      </c>
      <c r="N15" s="195">
        <f aca="true" t="shared" si="1" ref="N15:N21">SUM(B15:M15)</f>
        <v>779069</v>
      </c>
    </row>
    <row r="16" spans="1:14" ht="12.75">
      <c r="A16" s="653" t="s">
        <v>797</v>
      </c>
      <c r="B16" s="843">
        <v>30577</v>
      </c>
      <c r="C16" s="843">
        <v>30577</v>
      </c>
      <c r="D16" s="843">
        <v>30577</v>
      </c>
      <c r="E16" s="843">
        <v>30577</v>
      </c>
      <c r="F16" s="843">
        <v>30577</v>
      </c>
      <c r="G16" s="843">
        <v>30577</v>
      </c>
      <c r="H16" s="843">
        <v>30577</v>
      </c>
      <c r="I16" s="843">
        <v>30577</v>
      </c>
      <c r="J16" s="843">
        <v>30577</v>
      </c>
      <c r="K16" s="843">
        <v>30577</v>
      </c>
      <c r="L16" s="843">
        <v>30577</v>
      </c>
      <c r="M16" s="843">
        <v>30580</v>
      </c>
      <c r="N16" s="195">
        <f t="shared" si="1"/>
        <v>366927</v>
      </c>
    </row>
    <row r="17" spans="1:14" ht="12.75">
      <c r="A17" s="653" t="s">
        <v>798</v>
      </c>
      <c r="B17" s="843"/>
      <c r="C17" s="843"/>
      <c r="D17" s="843">
        <v>64270</v>
      </c>
      <c r="E17" s="843">
        <v>22500</v>
      </c>
      <c r="F17" s="843"/>
      <c r="G17" s="843">
        <v>17395</v>
      </c>
      <c r="H17" s="843"/>
      <c r="I17" s="845"/>
      <c r="J17" s="843">
        <v>64270</v>
      </c>
      <c r="K17" s="843">
        <v>22500</v>
      </c>
      <c r="L17" s="843"/>
      <c r="M17" s="843">
        <v>17394</v>
      </c>
      <c r="N17" s="195">
        <f t="shared" si="1"/>
        <v>208329</v>
      </c>
    </row>
    <row r="18" spans="1:14" ht="12.75">
      <c r="A18" s="653" t="s">
        <v>799</v>
      </c>
      <c r="B18" s="843"/>
      <c r="C18" s="843"/>
      <c r="D18" s="843"/>
      <c r="E18" s="843"/>
      <c r="F18" s="843">
        <v>414</v>
      </c>
      <c r="G18" s="843"/>
      <c r="H18" s="843"/>
      <c r="I18" s="843"/>
      <c r="J18" s="843"/>
      <c r="K18" s="843"/>
      <c r="L18" s="843"/>
      <c r="M18" s="843"/>
      <c r="N18" s="195">
        <f t="shared" si="1"/>
        <v>414</v>
      </c>
    </row>
    <row r="19" spans="1:14" ht="12.75">
      <c r="A19" s="650" t="s">
        <v>800</v>
      </c>
      <c r="B19" s="843"/>
      <c r="C19" s="843"/>
      <c r="D19" s="843"/>
      <c r="E19" s="843"/>
      <c r="F19" s="843"/>
      <c r="G19" s="843"/>
      <c r="H19" s="843">
        <v>2000</v>
      </c>
      <c r="I19" s="843"/>
      <c r="J19" s="843"/>
      <c r="K19" s="843"/>
      <c r="L19" s="843"/>
      <c r="M19" s="843"/>
      <c r="N19" s="195">
        <f t="shared" si="1"/>
        <v>2000</v>
      </c>
    </row>
    <row r="20" spans="1:14" ht="12.75">
      <c r="A20" s="650" t="s">
        <v>801</v>
      </c>
      <c r="B20" s="843"/>
      <c r="C20" s="843">
        <v>158</v>
      </c>
      <c r="D20" s="843"/>
      <c r="E20" s="843"/>
      <c r="F20" s="843"/>
      <c r="G20" s="843"/>
      <c r="H20" s="843"/>
      <c r="I20" s="843"/>
      <c r="J20" s="843"/>
      <c r="K20" s="843"/>
      <c r="L20" s="843"/>
      <c r="M20" s="843"/>
      <c r="N20" s="195">
        <f t="shared" si="1"/>
        <v>158</v>
      </c>
    </row>
    <row r="21" spans="1:14" ht="12.75">
      <c r="A21" s="653" t="s">
        <v>802</v>
      </c>
      <c r="B21" s="843"/>
      <c r="C21" s="843"/>
      <c r="D21" s="843"/>
      <c r="E21" s="843"/>
      <c r="F21" s="843"/>
      <c r="G21" s="843"/>
      <c r="H21" s="843"/>
      <c r="I21" s="843"/>
      <c r="J21" s="843"/>
      <c r="K21" s="843"/>
      <c r="L21" s="843"/>
      <c r="M21" s="843">
        <v>45670</v>
      </c>
      <c r="N21" s="195">
        <f t="shared" si="1"/>
        <v>45670</v>
      </c>
    </row>
    <row r="22" spans="1:14" s="162" customFormat="1" ht="12.75">
      <c r="A22" s="194" t="s">
        <v>803</v>
      </c>
      <c r="B22" s="195">
        <f aca="true" t="shared" si="2" ref="B22:N22">SUM(B15:B21)</f>
        <v>95499</v>
      </c>
      <c r="C22" s="195">
        <f t="shared" si="2"/>
        <v>95657</v>
      </c>
      <c r="D22" s="195">
        <f t="shared" si="2"/>
        <v>159769</v>
      </c>
      <c r="E22" s="195">
        <f t="shared" si="2"/>
        <v>117999</v>
      </c>
      <c r="F22" s="195">
        <f t="shared" si="2"/>
        <v>95913</v>
      </c>
      <c r="G22" s="195">
        <f t="shared" si="2"/>
        <v>112894</v>
      </c>
      <c r="H22" s="195">
        <f t="shared" si="2"/>
        <v>97499</v>
      </c>
      <c r="I22" s="195">
        <f t="shared" si="2"/>
        <v>95499</v>
      </c>
      <c r="J22" s="195">
        <f t="shared" si="2"/>
        <v>159769</v>
      </c>
      <c r="K22" s="195">
        <f t="shared" si="2"/>
        <v>117999</v>
      </c>
      <c r="L22" s="195">
        <f t="shared" si="2"/>
        <v>95499</v>
      </c>
      <c r="M22" s="195">
        <f t="shared" si="2"/>
        <v>158571</v>
      </c>
      <c r="N22" s="195">
        <f t="shared" si="2"/>
        <v>1402567</v>
      </c>
    </row>
    <row r="23" spans="1:14" s="162" customFormat="1" ht="12.75">
      <c r="A23" s="194" t="s">
        <v>804</v>
      </c>
      <c r="B23" s="195">
        <f aca="true" t="shared" si="3" ref="B23:N23">SUM(B13-B22)</f>
        <v>1835839</v>
      </c>
      <c r="C23" s="195">
        <f t="shared" si="3"/>
        <v>1825545</v>
      </c>
      <c r="D23" s="195">
        <f t="shared" si="3"/>
        <v>1956793</v>
      </c>
      <c r="E23" s="195">
        <f t="shared" si="3"/>
        <v>1964157</v>
      </c>
      <c r="F23" s="195">
        <f t="shared" si="3"/>
        <v>2034999</v>
      </c>
      <c r="G23" s="195">
        <f t="shared" si="3"/>
        <v>1973949</v>
      </c>
      <c r="H23" s="195">
        <f t="shared" si="3"/>
        <v>1927878</v>
      </c>
      <c r="I23" s="195">
        <f t="shared" si="3"/>
        <v>1883809</v>
      </c>
      <c r="J23" s="195">
        <f t="shared" si="3"/>
        <v>1984070</v>
      </c>
      <c r="K23" s="195">
        <f t="shared" si="3"/>
        <v>1917501</v>
      </c>
      <c r="L23" s="195">
        <f t="shared" si="3"/>
        <v>1873433</v>
      </c>
      <c r="M23" s="195">
        <f t="shared" si="3"/>
        <v>1883793</v>
      </c>
      <c r="N23" s="195">
        <f t="shared" si="3"/>
        <v>0</v>
      </c>
    </row>
    <row r="24" ht="12.75">
      <c r="C24" s="186" t="s">
        <v>87</v>
      </c>
    </row>
  </sheetData>
  <mergeCells count="3">
    <mergeCell ref="A3:N3"/>
    <mergeCell ref="H1:N1"/>
    <mergeCell ref="L4:N4"/>
  </mergeCells>
  <printOptions horizontalCentered="1" verticalCentered="1"/>
  <pageMargins left="0.16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1"/>
  <dimension ref="A1:K46"/>
  <sheetViews>
    <sheetView view="pageBreakPreview" zoomScaleNormal="125" zoomScaleSheetLayoutView="100" workbookViewId="0" topLeftCell="A1">
      <selection activeCell="B2" sqref="B2"/>
    </sheetView>
  </sheetViews>
  <sheetFormatPr defaultColWidth="9.00390625" defaultRowHeight="12.75"/>
  <cols>
    <col min="1" max="1" width="27.125" style="768" bestFit="1" customWidth="1"/>
    <col min="2" max="2" width="12.375" style="768" bestFit="1" customWidth="1"/>
    <col min="3" max="4" width="11.125" style="768" customWidth="1"/>
    <col min="5" max="5" width="11.875" style="768" customWidth="1"/>
    <col min="6" max="6" width="12.75390625" style="772" bestFit="1" customWidth="1"/>
    <col min="7" max="16384" width="9.625" style="768" customWidth="1"/>
  </cols>
  <sheetData>
    <row r="1" spans="2:11" ht="12.75" customHeight="1">
      <c r="B1" s="952" t="s">
        <v>5</v>
      </c>
      <c r="C1" s="952"/>
      <c r="D1" s="952"/>
      <c r="E1" s="952"/>
      <c r="F1" s="952"/>
      <c r="G1" s="770"/>
      <c r="H1" s="770"/>
      <c r="I1" s="771"/>
      <c r="J1" s="771"/>
      <c r="K1" s="771"/>
    </row>
    <row r="2" spans="5:11" ht="12.75" customHeight="1">
      <c r="E2" s="769"/>
      <c r="F2" s="769"/>
      <c r="G2" s="769"/>
      <c r="H2" s="769"/>
      <c r="I2" s="771"/>
      <c r="J2" s="771"/>
      <c r="K2" s="771"/>
    </row>
    <row r="3" spans="5:11" ht="12.75" customHeight="1">
      <c r="E3" s="769"/>
      <c r="F3" s="769"/>
      <c r="G3" s="769"/>
      <c r="H3" s="769"/>
      <c r="I3" s="771"/>
      <c r="J3" s="771"/>
      <c r="K3" s="771"/>
    </row>
    <row r="4" spans="1:6" s="772" customFormat="1" ht="11.25">
      <c r="A4" s="955" t="s">
        <v>728</v>
      </c>
      <c r="B4" s="955"/>
      <c r="C4" s="955"/>
      <c r="D4" s="955"/>
      <c r="E4" s="955"/>
      <c r="F4" s="955"/>
    </row>
    <row r="5" spans="5:6" ht="11.25" customHeight="1">
      <c r="E5" s="956" t="s">
        <v>35</v>
      </c>
      <c r="F5" s="956"/>
    </row>
    <row r="6" spans="1:6" ht="48.75" customHeight="1">
      <c r="A6" s="958" t="s">
        <v>729</v>
      </c>
      <c r="B6" s="953" t="s">
        <v>730</v>
      </c>
      <c r="C6" s="953" t="s">
        <v>731</v>
      </c>
      <c r="D6" s="953" t="s">
        <v>732</v>
      </c>
      <c r="E6" s="958" t="s">
        <v>408</v>
      </c>
      <c r="F6" s="957" t="s">
        <v>733</v>
      </c>
    </row>
    <row r="7" spans="1:6" ht="22.5" customHeight="1">
      <c r="A7" s="959"/>
      <c r="B7" s="954"/>
      <c r="C7" s="954"/>
      <c r="D7" s="954"/>
      <c r="E7" s="959"/>
      <c r="F7" s="957"/>
    </row>
    <row r="8" spans="1:6" ht="11.25">
      <c r="A8" s="773" t="s">
        <v>734</v>
      </c>
      <c r="B8" s="774">
        <v>334187</v>
      </c>
      <c r="C8" s="774">
        <v>226295</v>
      </c>
      <c r="D8" s="774">
        <v>50486</v>
      </c>
      <c r="E8" s="774">
        <v>39406</v>
      </c>
      <c r="F8" s="775">
        <f aca="true" t="shared" si="0" ref="F8:F15">SUM(B8+C8+D8+E8)</f>
        <v>650374</v>
      </c>
    </row>
    <row r="9" spans="1:6" ht="11.25">
      <c r="A9" s="773" t="s">
        <v>735</v>
      </c>
      <c r="B9" s="774">
        <v>53098</v>
      </c>
      <c r="C9" s="774">
        <v>60977</v>
      </c>
      <c r="D9" s="774">
        <v>13557</v>
      </c>
      <c r="E9" s="774">
        <v>10524</v>
      </c>
      <c r="F9" s="775">
        <f t="shared" si="0"/>
        <v>138156</v>
      </c>
    </row>
    <row r="10" spans="1:6" ht="11.25">
      <c r="A10" s="773" t="s">
        <v>331</v>
      </c>
      <c r="B10" s="774">
        <v>617453</v>
      </c>
      <c r="C10" s="774">
        <v>122696</v>
      </c>
      <c r="D10" s="774">
        <v>10950</v>
      </c>
      <c r="E10" s="774">
        <v>36398</v>
      </c>
      <c r="F10" s="775">
        <f t="shared" si="0"/>
        <v>787497</v>
      </c>
    </row>
    <row r="11" spans="1:6" ht="11.25">
      <c r="A11" s="776" t="s">
        <v>736</v>
      </c>
      <c r="B11" s="777">
        <v>190137</v>
      </c>
      <c r="C11" s="777">
        <v>0</v>
      </c>
      <c r="D11" s="777">
        <v>5163</v>
      </c>
      <c r="E11" s="774">
        <v>0</v>
      </c>
      <c r="F11" s="775">
        <f t="shared" si="0"/>
        <v>195300</v>
      </c>
    </row>
    <row r="12" spans="1:6" ht="11.25">
      <c r="A12" s="776" t="s">
        <v>155</v>
      </c>
      <c r="B12" s="777">
        <v>214218</v>
      </c>
      <c r="C12" s="777">
        <v>406</v>
      </c>
      <c r="D12" s="777">
        <v>0</v>
      </c>
      <c r="E12" s="774">
        <v>0</v>
      </c>
      <c r="F12" s="775">
        <f t="shared" si="0"/>
        <v>214624</v>
      </c>
    </row>
    <row r="13" spans="1:6" ht="11.25">
      <c r="A13" s="776" t="s">
        <v>737</v>
      </c>
      <c r="B13" s="777">
        <v>46765</v>
      </c>
      <c r="C13" s="777">
        <v>71079</v>
      </c>
      <c r="D13" s="777">
        <v>0</v>
      </c>
      <c r="E13" s="774">
        <v>0</v>
      </c>
      <c r="F13" s="775">
        <f t="shared" si="0"/>
        <v>117844</v>
      </c>
    </row>
    <row r="14" spans="1:6" ht="11.25">
      <c r="A14" s="776" t="s">
        <v>738</v>
      </c>
      <c r="B14" s="777">
        <v>0</v>
      </c>
      <c r="C14" s="777">
        <v>0</v>
      </c>
      <c r="D14" s="777">
        <v>0</v>
      </c>
      <c r="E14" s="774">
        <v>0</v>
      </c>
      <c r="F14" s="775">
        <f t="shared" si="0"/>
        <v>0</v>
      </c>
    </row>
    <row r="15" spans="1:6" ht="12" thickBot="1">
      <c r="A15" s="778" t="s">
        <v>161</v>
      </c>
      <c r="B15" s="779">
        <v>30850</v>
      </c>
      <c r="C15" s="779">
        <v>0</v>
      </c>
      <c r="D15" s="779">
        <v>0</v>
      </c>
      <c r="E15" s="779">
        <v>0</v>
      </c>
      <c r="F15" s="780">
        <f t="shared" si="0"/>
        <v>30850</v>
      </c>
    </row>
    <row r="16" spans="1:6" ht="12" thickBot="1">
      <c r="A16" s="781" t="s">
        <v>739</v>
      </c>
      <c r="B16" s="782">
        <f>SUM(B8:B15)</f>
        <v>1486708</v>
      </c>
      <c r="C16" s="782">
        <f>SUM(C8:C15)</f>
        <v>481453</v>
      </c>
      <c r="D16" s="782">
        <f>SUM(D8:D15)</f>
        <v>80156</v>
      </c>
      <c r="E16" s="782">
        <f>SUM(E8:E15)</f>
        <v>86328</v>
      </c>
      <c r="F16" s="782">
        <f>SUM(F8:F15)</f>
        <v>2134645</v>
      </c>
    </row>
    <row r="17" spans="1:6" ht="11.25">
      <c r="A17" s="783" t="s">
        <v>740</v>
      </c>
      <c r="B17" s="784">
        <v>211960</v>
      </c>
      <c r="C17" s="784">
        <v>0</v>
      </c>
      <c r="D17" s="777">
        <v>0</v>
      </c>
      <c r="E17" s="774">
        <v>0</v>
      </c>
      <c r="F17" s="775">
        <f aca="true" t="shared" si="1" ref="F17:F24">SUM(B17+C17+D17+E17)</f>
        <v>211960</v>
      </c>
    </row>
    <row r="18" spans="1:6" ht="11.25">
      <c r="A18" s="773" t="s">
        <v>741</v>
      </c>
      <c r="B18" s="774">
        <v>52500</v>
      </c>
      <c r="C18" s="774">
        <v>0</v>
      </c>
      <c r="D18" s="777">
        <v>0</v>
      </c>
      <c r="E18" s="774">
        <v>0</v>
      </c>
      <c r="F18" s="775">
        <f t="shared" si="1"/>
        <v>52500</v>
      </c>
    </row>
    <row r="19" spans="1:6" ht="11.25">
      <c r="A19" s="773" t="s">
        <v>742</v>
      </c>
      <c r="B19" s="774">
        <v>16184</v>
      </c>
      <c r="C19" s="774">
        <v>0</v>
      </c>
      <c r="D19" s="777">
        <v>0</v>
      </c>
      <c r="E19" s="774">
        <v>0</v>
      </c>
      <c r="F19" s="775">
        <f t="shared" si="1"/>
        <v>16184</v>
      </c>
    </row>
    <row r="20" spans="1:6" ht="11.25">
      <c r="A20" s="773" t="s">
        <v>743</v>
      </c>
      <c r="B20" s="774">
        <v>2563</v>
      </c>
      <c r="C20" s="774">
        <v>0</v>
      </c>
      <c r="D20" s="777">
        <v>0</v>
      </c>
      <c r="E20" s="774">
        <v>0</v>
      </c>
      <c r="F20" s="775">
        <f t="shared" si="1"/>
        <v>2563</v>
      </c>
    </row>
    <row r="21" spans="1:6" ht="11.25">
      <c r="A21" s="773" t="s">
        <v>744</v>
      </c>
      <c r="B21" s="774">
        <v>45104</v>
      </c>
      <c r="C21" s="785">
        <v>0</v>
      </c>
      <c r="D21" s="774">
        <v>0</v>
      </c>
      <c r="E21" s="786">
        <v>0</v>
      </c>
      <c r="F21" s="775">
        <f t="shared" si="1"/>
        <v>45104</v>
      </c>
    </row>
    <row r="22" spans="1:6" ht="11.25">
      <c r="A22" s="773" t="s">
        <v>745</v>
      </c>
      <c r="B22" s="774">
        <v>7407</v>
      </c>
      <c r="C22" s="774">
        <v>0</v>
      </c>
      <c r="D22" s="784">
        <v>0</v>
      </c>
      <c r="E22" s="774">
        <v>0</v>
      </c>
      <c r="F22" s="775">
        <f t="shared" si="1"/>
        <v>7407</v>
      </c>
    </row>
    <row r="23" spans="1:6" ht="11.25">
      <c r="A23" s="776" t="s">
        <v>746</v>
      </c>
      <c r="B23" s="777">
        <v>2922427</v>
      </c>
      <c r="C23" s="777">
        <v>6962</v>
      </c>
      <c r="D23" s="777">
        <v>236</v>
      </c>
      <c r="E23" s="774">
        <v>1256</v>
      </c>
      <c r="F23" s="775">
        <f t="shared" si="1"/>
        <v>2930881</v>
      </c>
    </row>
    <row r="24" spans="1:6" ht="12" thickBot="1">
      <c r="A24" s="776" t="s">
        <v>747</v>
      </c>
      <c r="B24" s="779">
        <v>1147337</v>
      </c>
      <c r="C24" s="779">
        <v>0</v>
      </c>
      <c r="D24" s="779">
        <v>0</v>
      </c>
      <c r="E24" s="779">
        <v>0</v>
      </c>
      <c r="F24" s="780">
        <f t="shared" si="1"/>
        <v>1147337</v>
      </c>
    </row>
    <row r="25" spans="1:6" ht="12" thickBot="1">
      <c r="A25" s="787" t="s">
        <v>748</v>
      </c>
      <c r="B25" s="784">
        <f>SUM(B17:B24)</f>
        <v>4405482</v>
      </c>
      <c r="C25" s="784">
        <f>SUM(C17:C24)</f>
        <v>6962</v>
      </c>
      <c r="D25" s="784">
        <f>SUM(D17:D24)</f>
        <v>236</v>
      </c>
      <c r="E25" s="784">
        <f>SUM(E17:E24)</f>
        <v>1256</v>
      </c>
      <c r="F25" s="789">
        <f>SUM(F17:F24)</f>
        <v>4413936</v>
      </c>
    </row>
    <row r="26" spans="1:6" ht="12" thickBot="1">
      <c r="A26" s="787" t="s">
        <v>749</v>
      </c>
      <c r="B26" s="790">
        <f>SUM(B25,B16)</f>
        <v>5892190</v>
      </c>
      <c r="C26" s="790">
        <f>SUM(C25,C16)</f>
        <v>488415</v>
      </c>
      <c r="D26" s="790">
        <f>SUM(D25,D16)</f>
        <v>80392</v>
      </c>
      <c r="E26" s="790">
        <f>SUM(E25,E16)</f>
        <v>87584</v>
      </c>
      <c r="F26" s="790">
        <f>SUM(F25,F16)</f>
        <v>6548581</v>
      </c>
    </row>
    <row r="27" spans="1:6" ht="11.25">
      <c r="A27" s="783" t="s">
        <v>351</v>
      </c>
      <c r="B27" s="784">
        <v>381029</v>
      </c>
      <c r="C27" s="784">
        <v>17328</v>
      </c>
      <c r="D27" s="784">
        <v>927</v>
      </c>
      <c r="E27" s="774">
        <v>5500</v>
      </c>
      <c r="F27" s="775">
        <f aca="true" t="shared" si="2" ref="F27:F41">SUM(B27+C27+D27+E27)</f>
        <v>404784</v>
      </c>
    </row>
    <row r="28" spans="1:6" ht="11.25">
      <c r="A28" s="783" t="s">
        <v>750</v>
      </c>
      <c r="B28" s="784">
        <v>410912</v>
      </c>
      <c r="C28" s="784">
        <v>12764</v>
      </c>
      <c r="D28" s="784">
        <v>0</v>
      </c>
      <c r="E28" s="774">
        <v>22436</v>
      </c>
      <c r="F28" s="775">
        <f t="shared" si="2"/>
        <v>446112</v>
      </c>
    </row>
    <row r="29" spans="1:6" ht="11.25">
      <c r="A29" s="783" t="s">
        <v>751</v>
      </c>
      <c r="B29" s="784">
        <v>8449</v>
      </c>
      <c r="C29" s="784">
        <v>0</v>
      </c>
      <c r="D29" s="784">
        <v>100</v>
      </c>
      <c r="E29" s="774">
        <v>0</v>
      </c>
      <c r="F29" s="775">
        <f t="shared" si="2"/>
        <v>8549</v>
      </c>
    </row>
    <row r="30" spans="1:6" ht="11.25">
      <c r="A30" s="773" t="s">
        <v>752</v>
      </c>
      <c r="B30" s="774">
        <v>39000</v>
      </c>
      <c r="C30" s="774">
        <v>0</v>
      </c>
      <c r="D30" s="784">
        <v>0</v>
      </c>
      <c r="E30" s="774">
        <v>0</v>
      </c>
      <c r="F30" s="775">
        <f t="shared" si="2"/>
        <v>39000</v>
      </c>
    </row>
    <row r="31" spans="1:6" ht="11.25">
      <c r="A31" s="773" t="s">
        <v>753</v>
      </c>
      <c r="B31" s="774">
        <v>1860387</v>
      </c>
      <c r="C31" s="774">
        <v>34246</v>
      </c>
      <c r="D31" s="784">
        <v>9723</v>
      </c>
      <c r="E31" s="774">
        <v>1198</v>
      </c>
      <c r="F31" s="775">
        <f t="shared" si="2"/>
        <v>1905554</v>
      </c>
    </row>
    <row r="32" spans="1:6" ht="11.25">
      <c r="A32" s="773" t="s">
        <v>754</v>
      </c>
      <c r="B32" s="774">
        <v>2265826</v>
      </c>
      <c r="C32" s="774">
        <v>0</v>
      </c>
      <c r="D32" s="784">
        <v>0</v>
      </c>
      <c r="E32" s="774">
        <v>0</v>
      </c>
      <c r="F32" s="775">
        <f t="shared" si="2"/>
        <v>2265826</v>
      </c>
    </row>
    <row r="33" spans="1:6" ht="11.25">
      <c r="A33" s="773" t="s">
        <v>755</v>
      </c>
      <c r="B33" s="774">
        <v>500</v>
      </c>
      <c r="C33" s="774">
        <v>0</v>
      </c>
      <c r="D33" s="784">
        <v>0</v>
      </c>
      <c r="E33" s="774">
        <v>0</v>
      </c>
      <c r="F33" s="775">
        <f t="shared" si="2"/>
        <v>500</v>
      </c>
    </row>
    <row r="34" spans="1:6" ht="11.25">
      <c r="A34" s="773" t="s">
        <v>756</v>
      </c>
      <c r="B34" s="774">
        <v>56796</v>
      </c>
      <c r="C34" s="774">
        <v>0</v>
      </c>
      <c r="D34" s="784">
        <v>0</v>
      </c>
      <c r="E34" s="774">
        <v>0</v>
      </c>
      <c r="F34" s="775">
        <f t="shared" si="2"/>
        <v>56796</v>
      </c>
    </row>
    <row r="35" spans="1:6" ht="11.25">
      <c r="A35" s="773" t="s">
        <v>757</v>
      </c>
      <c r="B35" s="774">
        <v>5046</v>
      </c>
      <c r="C35" s="774">
        <v>0</v>
      </c>
      <c r="D35" s="784">
        <v>0</v>
      </c>
      <c r="E35" s="774">
        <v>0</v>
      </c>
      <c r="F35" s="775">
        <f t="shared" si="2"/>
        <v>5046</v>
      </c>
    </row>
    <row r="36" spans="1:6" ht="11.25">
      <c r="A36" s="773" t="s">
        <v>758</v>
      </c>
      <c r="B36" s="774">
        <v>604190</v>
      </c>
      <c r="C36" s="774">
        <v>0</v>
      </c>
      <c r="D36" s="784">
        <v>0</v>
      </c>
      <c r="E36" s="774">
        <v>0</v>
      </c>
      <c r="F36" s="775">
        <f t="shared" si="2"/>
        <v>604190</v>
      </c>
    </row>
    <row r="37" spans="1:6" ht="11.25">
      <c r="A37" s="773" t="s">
        <v>759</v>
      </c>
      <c r="B37" s="774">
        <v>42000</v>
      </c>
      <c r="C37" s="774">
        <v>0</v>
      </c>
      <c r="D37" s="784">
        <v>0</v>
      </c>
      <c r="E37" s="774">
        <v>0</v>
      </c>
      <c r="F37" s="775">
        <f t="shared" si="2"/>
        <v>42000</v>
      </c>
    </row>
    <row r="38" spans="1:6" ht="11.25">
      <c r="A38" s="773" t="s">
        <v>760</v>
      </c>
      <c r="B38" s="774">
        <v>0</v>
      </c>
      <c r="C38" s="774">
        <v>0</v>
      </c>
      <c r="D38" s="784">
        <v>0</v>
      </c>
      <c r="E38" s="774">
        <v>0</v>
      </c>
      <c r="F38" s="775">
        <f t="shared" si="2"/>
        <v>0</v>
      </c>
    </row>
    <row r="39" spans="1:6" ht="11.25">
      <c r="A39" s="773" t="s">
        <v>761</v>
      </c>
      <c r="B39" s="774">
        <v>153724</v>
      </c>
      <c r="C39" s="774">
        <v>0</v>
      </c>
      <c r="D39" s="784">
        <v>0</v>
      </c>
      <c r="E39" s="774">
        <v>0</v>
      </c>
      <c r="F39" s="775">
        <f t="shared" si="2"/>
        <v>153724</v>
      </c>
    </row>
    <row r="40" spans="1:6" ht="12" thickBot="1">
      <c r="A40" s="773" t="s">
        <v>762</v>
      </c>
      <c r="B40" s="774">
        <v>366665</v>
      </c>
      <c r="C40" s="774">
        <v>153276</v>
      </c>
      <c r="D40" s="774">
        <v>61004</v>
      </c>
      <c r="E40" s="774">
        <v>35555</v>
      </c>
      <c r="F40" s="780">
        <f t="shared" si="2"/>
        <v>616500</v>
      </c>
    </row>
    <row r="41" spans="1:6" s="792" customFormat="1" ht="12" thickBot="1">
      <c r="A41" s="791" t="s">
        <v>763</v>
      </c>
      <c r="B41" s="790">
        <f>SUM(B27:B40)</f>
        <v>6194524</v>
      </c>
      <c r="C41" s="790">
        <f>SUM(C27:C40)</f>
        <v>217614</v>
      </c>
      <c r="D41" s="790">
        <f>SUM(D27:D40)</f>
        <v>71754</v>
      </c>
      <c r="E41" s="790">
        <f>SUM(E27:E40)</f>
        <v>64689</v>
      </c>
      <c r="F41" s="790">
        <f t="shared" si="2"/>
        <v>6548581</v>
      </c>
    </row>
    <row r="42" spans="1:6" s="794" customFormat="1" ht="12" customHeight="1">
      <c r="A42" s="783" t="s">
        <v>764</v>
      </c>
      <c r="B42" s="784">
        <f>SUM(B26-B27-B28-B35-B29-B30-B31-B32-B33-B34-B36-B37-B38-B39)</f>
        <v>64331</v>
      </c>
      <c r="C42" s="784">
        <f>SUM(C26-C27-C28-C35-C29-C30-C31-C32-C33-C34-C36-C37-C38-C39)</f>
        <v>424077</v>
      </c>
      <c r="D42" s="784">
        <f>SUM(D26-D27-D28-D35-D29-D30-D31-D32-D33-D34-D36-D37-D38-D39)</f>
        <v>69642</v>
      </c>
      <c r="E42" s="784">
        <f>SUM(E26-E27-E28-E35-E29-E30-E31-E32-E33-E34-E36-E37-E38-E39)</f>
        <v>58450</v>
      </c>
      <c r="F42" s="793"/>
    </row>
    <row r="43" spans="1:6" ht="11.25">
      <c r="A43" s="783" t="s">
        <v>765</v>
      </c>
      <c r="B43" s="784">
        <f>SUM(B42-B40)</f>
        <v>-302334</v>
      </c>
      <c r="C43" s="784">
        <f>SUM(C42-C40)</f>
        <v>270801</v>
      </c>
      <c r="D43" s="784">
        <f>SUM(D42-D40)</f>
        <v>8638</v>
      </c>
      <c r="E43" s="784">
        <f>SUM(E42-E40)</f>
        <v>22895</v>
      </c>
      <c r="F43" s="795"/>
    </row>
    <row r="44" spans="1:6" ht="11.25">
      <c r="A44" s="773" t="s">
        <v>766</v>
      </c>
      <c r="B44" s="796">
        <f>SUM(B43/B26)</f>
        <v>-0.05131097266041998</v>
      </c>
      <c r="C44" s="796">
        <f>SUM(C43/C26)</f>
        <v>0.5544485734467615</v>
      </c>
      <c r="D44" s="796">
        <f>SUM(D43/D26)</f>
        <v>0.10744850233854115</v>
      </c>
      <c r="E44" s="796">
        <f>SUM(E43/E26)</f>
        <v>0.2614061929119474</v>
      </c>
      <c r="F44" s="795"/>
    </row>
    <row r="45" ht="13.5">
      <c r="A45" s="812" t="s">
        <v>827</v>
      </c>
    </row>
    <row r="46" spans="1:4" ht="11.25">
      <c r="A46" s="797"/>
      <c r="B46" s="797"/>
      <c r="C46" s="797"/>
      <c r="D46" s="797"/>
    </row>
  </sheetData>
  <mergeCells count="9">
    <mergeCell ref="B1:F1"/>
    <mergeCell ref="D6:D7"/>
    <mergeCell ref="A4:F4"/>
    <mergeCell ref="E5:F5"/>
    <mergeCell ref="F6:F7"/>
    <mergeCell ref="A6:A7"/>
    <mergeCell ref="C6:C7"/>
    <mergeCell ref="B6:B7"/>
    <mergeCell ref="E6:E7"/>
  </mergeCells>
  <printOptions horizontalCentered="1" verticalCentered="1"/>
  <pageMargins left="0.2362204724409449" right="0.2362204724409449" top="0.2362204724409449" bottom="0.35433070866141736" header="0.31496062992125984" footer="0.35433070866141736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4"/>
  <dimension ref="A1:H149"/>
  <sheetViews>
    <sheetView view="pageBreakPreview" zoomScale="75" zoomScaleNormal="75" zoomScaleSheetLayoutView="75" workbookViewId="0" topLeftCell="A1">
      <selection activeCell="C2" sqref="C2"/>
    </sheetView>
  </sheetViews>
  <sheetFormatPr defaultColWidth="9.00390625" defaultRowHeight="12.75"/>
  <cols>
    <col min="1" max="1" width="2.25390625" style="196" customWidth="1"/>
    <col min="2" max="2" width="3.75390625" style="196" customWidth="1"/>
    <col min="3" max="3" width="102.75390625" style="206" customWidth="1"/>
    <col min="4" max="4" width="13.75390625" style="566" customWidth="1"/>
    <col min="5" max="5" width="14.75390625" style="210" customWidth="1"/>
    <col min="6" max="6" width="5.75390625" style="196" customWidth="1"/>
    <col min="7" max="7" width="16.00390625" style="564" customWidth="1"/>
    <col min="8" max="8" width="14.75390625" style="196" customWidth="1"/>
    <col min="9" max="9" width="12.25390625" style="196" bestFit="1" customWidth="1"/>
    <col min="10" max="10" width="8.875" style="196" customWidth="1"/>
    <col min="11" max="12" width="11.25390625" style="196" bestFit="1" customWidth="1"/>
    <col min="13" max="16384" width="8.875" style="196" customWidth="1"/>
  </cols>
  <sheetData>
    <row r="1" spans="3:5" ht="18.75">
      <c r="C1" s="960" t="s">
        <v>6</v>
      </c>
      <c r="D1" s="960"/>
      <c r="E1" s="960"/>
    </row>
    <row r="3" spans="2:7" ht="15.75">
      <c r="B3" s="961" t="s">
        <v>417</v>
      </c>
      <c r="C3" s="961"/>
      <c r="D3" s="961"/>
      <c r="E3" s="961"/>
      <c r="F3" s="197"/>
      <c r="G3" s="565"/>
    </row>
    <row r="4" spans="2:7" ht="15.75">
      <c r="B4" s="558"/>
      <c r="C4" s="558"/>
      <c r="E4" s="567"/>
      <c r="F4" s="197"/>
      <c r="G4" s="565"/>
    </row>
    <row r="5" spans="2:7" ht="15.75">
      <c r="B5" s="558"/>
      <c r="C5" s="558"/>
      <c r="E5" s="567"/>
      <c r="F5" s="197"/>
      <c r="G5" s="565"/>
    </row>
    <row r="6" spans="2:7" ht="15.75">
      <c r="B6" s="198"/>
      <c r="C6" s="198"/>
      <c r="E6" s="568" t="s">
        <v>377</v>
      </c>
      <c r="F6" s="197"/>
      <c r="G6" s="565"/>
    </row>
    <row r="7" spans="1:7" s="570" customFormat="1" ht="15.75">
      <c r="A7" s="962" t="s">
        <v>418</v>
      </c>
      <c r="B7" s="963"/>
      <c r="C7" s="963"/>
      <c r="D7" s="569"/>
      <c r="E7" s="200">
        <v>45670000</v>
      </c>
      <c r="G7" s="571"/>
    </row>
    <row r="8" spans="1:7" s="201" customFormat="1" ht="15.75">
      <c r="A8" s="199"/>
      <c r="B8" s="316"/>
      <c r="C8" s="316"/>
      <c r="D8" s="569"/>
      <c r="E8" s="200"/>
      <c r="G8" s="572"/>
    </row>
    <row r="9" spans="1:7" s="201" customFormat="1" ht="15.75">
      <c r="A9" s="199" t="s">
        <v>465</v>
      </c>
      <c r="B9" s="316"/>
      <c r="C9" s="316"/>
      <c r="D9" s="569"/>
      <c r="E9" s="200">
        <v>367499</v>
      </c>
      <c r="G9" s="572"/>
    </row>
    <row r="10" spans="1:7" s="201" customFormat="1" ht="15.75" hidden="1">
      <c r="A10" s="202"/>
      <c r="B10" s="203" t="s">
        <v>466</v>
      </c>
      <c r="C10" s="431"/>
      <c r="D10" s="569">
        <v>367499</v>
      </c>
      <c r="E10" s="204"/>
      <c r="G10" s="572"/>
    </row>
    <row r="11" spans="1:7" s="201" customFormat="1" ht="15.75">
      <c r="A11" s="199"/>
      <c r="B11" s="316"/>
      <c r="C11" s="316"/>
      <c r="D11" s="569"/>
      <c r="E11" s="200"/>
      <c r="G11" s="572"/>
    </row>
    <row r="12" spans="1:8" s="201" customFormat="1" ht="15.75">
      <c r="A12" s="199" t="s">
        <v>530</v>
      </c>
      <c r="B12" s="316"/>
      <c r="C12" s="316"/>
      <c r="D12" s="569"/>
      <c r="E12" s="200">
        <f>SUM(E13:E34)</f>
        <v>1022429158</v>
      </c>
      <c r="G12" s="572">
        <v>1068466657</v>
      </c>
      <c r="H12" s="201" t="s">
        <v>715</v>
      </c>
    </row>
    <row r="13" spans="1:5" ht="15.75" hidden="1">
      <c r="A13" s="202"/>
      <c r="B13" s="203" t="s">
        <v>582</v>
      </c>
      <c r="C13" s="203"/>
      <c r="D13" s="569"/>
      <c r="E13" s="204">
        <v>1200456686</v>
      </c>
    </row>
    <row r="14" spans="1:7" s="201" customFormat="1" ht="15.75" hidden="1">
      <c r="A14" s="430"/>
      <c r="B14" s="573" t="s">
        <v>583</v>
      </c>
      <c r="C14" s="574"/>
      <c r="D14" s="575"/>
      <c r="E14" s="576">
        <v>1000000</v>
      </c>
      <c r="G14" s="572"/>
    </row>
    <row r="15" spans="1:7" s="201" customFormat="1" ht="15.75" hidden="1">
      <c r="A15" s="577"/>
      <c r="B15" s="578" t="s">
        <v>640</v>
      </c>
      <c r="C15" s="578"/>
      <c r="D15" s="579"/>
      <c r="E15" s="204">
        <f>12995482-187365</f>
        <v>12808117</v>
      </c>
      <c r="G15" s="572"/>
    </row>
    <row r="16" spans="1:7" s="644" customFormat="1" ht="15.75" hidden="1">
      <c r="A16" s="577"/>
      <c r="B16" s="578" t="s">
        <v>641</v>
      </c>
      <c r="C16" s="578"/>
      <c r="D16" s="579"/>
      <c r="E16" s="204">
        <v>26860000</v>
      </c>
      <c r="G16" s="645"/>
    </row>
    <row r="17" spans="1:7" s="201" customFormat="1" ht="15.75" hidden="1">
      <c r="A17" s="580"/>
      <c r="B17" s="578" t="s">
        <v>584</v>
      </c>
      <c r="C17" s="578"/>
      <c r="D17" s="579"/>
      <c r="E17" s="204">
        <v>28143218</v>
      </c>
      <c r="G17" s="572"/>
    </row>
    <row r="18" spans="1:7" s="201" customFormat="1" ht="15.75" hidden="1">
      <c r="A18" s="430"/>
      <c r="B18" s="581" t="s">
        <v>585</v>
      </c>
      <c r="C18" s="574"/>
      <c r="D18" s="575"/>
      <c r="E18" s="582">
        <v>639650</v>
      </c>
      <c r="G18" s="572"/>
    </row>
    <row r="19" spans="1:7" s="201" customFormat="1" ht="15.75" hidden="1">
      <c r="A19" s="430"/>
      <c r="B19" s="581" t="s">
        <v>586</v>
      </c>
      <c r="C19" s="574"/>
      <c r="D19" s="575"/>
      <c r="E19" s="576">
        <v>-988945</v>
      </c>
      <c r="G19" s="572" t="s">
        <v>693</v>
      </c>
    </row>
    <row r="20" spans="1:7" s="201" customFormat="1" ht="15.75" hidden="1">
      <c r="A20" s="430"/>
      <c r="B20" s="581" t="s">
        <v>587</v>
      </c>
      <c r="C20" s="574"/>
      <c r="D20" s="575"/>
      <c r="E20" s="582">
        <v>-891540</v>
      </c>
      <c r="G20" s="572"/>
    </row>
    <row r="21" spans="1:7" s="201" customFormat="1" ht="15.75" hidden="1">
      <c r="A21" s="430"/>
      <c r="B21" s="581" t="s">
        <v>588</v>
      </c>
      <c r="C21" s="574"/>
      <c r="D21" s="575"/>
      <c r="E21" s="576">
        <v>-4762500</v>
      </c>
      <c r="G21" s="572" t="s">
        <v>694</v>
      </c>
    </row>
    <row r="22" spans="1:7" s="201" customFormat="1" ht="15.75" hidden="1">
      <c r="A22" s="430"/>
      <c r="B22" s="581" t="s">
        <v>589</v>
      </c>
      <c r="C22" s="574"/>
      <c r="D22" s="575"/>
      <c r="E22" s="582">
        <v>-5067300</v>
      </c>
      <c r="G22" s="572" t="s">
        <v>695</v>
      </c>
    </row>
    <row r="23" spans="1:7" s="201" customFormat="1" ht="15.75" hidden="1">
      <c r="A23" s="430"/>
      <c r="B23" s="581" t="s">
        <v>590</v>
      </c>
      <c r="C23" s="574"/>
      <c r="D23" s="575"/>
      <c r="E23" s="576">
        <v>-44514085</v>
      </c>
      <c r="G23" s="572" t="s">
        <v>696</v>
      </c>
    </row>
    <row r="24" spans="1:7" s="201" customFormat="1" ht="15.75" hidden="1">
      <c r="A24" s="430"/>
      <c r="B24" s="581" t="s">
        <v>591</v>
      </c>
      <c r="C24" s="574"/>
      <c r="D24" s="575"/>
      <c r="E24" s="576">
        <v>-5588000</v>
      </c>
      <c r="G24" s="572" t="s">
        <v>695</v>
      </c>
    </row>
    <row r="25" spans="1:7" s="201" customFormat="1" ht="15.75" hidden="1">
      <c r="A25" s="580"/>
      <c r="B25" s="583" t="s">
        <v>592</v>
      </c>
      <c r="C25" s="584"/>
      <c r="D25" s="585"/>
      <c r="E25" s="586">
        <v>-278500</v>
      </c>
      <c r="G25" s="572" t="s">
        <v>697</v>
      </c>
    </row>
    <row r="26" spans="1:7" s="201" customFormat="1" ht="15.75" hidden="1">
      <c r="A26" s="587"/>
      <c r="B26" s="578" t="s">
        <v>593</v>
      </c>
      <c r="C26" s="578"/>
      <c r="D26" s="579"/>
      <c r="E26" s="588">
        <v>-15818052</v>
      </c>
      <c r="G26" s="572" t="s">
        <v>698</v>
      </c>
    </row>
    <row r="27" spans="1:7" s="201" customFormat="1" ht="15.75" hidden="1">
      <c r="A27" s="589"/>
      <c r="B27" s="578" t="s">
        <v>594</v>
      </c>
      <c r="C27" s="578"/>
      <c r="D27" s="579"/>
      <c r="E27" s="204">
        <v>-746447</v>
      </c>
      <c r="G27" s="572" t="s">
        <v>698</v>
      </c>
    </row>
    <row r="28" spans="1:7" s="201" customFormat="1" ht="15.75" hidden="1">
      <c r="A28" s="202"/>
      <c r="B28" s="581" t="s">
        <v>595</v>
      </c>
      <c r="C28" s="203"/>
      <c r="D28" s="575"/>
      <c r="E28" s="576">
        <v>-1963436</v>
      </c>
      <c r="F28" s="196"/>
      <c r="G28" s="572" t="s">
        <v>699</v>
      </c>
    </row>
    <row r="29" spans="1:7" s="201" customFormat="1" ht="15.75" hidden="1">
      <c r="A29" s="589"/>
      <c r="B29" s="581" t="s">
        <v>596</v>
      </c>
      <c r="C29" s="581"/>
      <c r="D29" s="579"/>
      <c r="E29" s="204">
        <v>-12880155</v>
      </c>
      <c r="G29" s="572" t="s">
        <v>700</v>
      </c>
    </row>
    <row r="30" spans="1:7" s="201" customFormat="1" ht="15.75" hidden="1">
      <c r="A30" s="590"/>
      <c r="B30" s="578" t="s">
        <v>597</v>
      </c>
      <c r="C30" s="578"/>
      <c r="D30" s="591"/>
      <c r="E30" s="204">
        <v>-3900000</v>
      </c>
      <c r="G30" s="572" t="s">
        <v>701</v>
      </c>
    </row>
    <row r="31" spans="1:7" s="201" customFormat="1" ht="15.75" hidden="1">
      <c r="A31" s="590"/>
      <c r="B31" s="581" t="s">
        <v>598</v>
      </c>
      <c r="C31" s="578"/>
      <c r="D31" s="591"/>
      <c r="E31" s="204">
        <v>-147190353</v>
      </c>
      <c r="G31" s="572" t="s">
        <v>695</v>
      </c>
    </row>
    <row r="32" spans="1:7" s="644" customFormat="1" ht="15.75" hidden="1">
      <c r="A32" s="577"/>
      <c r="B32" s="581" t="s">
        <v>599</v>
      </c>
      <c r="C32" s="581"/>
      <c r="D32" s="575"/>
      <c r="E32" s="204">
        <v>-400000</v>
      </c>
      <c r="G32" s="645" t="s">
        <v>698</v>
      </c>
    </row>
    <row r="33" spans="1:7" s="644" customFormat="1" ht="15.75" hidden="1">
      <c r="A33" s="590"/>
      <c r="B33" s="581" t="s">
        <v>600</v>
      </c>
      <c r="C33" s="581"/>
      <c r="D33" s="591"/>
      <c r="E33" s="204">
        <v>-1320800</v>
      </c>
      <c r="G33" s="645" t="s">
        <v>698</v>
      </c>
    </row>
    <row r="34" spans="1:7" s="644" customFormat="1" ht="15.75" hidden="1">
      <c r="A34" s="590"/>
      <c r="B34" s="581" t="s">
        <v>601</v>
      </c>
      <c r="C34" s="581"/>
      <c r="D34" s="575"/>
      <c r="E34" s="204">
        <v>-1168400</v>
      </c>
      <c r="G34" s="645" t="s">
        <v>698</v>
      </c>
    </row>
    <row r="35" spans="1:7" s="201" customFormat="1" ht="15.75" hidden="1">
      <c r="A35" s="199" t="s">
        <v>647</v>
      </c>
      <c r="B35" s="316"/>
      <c r="C35" s="316"/>
      <c r="D35" s="569"/>
      <c r="E35" s="200">
        <f>E7+E9+E12</f>
        <v>1068466657</v>
      </c>
      <c r="G35" s="572"/>
    </row>
    <row r="36" spans="1:7" s="201" customFormat="1" ht="15.75">
      <c r="A36" s="199"/>
      <c r="B36" s="316"/>
      <c r="C36" s="316"/>
      <c r="D36" s="569"/>
      <c r="E36" s="200"/>
      <c r="G36" s="572"/>
    </row>
    <row r="37" spans="1:7" s="201" customFormat="1" ht="15.75">
      <c r="A37" s="199" t="s">
        <v>691</v>
      </c>
      <c r="B37" s="316"/>
      <c r="C37" s="316"/>
      <c r="D37" s="569"/>
      <c r="E37" s="200">
        <f>SUM(D38:D42)</f>
        <v>78870352</v>
      </c>
      <c r="G37" s="572"/>
    </row>
    <row r="38" spans="1:7" s="201" customFormat="1" ht="15.75">
      <c r="A38" s="199"/>
      <c r="B38" s="203" t="s">
        <v>716</v>
      </c>
      <c r="C38" s="316"/>
      <c r="D38" s="569">
        <v>-12829518</v>
      </c>
      <c r="E38" s="200"/>
      <c r="G38" s="572"/>
    </row>
    <row r="39" spans="1:7" s="201" customFormat="1" ht="15.75">
      <c r="A39" s="199"/>
      <c r="B39" s="203" t="s">
        <v>726</v>
      </c>
      <c r="C39" s="316"/>
      <c r="D39" s="569">
        <v>98000685</v>
      </c>
      <c r="E39" s="200"/>
      <c r="G39" s="572"/>
    </row>
    <row r="40" spans="1:7" s="201" customFormat="1" ht="15.75">
      <c r="A40" s="199"/>
      <c r="B40" s="581" t="s">
        <v>596</v>
      </c>
      <c r="C40" s="316"/>
      <c r="D40" s="569">
        <v>-5679777</v>
      </c>
      <c r="E40" s="200"/>
      <c r="G40" s="572"/>
    </row>
    <row r="41" spans="1:7" s="201" customFormat="1" ht="15.75">
      <c r="A41" s="199"/>
      <c r="B41" s="604" t="s">
        <v>620</v>
      </c>
      <c r="C41" s="316"/>
      <c r="D41" s="569">
        <v>-170255</v>
      </c>
      <c r="E41" s="200"/>
      <c r="G41" s="572"/>
    </row>
    <row r="42" spans="1:7" s="201" customFormat="1" ht="15.75">
      <c r="A42" s="199"/>
      <c r="B42" s="203" t="s">
        <v>717</v>
      </c>
      <c r="C42" s="316"/>
      <c r="D42" s="569">
        <v>-450783</v>
      </c>
      <c r="E42" s="200"/>
      <c r="G42" s="572"/>
    </row>
    <row r="43" spans="1:7" s="201" customFormat="1" ht="15.75">
      <c r="A43" s="199" t="s">
        <v>718</v>
      </c>
      <c r="B43" s="203"/>
      <c r="C43" s="316"/>
      <c r="D43" s="569"/>
      <c r="E43" s="200">
        <f>E7+E9+E12+E37</f>
        <v>1147337009</v>
      </c>
      <c r="G43" s="572"/>
    </row>
    <row r="44" spans="1:7" s="201" customFormat="1" ht="15.75">
      <c r="A44" s="199"/>
      <c r="B44" s="316"/>
      <c r="C44" s="316"/>
      <c r="D44" s="569"/>
      <c r="E44" s="200"/>
      <c r="G44" s="572"/>
    </row>
    <row r="45" spans="1:7" s="201" customFormat="1" ht="15.75">
      <c r="A45" s="199" t="s">
        <v>602</v>
      </c>
      <c r="B45" s="316"/>
      <c r="C45" s="316"/>
      <c r="D45" s="569"/>
      <c r="E45" s="200">
        <f>SUM(E46:E107)</f>
        <v>1127168516</v>
      </c>
      <c r="G45" s="572"/>
    </row>
    <row r="46" spans="1:7" s="201" customFormat="1" ht="15.75">
      <c r="A46" s="577"/>
      <c r="B46" s="581" t="s">
        <v>603</v>
      </c>
      <c r="C46" s="592"/>
      <c r="D46" s="593"/>
      <c r="E46" s="204">
        <f>45670000-988945+28143218-12829518</f>
        <v>59994755</v>
      </c>
      <c r="G46" s="572"/>
    </row>
    <row r="47" spans="1:7" s="201" customFormat="1" ht="15.75">
      <c r="A47" s="577"/>
      <c r="B47" s="581" t="s">
        <v>604</v>
      </c>
      <c r="C47" s="581"/>
      <c r="D47" s="575"/>
      <c r="E47" s="204">
        <f>86655482+28143218-44514085</f>
        <v>70284615</v>
      </c>
      <c r="G47" s="572"/>
    </row>
    <row r="48" spans="1:7" s="201" customFormat="1" ht="15.75">
      <c r="A48" s="577"/>
      <c r="B48" s="581" t="s">
        <v>605</v>
      </c>
      <c r="C48" s="581"/>
      <c r="D48" s="575"/>
      <c r="E48" s="204">
        <f>150000000-891540-147190353</f>
        <v>1918107</v>
      </c>
      <c r="G48" s="572"/>
    </row>
    <row r="49" spans="1:7" s="201" customFormat="1" ht="15.75">
      <c r="A49" s="577"/>
      <c r="B49" s="581" t="s">
        <v>606</v>
      </c>
      <c r="C49" s="581"/>
      <c r="D49" s="575"/>
      <c r="E49" s="204">
        <f>641102647-5588000-450783</f>
        <v>635063864</v>
      </c>
      <c r="G49" s="572"/>
    </row>
    <row r="50" spans="1:7" s="201" customFormat="1" ht="15.75">
      <c r="A50" s="577"/>
      <c r="B50" s="581"/>
      <c r="C50" s="592" t="s">
        <v>607</v>
      </c>
      <c r="D50" s="594">
        <v>15000000</v>
      </c>
      <c r="E50" s="595"/>
      <c r="G50" s="572"/>
    </row>
    <row r="51" spans="1:8" s="201" customFormat="1" ht="15.75">
      <c r="A51" s="199"/>
      <c r="B51" s="581"/>
      <c r="C51" s="592" t="s">
        <v>608</v>
      </c>
      <c r="D51" s="596">
        <v>7600000</v>
      </c>
      <c r="E51" s="597"/>
      <c r="G51" s="572"/>
      <c r="H51" s="572"/>
    </row>
    <row r="52" spans="1:7" s="201" customFormat="1" ht="15.75">
      <c r="A52" s="199"/>
      <c r="B52" s="581"/>
      <c r="C52" s="592" t="s">
        <v>609</v>
      </c>
      <c r="D52" s="596">
        <f>603700000-103700000-5588000</f>
        <v>494412000</v>
      </c>
      <c r="E52" s="597"/>
      <c r="G52" s="572"/>
    </row>
    <row r="53" spans="1:7" s="201" customFormat="1" ht="15.75">
      <c r="A53" s="199"/>
      <c r="B53" s="581"/>
      <c r="C53" s="592" t="s">
        <v>610</v>
      </c>
      <c r="D53" s="596">
        <v>4375000</v>
      </c>
      <c r="E53" s="597"/>
      <c r="G53" s="572"/>
    </row>
    <row r="54" spans="1:7" s="201" customFormat="1" ht="15.75">
      <c r="A54" s="199"/>
      <c r="B54" s="581"/>
      <c r="C54" s="592" t="s">
        <v>611</v>
      </c>
      <c r="D54" s="596">
        <v>16675248</v>
      </c>
      <c r="E54" s="597"/>
      <c r="G54" s="572"/>
    </row>
    <row r="55" spans="1:7" s="201" customFormat="1" ht="15.75">
      <c r="A55" s="199"/>
      <c r="B55" s="581"/>
      <c r="C55" s="592" t="s">
        <v>702</v>
      </c>
      <c r="D55" s="596">
        <v>12954000</v>
      </c>
      <c r="E55" s="597"/>
      <c r="G55" s="572"/>
    </row>
    <row r="56" spans="1:7" s="201" customFormat="1" ht="15.75">
      <c r="A56" s="199"/>
      <c r="B56" s="581"/>
      <c r="C56" s="592" t="s">
        <v>719</v>
      </c>
      <c r="D56" s="596">
        <v>1286891</v>
      </c>
      <c r="E56" s="597"/>
      <c r="G56" s="572"/>
    </row>
    <row r="57" spans="1:7" s="201" customFormat="1" ht="15.75">
      <c r="A57" s="199"/>
      <c r="B57" s="581"/>
      <c r="C57" s="592" t="s">
        <v>720</v>
      </c>
      <c r="D57" s="596">
        <v>2565400</v>
      </c>
      <c r="E57" s="597"/>
      <c r="G57" s="572"/>
    </row>
    <row r="58" spans="1:7" s="201" customFormat="1" ht="15.75">
      <c r="A58" s="199"/>
      <c r="B58" s="581"/>
      <c r="C58" s="592" t="s">
        <v>721</v>
      </c>
      <c r="D58" s="596">
        <v>1663700</v>
      </c>
      <c r="E58" s="597"/>
      <c r="G58" s="572"/>
    </row>
    <row r="59" spans="1:7" s="201" customFormat="1" ht="15.75">
      <c r="A59" s="199"/>
      <c r="B59" s="581"/>
      <c r="C59" s="592" t="s">
        <v>722</v>
      </c>
      <c r="D59" s="596">
        <v>1441450</v>
      </c>
      <c r="E59" s="597"/>
      <c r="G59" s="572"/>
    </row>
    <row r="60" spans="1:7" s="201" customFormat="1" ht="15.75">
      <c r="A60" s="199"/>
      <c r="B60" s="581"/>
      <c r="C60" s="592" t="s">
        <v>723</v>
      </c>
      <c r="D60" s="596">
        <v>996950</v>
      </c>
      <c r="E60" s="597"/>
      <c r="G60" s="572"/>
    </row>
    <row r="61" spans="1:7" s="201" customFormat="1" ht="15.75">
      <c r="A61" s="199"/>
      <c r="B61" s="581"/>
      <c r="C61" s="592" t="s">
        <v>724</v>
      </c>
      <c r="D61" s="596">
        <v>825500</v>
      </c>
      <c r="E61" s="597"/>
      <c r="G61" s="572"/>
    </row>
    <row r="62" spans="1:7" s="201" customFormat="1" ht="15.75">
      <c r="A62" s="199"/>
      <c r="B62" s="581"/>
      <c r="C62" s="592" t="s">
        <v>725</v>
      </c>
      <c r="D62" s="596">
        <v>1066800</v>
      </c>
      <c r="E62" s="597"/>
      <c r="G62" s="572"/>
    </row>
    <row r="63" spans="1:7" s="201" customFormat="1" ht="15.75">
      <c r="A63" s="199"/>
      <c r="B63" s="581"/>
      <c r="C63" s="592" t="s">
        <v>612</v>
      </c>
      <c r="D63" s="593">
        <v>95251173</v>
      </c>
      <c r="E63" s="204"/>
      <c r="G63" s="572"/>
    </row>
    <row r="64" spans="1:7" s="201" customFormat="1" ht="15.75">
      <c r="A64" s="577"/>
      <c r="B64" s="598" t="s">
        <v>613</v>
      </c>
      <c r="C64" s="599"/>
      <c r="D64" s="600"/>
      <c r="E64" s="429">
        <f>7162353-746447</f>
        <v>6415906</v>
      </c>
      <c r="G64" s="572"/>
    </row>
    <row r="65" spans="1:7" s="201" customFormat="1" ht="15.75">
      <c r="A65" s="577"/>
      <c r="B65" s="581" t="s">
        <v>614</v>
      </c>
      <c r="C65" s="592"/>
      <c r="D65" s="594"/>
      <c r="E65" s="601">
        <f>997394+7080142+2306967+1893800</f>
        <v>12278303</v>
      </c>
      <c r="G65" s="572"/>
    </row>
    <row r="66" spans="1:7" s="201" customFormat="1" ht="15.75">
      <c r="A66" s="577"/>
      <c r="B66" s="581" t="s">
        <v>615</v>
      </c>
      <c r="C66" s="592"/>
      <c r="D66" s="594"/>
      <c r="E66" s="602">
        <f>6801351+18715009+6004204+4911555</f>
        <v>36432119</v>
      </c>
      <c r="G66" s="572"/>
    </row>
    <row r="67" spans="1:7" s="201" customFormat="1" ht="15.75">
      <c r="A67" s="580"/>
      <c r="B67" s="964" t="s">
        <v>616</v>
      </c>
      <c r="C67" s="964"/>
      <c r="D67" s="603"/>
      <c r="E67" s="586">
        <f>717136+201630+1879867+1009806+123720-917625</f>
        <v>3014534</v>
      </c>
      <c r="G67" s="572"/>
    </row>
    <row r="68" spans="1:7" s="201" customFormat="1" ht="15.75">
      <c r="A68" s="577"/>
      <c r="B68" s="578" t="s">
        <v>617</v>
      </c>
      <c r="C68" s="578"/>
      <c r="D68" s="579"/>
      <c r="E68" s="204">
        <v>2700000</v>
      </c>
      <c r="G68" s="572"/>
    </row>
    <row r="69" spans="1:7" s="201" customFormat="1" ht="15.75">
      <c r="A69" s="577"/>
      <c r="B69" s="578" t="s">
        <v>640</v>
      </c>
      <c r="C69" s="578"/>
      <c r="D69" s="579"/>
      <c r="E69" s="204">
        <f>12995482-187365</f>
        <v>12808117</v>
      </c>
      <c r="G69" s="572"/>
    </row>
    <row r="70" spans="1:7" s="644" customFormat="1" ht="15.75">
      <c r="A70" s="577"/>
      <c r="B70" s="578" t="s">
        <v>641</v>
      </c>
      <c r="C70" s="578"/>
      <c r="D70" s="579"/>
      <c r="E70" s="204">
        <v>26860000</v>
      </c>
      <c r="G70" s="645"/>
    </row>
    <row r="71" spans="1:7" s="201" customFormat="1" ht="15.75">
      <c r="A71" s="577"/>
      <c r="B71" s="578" t="s">
        <v>618</v>
      </c>
      <c r="C71" s="578"/>
      <c r="D71" s="579"/>
      <c r="E71" s="204">
        <v>60000</v>
      </c>
      <c r="G71" s="572"/>
    </row>
    <row r="72" spans="1:7" s="201" customFormat="1" ht="15.75">
      <c r="A72" s="577"/>
      <c r="B72" s="581" t="s">
        <v>619</v>
      </c>
      <c r="C72" s="581"/>
      <c r="D72" s="575"/>
      <c r="E72" s="204">
        <v>10000000</v>
      </c>
      <c r="G72" s="572"/>
    </row>
    <row r="73" spans="1:7" s="201" customFormat="1" ht="15.75">
      <c r="A73" s="577"/>
      <c r="B73" s="604" t="s">
        <v>620</v>
      </c>
      <c r="C73" s="581"/>
      <c r="D73" s="575"/>
      <c r="E73" s="204">
        <f>36345798-170255</f>
        <v>36175543</v>
      </c>
      <c r="G73" s="572"/>
    </row>
    <row r="74" spans="1:7" s="201" customFormat="1" ht="15.75">
      <c r="A74" s="577"/>
      <c r="B74" s="583" t="s">
        <v>621</v>
      </c>
      <c r="C74" s="584"/>
      <c r="D74" s="585"/>
      <c r="E74" s="586">
        <v>10000000</v>
      </c>
      <c r="G74" s="572"/>
    </row>
    <row r="75" spans="1:7" s="201" customFormat="1" ht="15.75">
      <c r="A75" s="577"/>
      <c r="B75" s="583" t="s">
        <v>622</v>
      </c>
      <c r="C75" s="584"/>
      <c r="D75" s="585"/>
      <c r="E75" s="586">
        <v>980440</v>
      </c>
      <c r="G75" s="572"/>
    </row>
    <row r="76" spans="1:7" s="201" customFormat="1" ht="15.75">
      <c r="A76" s="577"/>
      <c r="B76" s="583" t="s">
        <v>623</v>
      </c>
      <c r="C76" s="584"/>
      <c r="D76" s="585"/>
      <c r="E76" s="586">
        <v>996950</v>
      </c>
      <c r="G76" s="572"/>
    </row>
    <row r="77" spans="1:7" s="201" customFormat="1" ht="15.75">
      <c r="A77" s="577"/>
      <c r="B77" s="583" t="s">
        <v>624</v>
      </c>
      <c r="C77" s="584"/>
      <c r="D77" s="585"/>
      <c r="E77" s="586">
        <v>927100</v>
      </c>
      <c r="G77" s="572"/>
    </row>
    <row r="78" spans="1:7" s="201" customFormat="1" ht="15.75">
      <c r="A78" s="577"/>
      <c r="B78" s="583" t="s">
        <v>625</v>
      </c>
      <c r="C78" s="584"/>
      <c r="D78" s="585"/>
      <c r="E78" s="586">
        <v>400050</v>
      </c>
      <c r="G78" s="572"/>
    </row>
    <row r="79" spans="1:7" s="201" customFormat="1" ht="15.75">
      <c r="A79" s="577"/>
      <c r="B79" s="583" t="s">
        <v>626</v>
      </c>
      <c r="C79" s="584"/>
      <c r="D79" s="585"/>
      <c r="E79" s="586">
        <v>901700</v>
      </c>
      <c r="G79" s="572"/>
    </row>
    <row r="80" spans="1:7" s="201" customFormat="1" ht="15.75">
      <c r="A80" s="605"/>
      <c r="B80" s="208" t="s">
        <v>627</v>
      </c>
      <c r="C80" s="209"/>
      <c r="D80" s="606"/>
      <c r="E80" s="429">
        <v>1437640</v>
      </c>
      <c r="G80" s="572"/>
    </row>
    <row r="81" spans="1:7" s="201" customFormat="1" ht="15.75">
      <c r="A81" s="587"/>
      <c r="B81" s="578" t="s">
        <v>628</v>
      </c>
      <c r="C81" s="581"/>
      <c r="D81" s="575"/>
      <c r="E81" s="588">
        <v>1905000</v>
      </c>
      <c r="G81" s="572"/>
    </row>
    <row r="82" spans="1:5" ht="15.75">
      <c r="A82" s="202"/>
      <c r="B82" s="581" t="s">
        <v>629</v>
      </c>
      <c r="C82" s="203"/>
      <c r="D82" s="575"/>
      <c r="E82" s="576">
        <v>1154000</v>
      </c>
    </row>
    <row r="83" spans="1:5" ht="15.75">
      <c r="A83" s="202"/>
      <c r="B83" s="584" t="s">
        <v>630</v>
      </c>
      <c r="C83" s="203"/>
      <c r="D83" s="575"/>
      <c r="E83" s="582">
        <v>2344000</v>
      </c>
    </row>
    <row r="84" spans="1:5" ht="15.75">
      <c r="A84" s="202"/>
      <c r="B84" s="581" t="s">
        <v>631</v>
      </c>
      <c r="C84" s="203"/>
      <c r="D84" s="575"/>
      <c r="E84" s="576">
        <v>2032000</v>
      </c>
    </row>
    <row r="85" spans="1:5" ht="15.75">
      <c r="A85" s="202"/>
      <c r="B85" s="581" t="s">
        <v>632</v>
      </c>
      <c r="C85" s="203"/>
      <c r="D85" s="575"/>
      <c r="E85" s="582">
        <v>1778000</v>
      </c>
    </row>
    <row r="86" spans="1:7" s="570" customFormat="1" ht="15.75">
      <c r="A86" s="199"/>
      <c r="B86" s="581" t="s">
        <v>633</v>
      </c>
      <c r="C86" s="203"/>
      <c r="D86" s="575"/>
      <c r="E86" s="607">
        <v>1524000</v>
      </c>
      <c r="F86" s="608"/>
      <c r="G86" s="571"/>
    </row>
    <row r="87" spans="1:5" ht="15.75">
      <c r="A87" s="205"/>
      <c r="B87" s="581" t="s">
        <v>634</v>
      </c>
      <c r="C87" s="574"/>
      <c r="D87" s="575"/>
      <c r="E87" s="576">
        <v>2171700</v>
      </c>
    </row>
    <row r="88" spans="1:5" ht="15.75">
      <c r="A88" s="205"/>
      <c r="B88" s="581" t="s">
        <v>635</v>
      </c>
      <c r="C88" s="574"/>
      <c r="D88" s="575"/>
      <c r="E88" s="576">
        <v>122708</v>
      </c>
    </row>
    <row r="89" spans="1:7" s="201" customFormat="1" ht="15.75">
      <c r="A89" s="609"/>
      <c r="B89" s="581" t="s">
        <v>636</v>
      </c>
      <c r="C89" s="610"/>
      <c r="D89" s="575"/>
      <c r="E89" s="582">
        <v>14932560</v>
      </c>
      <c r="G89" s="572"/>
    </row>
    <row r="90" spans="1:7" s="598" customFormat="1" ht="15.75">
      <c r="A90" s="646"/>
      <c r="B90" s="581" t="s">
        <v>601</v>
      </c>
      <c r="C90" s="581"/>
      <c r="D90" s="575"/>
      <c r="E90" s="204">
        <f>8287702-1168400</f>
        <v>7119302</v>
      </c>
      <c r="G90" s="210"/>
    </row>
    <row r="91" spans="1:5" ht="15.75">
      <c r="A91" s="205"/>
      <c r="B91" s="581" t="s">
        <v>637</v>
      </c>
      <c r="C91" s="574"/>
      <c r="D91" s="575"/>
      <c r="E91" s="582">
        <v>7599998</v>
      </c>
    </row>
    <row r="92" spans="1:5" ht="15.75">
      <c r="A92" s="205"/>
      <c r="B92" s="581" t="s">
        <v>638</v>
      </c>
      <c r="C92" s="574"/>
      <c r="D92" s="575"/>
      <c r="E92" s="576">
        <v>7534656</v>
      </c>
    </row>
    <row r="93" spans="1:7" s="598" customFormat="1" ht="15.75">
      <c r="A93" s="646"/>
      <c r="B93" s="581" t="s">
        <v>600</v>
      </c>
      <c r="C93" s="581"/>
      <c r="D93" s="575"/>
      <c r="E93" s="204">
        <f>8169021-1320800</f>
        <v>6848221</v>
      </c>
      <c r="G93" s="210"/>
    </row>
    <row r="94" spans="1:5" ht="15.75">
      <c r="A94" s="205"/>
      <c r="B94" s="581" t="s">
        <v>639</v>
      </c>
      <c r="C94" s="574"/>
      <c r="D94" s="575"/>
      <c r="E94" s="576">
        <v>2497869</v>
      </c>
    </row>
    <row r="95" spans="1:5" ht="15.75">
      <c r="A95" s="205"/>
      <c r="B95" s="581" t="s">
        <v>703</v>
      </c>
      <c r="C95" s="574"/>
      <c r="D95" s="575"/>
      <c r="E95" s="611">
        <v>1425600</v>
      </c>
    </row>
    <row r="96" spans="1:5" ht="15.75">
      <c r="A96" s="205"/>
      <c r="B96" s="581" t="s">
        <v>704</v>
      </c>
      <c r="C96" s="574"/>
      <c r="D96" s="575"/>
      <c r="E96" s="611">
        <v>1500000</v>
      </c>
    </row>
    <row r="97" spans="1:5" ht="15.75">
      <c r="A97" s="205"/>
      <c r="B97" s="581" t="s">
        <v>705</v>
      </c>
      <c r="C97" s="574"/>
      <c r="D97" s="575"/>
      <c r="E97" s="611">
        <v>3000000</v>
      </c>
    </row>
    <row r="98" spans="1:5" ht="15.75">
      <c r="A98" s="205"/>
      <c r="B98" s="574" t="s">
        <v>706</v>
      </c>
      <c r="C98" s="574"/>
      <c r="D98" s="575"/>
      <c r="E98" s="611">
        <v>8000000</v>
      </c>
    </row>
    <row r="99" spans="1:5" ht="15.75">
      <c r="A99" s="205"/>
      <c r="B99" s="574" t="s">
        <v>707</v>
      </c>
      <c r="C99" s="574"/>
      <c r="D99" s="575"/>
      <c r="E99" s="611">
        <v>6351053</v>
      </c>
    </row>
    <row r="100" spans="1:5" ht="15.75">
      <c r="A100" s="205"/>
      <c r="B100" s="581" t="s">
        <v>708</v>
      </c>
      <c r="C100" s="574"/>
      <c r="D100" s="575"/>
      <c r="E100" s="611">
        <v>9462159</v>
      </c>
    </row>
    <row r="101" spans="1:5" ht="15.75">
      <c r="A101" s="205"/>
      <c r="B101" s="574" t="s">
        <v>709</v>
      </c>
      <c r="C101" s="759"/>
      <c r="D101" s="575"/>
      <c r="E101" s="611">
        <v>1000000</v>
      </c>
    </row>
    <row r="102" spans="1:5" ht="15.75">
      <c r="A102" s="205"/>
      <c r="B102" s="574" t="s">
        <v>710</v>
      </c>
      <c r="C102" s="759"/>
      <c r="D102" s="575"/>
      <c r="E102" s="611">
        <v>4787861</v>
      </c>
    </row>
    <row r="103" spans="1:5" ht="15.75">
      <c r="A103" s="205"/>
      <c r="B103" s="574" t="s">
        <v>711</v>
      </c>
      <c r="C103" s="759"/>
      <c r="D103" s="575"/>
      <c r="E103" s="611">
        <v>384048</v>
      </c>
    </row>
    <row r="104" spans="1:5" ht="15.75">
      <c r="A104" s="205"/>
      <c r="B104" s="574" t="s">
        <v>712</v>
      </c>
      <c r="C104" s="759"/>
      <c r="D104" s="575"/>
      <c r="E104" s="611">
        <v>111111</v>
      </c>
    </row>
    <row r="105" spans="1:5" ht="15.75">
      <c r="A105" s="205"/>
      <c r="B105" s="574" t="s">
        <v>713</v>
      </c>
      <c r="C105" s="759"/>
      <c r="D105" s="575"/>
      <c r="E105" s="576">
        <v>2000000</v>
      </c>
    </row>
    <row r="106" spans="1:5" ht="15.75">
      <c r="A106" s="205"/>
      <c r="B106" s="203" t="s">
        <v>726</v>
      </c>
      <c r="C106" s="316"/>
      <c r="D106" s="575"/>
      <c r="E106" s="763">
        <v>98000685</v>
      </c>
    </row>
    <row r="107" spans="1:5" ht="15.75">
      <c r="A107" s="761"/>
      <c r="B107" s="762" t="s">
        <v>714</v>
      </c>
      <c r="C107" s="196"/>
      <c r="D107" s="575"/>
      <c r="E107" s="611">
        <v>1932242</v>
      </c>
    </row>
    <row r="108" spans="1:7" s="201" customFormat="1" ht="15.75">
      <c r="A108" s="609" t="s">
        <v>467</v>
      </c>
      <c r="B108" s="610"/>
      <c r="C108" s="610"/>
      <c r="D108" s="612"/>
      <c r="E108" s="200">
        <f>E43-E45</f>
        <v>20168493</v>
      </c>
      <c r="F108" s="613"/>
      <c r="G108" s="572"/>
    </row>
    <row r="109" spans="1:7" s="201" customFormat="1" ht="15.75">
      <c r="A109" s="613"/>
      <c r="B109" s="613"/>
      <c r="C109" s="812" t="s">
        <v>827</v>
      </c>
      <c r="D109" s="614"/>
      <c r="E109" s="760"/>
      <c r="F109" s="613"/>
      <c r="G109" s="572"/>
    </row>
    <row r="110" spans="1:8" s="201" customFormat="1" ht="15.75">
      <c r="A110" s="206"/>
      <c r="B110" s="206"/>
      <c r="C110" s="206"/>
      <c r="D110" s="566"/>
      <c r="E110" s="207"/>
      <c r="F110" s="206"/>
      <c r="G110" s="564"/>
      <c r="H110" s="196"/>
    </row>
    <row r="111" spans="1:6" ht="15.75">
      <c r="A111" s="206"/>
      <c r="B111" s="206"/>
      <c r="E111" s="207"/>
      <c r="F111" s="206"/>
    </row>
    <row r="112" spans="1:8" s="598" customFormat="1" ht="15" customHeight="1">
      <c r="A112" s="196"/>
      <c r="B112" s="196"/>
      <c r="C112" s="196"/>
      <c r="D112" s="196"/>
      <c r="E112" s="196"/>
      <c r="F112" s="196"/>
      <c r="G112" s="196"/>
      <c r="H112" s="196"/>
    </row>
    <row r="113" spans="1:8" s="598" customFormat="1" ht="15.75">
      <c r="A113" s="196"/>
      <c r="B113" s="196"/>
      <c r="C113" s="196"/>
      <c r="D113" s="196"/>
      <c r="E113" s="196"/>
      <c r="F113" s="196"/>
      <c r="G113" s="196"/>
      <c r="H113" s="196"/>
    </row>
    <row r="114" spans="1:8" s="598" customFormat="1" ht="15.75">
      <c r="A114" s="206"/>
      <c r="B114" s="206"/>
      <c r="C114" s="206"/>
      <c r="D114" s="566"/>
      <c r="E114" s="207"/>
      <c r="F114" s="206"/>
      <c r="G114" s="564"/>
      <c r="H114" s="196"/>
    </row>
    <row r="115" spans="1:6" ht="15.75">
      <c r="A115" s="206"/>
      <c r="B115" s="206"/>
      <c r="E115" s="207"/>
      <c r="F115" s="206"/>
    </row>
    <row r="116" spans="1:6" ht="15.75">
      <c r="A116" s="206"/>
      <c r="B116" s="206"/>
      <c r="E116" s="207"/>
      <c r="F116" s="206"/>
    </row>
    <row r="117" spans="1:6" ht="15.75">
      <c r="A117" s="206"/>
      <c r="B117" s="206"/>
      <c r="E117" s="207"/>
      <c r="F117" s="206"/>
    </row>
    <row r="118" spans="1:6" ht="15.75">
      <c r="A118" s="206"/>
      <c r="B118" s="206"/>
      <c r="E118" s="207"/>
      <c r="F118" s="206"/>
    </row>
    <row r="119" spans="1:6" ht="15.75">
      <c r="A119" s="206"/>
      <c r="B119" s="206"/>
      <c r="E119" s="207"/>
      <c r="F119" s="206"/>
    </row>
    <row r="120" spans="1:6" ht="15.75">
      <c r="A120" s="206"/>
      <c r="B120" s="206"/>
      <c r="E120" s="207"/>
      <c r="F120" s="206"/>
    </row>
    <row r="121" spans="1:6" ht="15.75">
      <c r="A121" s="206"/>
      <c r="B121" s="206"/>
      <c r="E121" s="207"/>
      <c r="F121" s="206"/>
    </row>
    <row r="122" spans="1:6" ht="15.75">
      <c r="A122" s="206"/>
      <c r="B122" s="206"/>
      <c r="E122" s="207"/>
      <c r="F122" s="206"/>
    </row>
    <row r="123" spans="1:6" ht="15.75">
      <c r="A123" s="206"/>
      <c r="B123" s="206"/>
      <c r="E123" s="207"/>
      <c r="F123" s="206"/>
    </row>
    <row r="124" spans="1:6" ht="15.75">
      <c r="A124" s="206"/>
      <c r="B124" s="206"/>
      <c r="E124" s="207"/>
      <c r="F124" s="206"/>
    </row>
    <row r="125" spans="1:6" ht="15.75">
      <c r="A125" s="206"/>
      <c r="B125" s="206"/>
      <c r="E125" s="207"/>
      <c r="F125" s="206"/>
    </row>
    <row r="126" spans="1:6" ht="15.75">
      <c r="A126" s="206"/>
      <c r="B126" s="206"/>
      <c r="E126" s="207"/>
      <c r="F126" s="206"/>
    </row>
    <row r="127" spans="1:6" ht="15.75">
      <c r="A127" s="206"/>
      <c r="B127" s="206"/>
      <c r="E127" s="207"/>
      <c r="F127" s="206"/>
    </row>
    <row r="128" spans="1:6" ht="15.75">
      <c r="A128" s="206"/>
      <c r="B128" s="206"/>
      <c r="E128" s="207"/>
      <c r="F128" s="206"/>
    </row>
    <row r="129" spans="1:6" ht="15.75">
      <c r="A129" s="206"/>
      <c r="B129" s="206"/>
      <c r="E129" s="207"/>
      <c r="F129" s="206"/>
    </row>
    <row r="130" spans="1:6" ht="15.75">
      <c r="A130" s="206"/>
      <c r="B130" s="206"/>
      <c r="E130" s="207"/>
      <c r="F130" s="206"/>
    </row>
    <row r="131" spans="1:6" ht="15.75">
      <c r="A131" s="206"/>
      <c r="B131" s="206"/>
      <c r="E131" s="207"/>
      <c r="F131" s="206"/>
    </row>
    <row r="132" spans="1:6" ht="15.75">
      <c r="A132" s="206"/>
      <c r="B132" s="206"/>
      <c r="E132" s="207"/>
      <c r="F132" s="206"/>
    </row>
    <row r="133" spans="1:6" ht="15.75">
      <c r="A133" s="206"/>
      <c r="B133" s="206"/>
      <c r="E133" s="207"/>
      <c r="F133" s="206"/>
    </row>
    <row r="134" spans="1:6" ht="15.75">
      <c r="A134" s="206"/>
      <c r="B134" s="206"/>
      <c r="E134" s="207"/>
      <c r="F134" s="206"/>
    </row>
    <row r="135" spans="1:6" ht="15.75">
      <c r="A135" s="206"/>
      <c r="B135" s="206"/>
      <c r="E135" s="207"/>
      <c r="F135" s="206"/>
    </row>
    <row r="136" spans="1:6" ht="15.75">
      <c r="A136" s="206"/>
      <c r="B136" s="206"/>
      <c r="E136" s="207"/>
      <c r="F136" s="206"/>
    </row>
    <row r="137" spans="1:6" ht="15.75">
      <c r="A137" s="206"/>
      <c r="B137" s="206"/>
      <c r="E137" s="207"/>
      <c r="F137" s="206"/>
    </row>
    <row r="138" spans="1:6" ht="15.75">
      <c r="A138" s="206"/>
      <c r="B138" s="206"/>
      <c r="E138" s="207"/>
      <c r="F138" s="206"/>
    </row>
    <row r="139" spans="1:6" ht="15.75">
      <c r="A139" s="206"/>
      <c r="B139" s="206"/>
      <c r="E139" s="207"/>
      <c r="F139" s="206"/>
    </row>
    <row r="140" spans="1:8" ht="15.75">
      <c r="A140" s="613"/>
      <c r="B140" s="613"/>
      <c r="C140" s="613"/>
      <c r="D140" s="614"/>
      <c r="E140" s="615"/>
      <c r="F140" s="613"/>
      <c r="G140" s="572"/>
      <c r="H140" s="201"/>
    </row>
    <row r="149" spans="1:8" s="201" customFormat="1" ht="15.75">
      <c r="A149" s="196"/>
      <c r="B149" s="196"/>
      <c r="C149" s="206"/>
      <c r="D149" s="566"/>
      <c r="E149" s="210"/>
      <c r="F149" s="196"/>
      <c r="G149" s="564"/>
      <c r="H149" s="196"/>
    </row>
  </sheetData>
  <mergeCells count="4">
    <mergeCell ref="C1:E1"/>
    <mergeCell ref="B3:E3"/>
    <mergeCell ref="A7:C7"/>
    <mergeCell ref="B67:C67"/>
  </mergeCells>
  <printOptions horizontalCentered="1"/>
  <pageMargins left="0.15748031496062992" right="0.86" top="0.53" bottom="0.59" header="0.4330708661417323" footer="0.29"/>
  <pageSetup horizontalDpi="600" verticalDpi="600" orientation="portrait" paperSize="8" scale="57" r:id="rId2"/>
  <headerFooter alignWithMargins="0">
    <oddFooter>&amp;C&amp;P. oldal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6"/>
  <dimension ref="A1:E25"/>
  <sheetViews>
    <sheetView view="pageBreakPreview" zoomScale="75" zoomScaleNormal="60" zoomScaleSheetLayoutView="75" workbookViewId="0" topLeftCell="A1">
      <selection activeCell="B2" sqref="B2"/>
    </sheetView>
  </sheetViews>
  <sheetFormatPr defaultColWidth="9.00390625" defaultRowHeight="12.75"/>
  <cols>
    <col min="1" max="1" width="2.75390625" style="211" customWidth="1"/>
    <col min="2" max="2" width="106.75390625" style="211" customWidth="1"/>
    <col min="3" max="3" width="22.375" style="213" customWidth="1"/>
    <col min="4" max="4" width="10.125" style="186" bestFit="1" customWidth="1"/>
    <col min="5" max="5" width="11.75390625" style="186" bestFit="1" customWidth="1"/>
    <col min="6" max="16384" width="9.125" style="186" customWidth="1"/>
  </cols>
  <sheetData>
    <row r="1" spans="1:4" ht="20.25" customHeight="1">
      <c r="A1" s="541"/>
      <c r="B1" s="967" t="s">
        <v>7</v>
      </c>
      <c r="C1" s="967"/>
      <c r="D1" s="317"/>
    </row>
    <row r="2" spans="1:3" ht="20.25" customHeight="1">
      <c r="A2" s="541"/>
      <c r="B2" s="542"/>
      <c r="C2" s="542"/>
    </row>
    <row r="3" spans="1:3" ht="15">
      <c r="A3" s="541"/>
      <c r="B3" s="543"/>
      <c r="C3" s="544"/>
    </row>
    <row r="4" spans="1:5" ht="15.75">
      <c r="A4" s="541"/>
      <c r="B4" s="965" t="s">
        <v>419</v>
      </c>
      <c r="C4" s="965"/>
      <c r="D4" s="212"/>
      <c r="E4" s="212"/>
    </row>
    <row r="5" spans="1:5" ht="15.75">
      <c r="A5" s="541"/>
      <c r="B5" s="545"/>
      <c r="C5" s="545"/>
      <c r="D5" s="212"/>
      <c r="E5" s="212"/>
    </row>
    <row r="6" spans="1:5" ht="15.75">
      <c r="A6" s="541"/>
      <c r="B6" s="545"/>
      <c r="C6" s="545"/>
      <c r="D6" s="212"/>
      <c r="E6" s="212"/>
    </row>
    <row r="7" spans="1:5" ht="15.75">
      <c r="A7" s="541"/>
      <c r="B7" s="546"/>
      <c r="C7" s="545"/>
      <c r="D7" s="212"/>
      <c r="E7" s="212"/>
    </row>
    <row r="8" spans="1:5" ht="15.75">
      <c r="A8" s="541"/>
      <c r="B8" s="545"/>
      <c r="C8" s="547" t="s">
        <v>377</v>
      </c>
      <c r="D8" s="159"/>
      <c r="E8" s="159"/>
    </row>
    <row r="9" spans="1:3" ht="33.75" customHeight="1">
      <c r="A9" s="937" t="s">
        <v>378</v>
      </c>
      <c r="B9" s="966"/>
      <c r="C9" s="548">
        <v>0</v>
      </c>
    </row>
    <row r="10" spans="1:3" s="162" customFormat="1" ht="15.75">
      <c r="A10" s="504"/>
      <c r="B10" s="549"/>
      <c r="C10" s="353"/>
    </row>
    <row r="11" spans="1:3" s="162" customFormat="1" ht="15.75">
      <c r="A11" s="504" t="s">
        <v>465</v>
      </c>
      <c r="B11" s="549"/>
      <c r="C11" s="353">
        <f>C12</f>
        <v>362293</v>
      </c>
    </row>
    <row r="12" spans="1:3" s="162" customFormat="1" ht="15.75" hidden="1">
      <c r="A12" s="503"/>
      <c r="B12" s="550" t="s">
        <v>468</v>
      </c>
      <c r="C12" s="356">
        <v>362293</v>
      </c>
    </row>
    <row r="13" spans="1:3" s="162" customFormat="1" ht="15.75">
      <c r="A13" s="503"/>
      <c r="B13" s="550"/>
      <c r="C13" s="356"/>
    </row>
    <row r="14" spans="1:3" s="162" customFormat="1" ht="15.75">
      <c r="A14" s="503" t="s">
        <v>530</v>
      </c>
      <c r="B14" s="550"/>
      <c r="C14" s="356">
        <f>C15+C16</f>
        <v>34505449</v>
      </c>
    </row>
    <row r="15" spans="1:3" s="162" customFormat="1" ht="15.75" hidden="1">
      <c r="A15" s="503"/>
      <c r="B15" s="647" t="s">
        <v>531</v>
      </c>
      <c r="C15" s="648">
        <v>13267310</v>
      </c>
    </row>
    <row r="16" spans="1:3" s="162" customFormat="1" ht="15.75" hidden="1">
      <c r="A16" s="503"/>
      <c r="B16" s="647" t="s">
        <v>643</v>
      </c>
      <c r="C16" s="648">
        <v>21238139</v>
      </c>
    </row>
    <row r="17" spans="1:3" s="162" customFormat="1" ht="15.75">
      <c r="A17" s="503"/>
      <c r="B17" s="647"/>
      <c r="C17" s="648"/>
    </row>
    <row r="18" spans="1:3" s="162" customFormat="1" ht="15.75">
      <c r="A18" s="503" t="s">
        <v>691</v>
      </c>
      <c r="B18" s="647"/>
      <c r="C18" s="356">
        <f>C19</f>
        <v>-4017139</v>
      </c>
    </row>
    <row r="19" spans="1:3" s="162" customFormat="1" ht="15.75">
      <c r="A19" s="503"/>
      <c r="B19" s="647" t="s">
        <v>643</v>
      </c>
      <c r="C19" s="648">
        <v>-4017139</v>
      </c>
    </row>
    <row r="20" spans="1:3" s="162" customFormat="1" ht="15.75">
      <c r="A20" s="503"/>
      <c r="B20" s="647"/>
      <c r="C20" s="648"/>
    </row>
    <row r="21" spans="1:3" s="162" customFormat="1" ht="15.75">
      <c r="A21" s="503" t="s">
        <v>692</v>
      </c>
      <c r="B21" s="550"/>
      <c r="C21" s="356">
        <f>C11+C14+C18</f>
        <v>30850603</v>
      </c>
    </row>
    <row r="22" spans="1:3" ht="15">
      <c r="A22" s="541"/>
      <c r="B22" s="541"/>
      <c r="C22" s="487"/>
    </row>
    <row r="23" spans="1:3" ht="15">
      <c r="A23" s="541"/>
      <c r="B23" s="541"/>
      <c r="C23" s="487"/>
    </row>
    <row r="24" spans="1:3" ht="15">
      <c r="A24" s="541"/>
      <c r="B24" s="541"/>
      <c r="C24" s="487"/>
    </row>
    <row r="25" spans="1:3" ht="15">
      <c r="A25" s="541"/>
      <c r="B25" s="812" t="s">
        <v>827</v>
      </c>
      <c r="C25" s="487"/>
    </row>
  </sheetData>
  <mergeCells count="3">
    <mergeCell ref="B4:C4"/>
    <mergeCell ref="A9:B9"/>
    <mergeCell ref="B1:C1"/>
  </mergeCells>
  <printOptions horizontalCentered="1"/>
  <pageMargins left="0.35" right="0.28" top="1.13" bottom="0.47" header="0.94" footer="0.5118110236220472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E2" sqref="E2:J2"/>
    </sheetView>
  </sheetViews>
  <sheetFormatPr defaultColWidth="9.00390625" defaultRowHeight="12.75"/>
  <cols>
    <col min="1" max="1" width="10.75390625" style="846" customWidth="1"/>
    <col min="2" max="2" width="47.125" style="846" customWidth="1"/>
    <col min="3" max="3" width="13.25390625" style="846" customWidth="1"/>
    <col min="4" max="4" width="11.375" style="846" customWidth="1"/>
    <col min="5" max="6" width="11.625" style="847" customWidth="1"/>
    <col min="7" max="8" width="12.25390625" style="846" customWidth="1"/>
    <col min="9" max="9" width="14.25390625" style="846" customWidth="1"/>
    <col min="10" max="10" width="11.375" style="846" customWidth="1"/>
    <col min="11" max="16384" width="9.125" style="846" customWidth="1"/>
  </cols>
  <sheetData>
    <row r="2" spans="5:10" ht="12.75">
      <c r="E2" s="971" t="s">
        <v>805</v>
      </c>
      <c r="F2" s="971"/>
      <c r="G2" s="971"/>
      <c r="H2" s="971"/>
      <c r="I2" s="971"/>
      <c r="J2" s="971"/>
    </row>
    <row r="3" spans="1:10" ht="12.75">
      <c r="A3" s="968" t="s">
        <v>806</v>
      </c>
      <c r="B3" s="968"/>
      <c r="C3" s="968"/>
      <c r="D3" s="968"/>
      <c r="E3" s="968"/>
      <c r="F3" s="968"/>
      <c r="G3" s="968"/>
      <c r="H3" s="968"/>
      <c r="I3" s="968"/>
      <c r="J3" s="968"/>
    </row>
    <row r="4" spans="7:10" ht="12.75">
      <c r="G4" s="972" t="s">
        <v>35</v>
      </c>
      <c r="H4" s="972"/>
      <c r="I4" s="972"/>
      <c r="J4" s="972"/>
    </row>
    <row r="5" spans="1:10" s="850" customFormat="1" ht="76.5">
      <c r="A5" s="848" t="s">
        <v>807</v>
      </c>
      <c r="B5" s="848" t="s">
        <v>808</v>
      </c>
      <c r="C5" s="848" t="s">
        <v>809</v>
      </c>
      <c r="D5" s="848" t="s">
        <v>810</v>
      </c>
      <c r="E5" s="849" t="s">
        <v>811</v>
      </c>
      <c r="F5" s="849" t="s">
        <v>812</v>
      </c>
      <c r="G5" s="848" t="s">
        <v>813</v>
      </c>
      <c r="H5" s="848" t="s">
        <v>814</v>
      </c>
      <c r="I5" s="848" t="s">
        <v>815</v>
      </c>
      <c r="J5" s="848" t="s">
        <v>816</v>
      </c>
    </row>
    <row r="6" spans="1:10" ht="27" customHeight="1">
      <c r="A6" s="851" t="s">
        <v>817</v>
      </c>
      <c r="B6" s="851" t="s">
        <v>818</v>
      </c>
      <c r="C6" s="852">
        <v>189526</v>
      </c>
      <c r="D6" s="852">
        <v>0</v>
      </c>
      <c r="E6" s="853">
        <v>0</v>
      </c>
      <c r="F6" s="853">
        <v>0</v>
      </c>
      <c r="G6" s="852">
        <v>0</v>
      </c>
      <c r="H6" s="852"/>
      <c r="I6" s="852">
        <v>189526</v>
      </c>
      <c r="J6" s="852">
        <v>189526</v>
      </c>
    </row>
    <row r="7" spans="1:10" ht="25.5" customHeight="1">
      <c r="A7" s="851" t="s">
        <v>819</v>
      </c>
      <c r="B7" s="851" t="s">
        <v>820</v>
      </c>
      <c r="C7" s="852">
        <v>1451862</v>
      </c>
      <c r="D7" s="852">
        <v>217779</v>
      </c>
      <c r="E7" s="853">
        <v>120147</v>
      </c>
      <c r="F7" s="853">
        <v>66081</v>
      </c>
      <c r="G7" s="852">
        <v>119779</v>
      </c>
      <c r="H7" s="852">
        <v>64310</v>
      </c>
      <c r="I7" s="852">
        <v>1234083</v>
      </c>
      <c r="J7" s="852">
        <v>1451862</v>
      </c>
    </row>
    <row r="8" spans="1:10" ht="38.25">
      <c r="A8" s="851" t="s">
        <v>821</v>
      </c>
      <c r="B8" s="851" t="s">
        <v>822</v>
      </c>
      <c r="C8" s="852">
        <v>914084</v>
      </c>
      <c r="D8" s="852">
        <v>184683</v>
      </c>
      <c r="E8" s="853">
        <v>158947</v>
      </c>
      <c r="F8" s="853">
        <v>0</v>
      </c>
      <c r="G8" s="852">
        <v>0</v>
      </c>
      <c r="H8" s="852">
        <v>6047</v>
      </c>
      <c r="I8" s="852">
        <v>729401</v>
      </c>
      <c r="J8" s="852">
        <v>914084</v>
      </c>
    </row>
    <row r="9" spans="1:10" ht="43.5" customHeight="1">
      <c r="A9" s="851" t="s">
        <v>823</v>
      </c>
      <c r="B9" s="851" t="s">
        <v>19</v>
      </c>
      <c r="C9" s="852">
        <v>32111</v>
      </c>
      <c r="D9" s="852">
        <v>3211</v>
      </c>
      <c r="E9" s="853">
        <v>2957</v>
      </c>
      <c r="F9" s="853">
        <v>0</v>
      </c>
      <c r="G9" s="852">
        <v>0</v>
      </c>
      <c r="H9" s="852">
        <v>0</v>
      </c>
      <c r="I9" s="852">
        <v>28900</v>
      </c>
      <c r="J9" s="852">
        <v>32111</v>
      </c>
    </row>
    <row r="10" spans="1:10" ht="49.5">
      <c r="A10" s="851" t="s">
        <v>824</v>
      </c>
      <c r="B10" s="851" t="s">
        <v>20</v>
      </c>
      <c r="C10" s="852">
        <v>0</v>
      </c>
      <c r="D10" s="852">
        <v>0</v>
      </c>
      <c r="E10" s="853">
        <v>683</v>
      </c>
      <c r="F10" s="853">
        <v>0</v>
      </c>
      <c r="G10" s="852">
        <v>0</v>
      </c>
      <c r="H10" s="852">
        <v>0</v>
      </c>
      <c r="I10" s="852">
        <v>0</v>
      </c>
      <c r="J10" s="852">
        <v>0</v>
      </c>
    </row>
    <row r="11" spans="1:10" ht="38.25">
      <c r="A11" s="851" t="s">
        <v>825</v>
      </c>
      <c r="B11" s="851" t="s">
        <v>8</v>
      </c>
      <c r="C11" s="852">
        <v>395883</v>
      </c>
      <c r="D11" s="852">
        <v>51637</v>
      </c>
      <c r="E11" s="853">
        <v>47527</v>
      </c>
      <c r="F11" s="853">
        <v>0</v>
      </c>
      <c r="G11" s="852">
        <v>0</v>
      </c>
      <c r="H11" s="852">
        <v>0</v>
      </c>
      <c r="I11" s="852">
        <v>344246</v>
      </c>
      <c r="J11" s="852">
        <v>395883</v>
      </c>
    </row>
    <row r="12" spans="1:10" ht="51">
      <c r="A12" s="851" t="s">
        <v>9</v>
      </c>
      <c r="B12" s="851" t="s">
        <v>21</v>
      </c>
      <c r="C12" s="852">
        <v>169447</v>
      </c>
      <c r="D12" s="852">
        <v>36346</v>
      </c>
      <c r="E12" s="853">
        <v>36346</v>
      </c>
      <c r="F12" s="853">
        <v>0</v>
      </c>
      <c r="G12" s="852">
        <v>0</v>
      </c>
      <c r="H12" s="852">
        <v>0</v>
      </c>
      <c r="I12" s="852">
        <v>133101</v>
      </c>
      <c r="J12" s="852">
        <v>169447</v>
      </c>
    </row>
    <row r="13" spans="1:10" ht="25.5">
      <c r="A13" s="851" t="s">
        <v>10</v>
      </c>
      <c r="B13" s="851" t="s">
        <v>11</v>
      </c>
      <c r="C13" s="852">
        <v>126243</v>
      </c>
      <c r="D13" s="852">
        <v>6312</v>
      </c>
      <c r="E13" s="853">
        <v>6202</v>
      </c>
      <c r="F13" s="853">
        <v>0</v>
      </c>
      <c r="G13" s="852">
        <v>0</v>
      </c>
      <c r="H13" s="852">
        <v>0</v>
      </c>
      <c r="I13" s="852">
        <v>119931</v>
      </c>
      <c r="J13" s="852">
        <v>126243</v>
      </c>
    </row>
    <row r="14" spans="1:10" ht="25.5">
      <c r="A14" s="851" t="s">
        <v>12</v>
      </c>
      <c r="B14" s="851" t="s">
        <v>13</v>
      </c>
      <c r="C14" s="852">
        <v>732656</v>
      </c>
      <c r="D14" s="852">
        <v>109898</v>
      </c>
      <c r="E14" s="853">
        <v>45385</v>
      </c>
      <c r="F14" s="853">
        <v>0</v>
      </c>
      <c r="G14" s="852">
        <v>0</v>
      </c>
      <c r="H14" s="852">
        <v>0</v>
      </c>
      <c r="I14" s="852">
        <v>622758</v>
      </c>
      <c r="J14" s="852">
        <v>732656</v>
      </c>
    </row>
    <row r="15" spans="1:10" ht="51">
      <c r="A15" s="854" t="s">
        <v>14</v>
      </c>
      <c r="B15" s="855" t="s">
        <v>15</v>
      </c>
      <c r="C15" s="852">
        <v>20361</v>
      </c>
      <c r="D15" s="852">
        <v>3054</v>
      </c>
      <c r="E15" s="853">
        <v>3054</v>
      </c>
      <c r="F15" s="853">
        <v>0</v>
      </c>
      <c r="G15" s="852">
        <v>0</v>
      </c>
      <c r="H15" s="852">
        <v>0</v>
      </c>
      <c r="I15" s="852">
        <v>17307</v>
      </c>
      <c r="J15" s="852">
        <v>20361</v>
      </c>
    </row>
    <row r="16" spans="1:10" ht="25.5">
      <c r="A16" s="854" t="s">
        <v>16</v>
      </c>
      <c r="B16" s="851" t="s">
        <v>17</v>
      </c>
      <c r="C16" s="852">
        <v>1937897</v>
      </c>
      <c r="D16" s="852">
        <v>315683</v>
      </c>
      <c r="E16" s="853">
        <v>114368</v>
      </c>
      <c r="F16" s="853">
        <v>0</v>
      </c>
      <c r="G16" s="852">
        <v>0</v>
      </c>
      <c r="H16" s="852">
        <v>0</v>
      </c>
      <c r="I16" s="852">
        <v>1622213</v>
      </c>
      <c r="J16" s="852">
        <v>1937897</v>
      </c>
    </row>
    <row r="17" spans="1:10" ht="12.75">
      <c r="A17" s="969" t="s">
        <v>18</v>
      </c>
      <c r="B17" s="970"/>
      <c r="C17" s="856">
        <f aca="true" t="shared" si="0" ref="C17:J17">SUM(C6:C16)</f>
        <v>5970070</v>
      </c>
      <c r="D17" s="856">
        <f t="shared" si="0"/>
        <v>928603</v>
      </c>
      <c r="E17" s="856">
        <f t="shared" si="0"/>
        <v>535616</v>
      </c>
      <c r="F17" s="856">
        <f t="shared" si="0"/>
        <v>66081</v>
      </c>
      <c r="G17" s="856">
        <f t="shared" si="0"/>
        <v>119779</v>
      </c>
      <c r="H17" s="856">
        <f t="shared" si="0"/>
        <v>70357</v>
      </c>
      <c r="I17" s="856">
        <f t="shared" si="0"/>
        <v>5041466</v>
      </c>
      <c r="J17" s="856">
        <f t="shared" si="0"/>
        <v>5970070</v>
      </c>
    </row>
  </sheetData>
  <mergeCells count="4">
    <mergeCell ref="A3:J3"/>
    <mergeCell ref="A17:B17"/>
    <mergeCell ref="E2:J2"/>
    <mergeCell ref="G4:J4"/>
  </mergeCells>
  <printOptions horizontalCentered="1" verticalCentered="1"/>
  <pageMargins left="0.3937007874015748" right="0.3937007874015748" top="0.7874015748031497" bottom="0.3937007874015748" header="1.062992125984252" footer="0.5118110236220472"/>
  <pageSetup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8"/>
  <dimension ref="A1:C14"/>
  <sheetViews>
    <sheetView tabSelected="1" workbookViewId="0" topLeftCell="A1">
      <selection activeCell="B26" sqref="B25:B26"/>
    </sheetView>
  </sheetViews>
  <sheetFormatPr defaultColWidth="9.00390625" defaultRowHeight="12.75"/>
  <cols>
    <col min="1" max="1" width="35.75390625" style="826" customWidth="1"/>
    <col min="2" max="2" width="47.25390625" style="826" customWidth="1"/>
    <col min="3" max="3" width="18.125" style="826" customWidth="1"/>
    <col min="4" max="16384" width="9.125" style="826" customWidth="1"/>
  </cols>
  <sheetData>
    <row r="1" ht="12.75">
      <c r="C1" s="766" t="s">
        <v>22</v>
      </c>
    </row>
    <row r="4" spans="1:3" ht="15.75">
      <c r="A4" s="921" t="s">
        <v>23</v>
      </c>
      <c r="B4" s="921"/>
      <c r="C4" s="921"/>
    </row>
    <row r="5" spans="1:3" ht="15.75">
      <c r="A5" s="973" t="s">
        <v>279</v>
      </c>
      <c r="B5" s="973"/>
      <c r="C5" s="973"/>
    </row>
    <row r="8" ht="12.75">
      <c r="C8" s="857" t="s">
        <v>35</v>
      </c>
    </row>
    <row r="9" spans="1:3" ht="38.25">
      <c r="A9" s="858" t="s">
        <v>24</v>
      </c>
      <c r="B9" s="858" t="s">
        <v>25</v>
      </c>
      <c r="C9" s="858" t="s">
        <v>26</v>
      </c>
    </row>
    <row r="10" spans="1:3" s="156" customFormat="1" ht="12.75">
      <c r="A10" s="859" t="s">
        <v>27</v>
      </c>
      <c r="B10" s="859" t="s">
        <v>310</v>
      </c>
      <c r="C10" s="859" t="s">
        <v>311</v>
      </c>
    </row>
    <row r="11" spans="1:3" ht="12.75">
      <c r="A11" s="860" t="s">
        <v>28</v>
      </c>
      <c r="B11" s="862" t="s">
        <v>29</v>
      </c>
      <c r="C11" s="863">
        <v>10355</v>
      </c>
    </row>
    <row r="12" spans="1:3" ht="12.75">
      <c r="A12" s="860" t="s">
        <v>30</v>
      </c>
      <c r="B12" s="862" t="s">
        <v>31</v>
      </c>
      <c r="C12" s="864">
        <v>13491</v>
      </c>
    </row>
    <row r="13" spans="1:3" ht="31.5">
      <c r="A13" s="865" t="s">
        <v>32</v>
      </c>
      <c r="B13" s="866" t="s">
        <v>33</v>
      </c>
      <c r="C13" s="867">
        <v>1182</v>
      </c>
    </row>
    <row r="14" spans="1:3" ht="12.75">
      <c r="A14" s="868"/>
      <c r="B14" s="869" t="s">
        <v>34</v>
      </c>
      <c r="C14" s="870">
        <f>SUM(C11:C13)</f>
        <v>25028</v>
      </c>
    </row>
  </sheetData>
  <mergeCells count="2">
    <mergeCell ref="A4:C4"/>
    <mergeCell ref="A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9"/>
  <dimension ref="A1:AL169"/>
  <sheetViews>
    <sheetView view="pageBreakPreview" zoomScale="75" zoomScaleSheetLayoutView="75" workbookViewId="0" topLeftCell="A22">
      <selection activeCell="L2" sqref="L2"/>
    </sheetView>
  </sheetViews>
  <sheetFormatPr defaultColWidth="9.00390625" defaultRowHeight="12.75"/>
  <cols>
    <col min="1" max="1" width="2.875" style="108" customWidth="1"/>
    <col min="2" max="2" width="3.125" style="108" customWidth="1"/>
    <col min="3" max="3" width="4.625" style="108" customWidth="1"/>
    <col min="4" max="4" width="4.00390625" style="108" customWidth="1"/>
    <col min="5" max="5" width="3.375" style="108" customWidth="1"/>
    <col min="6" max="6" width="2.75390625" style="109" customWidth="1"/>
    <col min="7" max="7" width="3.25390625" style="109" customWidth="1"/>
    <col min="8" max="8" width="3.125" style="109" customWidth="1"/>
    <col min="9" max="9" width="4.875" style="109" customWidth="1"/>
    <col min="10" max="10" width="2.375" style="109" customWidth="1"/>
    <col min="11" max="11" width="2.875" style="109" customWidth="1"/>
    <col min="12" max="12" width="48.75390625" style="109" customWidth="1"/>
    <col min="13" max="13" width="14.75390625" style="110" customWidth="1"/>
    <col min="14" max="14" width="10.625" style="110" hidden="1" customWidth="1"/>
    <col min="15" max="15" width="12.25390625" style="110" hidden="1" customWidth="1"/>
    <col min="16" max="16" width="11.75390625" style="110" hidden="1" customWidth="1"/>
    <col min="17" max="17" width="9.125" style="110" hidden="1" customWidth="1"/>
    <col min="18" max="18" width="12.25390625" style="553" hidden="1" customWidth="1"/>
    <col min="19" max="19" width="12.25390625" style="553" customWidth="1"/>
    <col min="20" max="20" width="9.125" style="110" hidden="1" customWidth="1"/>
    <col min="21" max="21" width="9.125" style="695" hidden="1" customWidth="1"/>
    <col min="22" max="22" width="11.75390625" style="110" customWidth="1"/>
    <col min="23" max="23" width="11.75390625" style="110" bestFit="1" customWidth="1"/>
    <col min="24" max="16384" width="9.125" style="109" customWidth="1"/>
  </cols>
  <sheetData>
    <row r="1" spans="12:23" ht="15" customHeight="1">
      <c r="L1" s="879" t="s">
        <v>828</v>
      </c>
      <c r="M1" s="879"/>
      <c r="N1" s="880"/>
      <c r="O1" s="880"/>
      <c r="P1" s="875"/>
      <c r="Q1" s="875"/>
      <c r="R1" s="875"/>
      <c r="S1" s="875"/>
      <c r="T1" s="875"/>
      <c r="U1" s="875"/>
      <c r="V1" s="875"/>
      <c r="W1" s="875"/>
    </row>
    <row r="3" spans="1:23" ht="15.75">
      <c r="A3" s="878" t="s">
        <v>282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</row>
    <row r="4" spans="1:15" ht="15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318"/>
      <c r="N4" s="325"/>
      <c r="O4" s="325"/>
    </row>
    <row r="5" spans="12:23" ht="15.75">
      <c r="L5" s="877" t="s">
        <v>35</v>
      </c>
      <c r="M5" s="877"/>
      <c r="N5" s="872"/>
      <c r="O5" s="872"/>
      <c r="P5" s="872"/>
      <c r="Q5" s="872"/>
      <c r="R5" s="872"/>
      <c r="S5" s="872"/>
      <c r="T5" s="872"/>
      <c r="U5" s="872"/>
      <c r="V5" s="872"/>
      <c r="W5" s="872"/>
    </row>
    <row r="6" spans="1:23" ht="95.25">
      <c r="A6" s="112" t="s">
        <v>36</v>
      </c>
      <c r="B6" s="112" t="s">
        <v>37</v>
      </c>
      <c r="C6" s="112" t="s">
        <v>38</v>
      </c>
      <c r="D6" s="112" t="s">
        <v>39</v>
      </c>
      <c r="E6" s="112" t="s">
        <v>40</v>
      </c>
      <c r="F6" s="112" t="s">
        <v>41</v>
      </c>
      <c r="G6" s="112" t="s">
        <v>42</v>
      </c>
      <c r="H6" s="112" t="s">
        <v>43</v>
      </c>
      <c r="I6" s="112" t="s">
        <v>44</v>
      </c>
      <c r="J6" s="112" t="s">
        <v>45</v>
      </c>
      <c r="K6" s="112" t="s">
        <v>46</v>
      </c>
      <c r="L6" s="732" t="s">
        <v>47</v>
      </c>
      <c r="M6" s="733" t="s">
        <v>464</v>
      </c>
      <c r="N6" s="733" t="s">
        <v>366</v>
      </c>
      <c r="O6" s="734" t="s">
        <v>191</v>
      </c>
      <c r="P6" s="132" t="s">
        <v>483</v>
      </c>
      <c r="Q6" s="132" t="s">
        <v>484</v>
      </c>
      <c r="R6" s="735" t="s">
        <v>366</v>
      </c>
      <c r="S6" s="735" t="s">
        <v>529</v>
      </c>
      <c r="T6" s="132" t="s">
        <v>648</v>
      </c>
      <c r="U6" s="731" t="s">
        <v>484</v>
      </c>
      <c r="V6" s="752" t="s">
        <v>366</v>
      </c>
      <c r="W6" s="752" t="s">
        <v>675</v>
      </c>
    </row>
    <row r="7" spans="1:38" s="7" customFormat="1" ht="15">
      <c r="A7" s="134" t="s">
        <v>309</v>
      </c>
      <c r="B7" s="134" t="s">
        <v>310</v>
      </c>
      <c r="C7" s="134" t="s">
        <v>311</v>
      </c>
      <c r="D7" s="134" t="s">
        <v>312</v>
      </c>
      <c r="E7" s="134" t="s">
        <v>313</v>
      </c>
      <c r="F7" s="134" t="s">
        <v>314</v>
      </c>
      <c r="G7" s="134" t="s">
        <v>315</v>
      </c>
      <c r="H7" s="134" t="s">
        <v>316</v>
      </c>
      <c r="I7" s="134" t="s">
        <v>317</v>
      </c>
      <c r="J7" s="134" t="s">
        <v>318</v>
      </c>
      <c r="K7" s="134" t="s">
        <v>319</v>
      </c>
      <c r="L7" s="134" t="s">
        <v>320</v>
      </c>
      <c r="M7" s="135" t="s">
        <v>321</v>
      </c>
      <c r="N7" s="319" t="s">
        <v>322</v>
      </c>
      <c r="O7" s="319" t="s">
        <v>322</v>
      </c>
      <c r="P7" s="135" t="s">
        <v>323</v>
      </c>
      <c r="Q7" s="135" t="s">
        <v>482</v>
      </c>
      <c r="R7" s="554" t="s">
        <v>323</v>
      </c>
      <c r="S7" s="554" t="s">
        <v>322</v>
      </c>
      <c r="T7" s="135" t="s">
        <v>323</v>
      </c>
      <c r="U7" s="656" t="s">
        <v>482</v>
      </c>
      <c r="V7" s="135" t="s">
        <v>323</v>
      </c>
      <c r="W7" s="135" t="s">
        <v>482</v>
      </c>
      <c r="X7" s="30"/>
      <c r="Y7" s="30"/>
      <c r="Z7" s="3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</row>
    <row r="8" spans="1:38" ht="15">
      <c r="A8" s="108" t="s">
        <v>49</v>
      </c>
      <c r="G8" s="109" t="s">
        <v>50</v>
      </c>
      <c r="N8" s="114"/>
      <c r="O8" s="114"/>
      <c r="P8" s="114"/>
      <c r="Q8" s="114"/>
      <c r="R8" s="555"/>
      <c r="S8" s="555"/>
      <c r="T8" s="114"/>
      <c r="U8" s="696"/>
      <c r="V8" s="114"/>
      <c r="W8" s="114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</row>
    <row r="9" spans="4:10" ht="15">
      <c r="D9" s="108" t="s">
        <v>49</v>
      </c>
      <c r="J9" s="109" t="s">
        <v>150</v>
      </c>
    </row>
    <row r="10" spans="5:23" ht="15">
      <c r="E10" s="113" t="s">
        <v>84</v>
      </c>
      <c r="K10" s="109" t="s">
        <v>151</v>
      </c>
      <c r="M10" s="110">
        <v>66514</v>
      </c>
      <c r="N10" s="110">
        <v>0</v>
      </c>
      <c r="O10" s="110">
        <f aca="true" t="shared" si="0" ref="O10:O19">M10+N10</f>
        <v>66514</v>
      </c>
      <c r="P10" s="110">
        <v>44363</v>
      </c>
      <c r="Q10" s="110">
        <f>SUM(P10/O10)*100</f>
        <v>66.69723667197883</v>
      </c>
      <c r="R10" s="553">
        <v>267485</v>
      </c>
      <c r="S10" s="553">
        <f>O10+R10</f>
        <v>333999</v>
      </c>
      <c r="T10" s="110">
        <v>132025</v>
      </c>
      <c r="U10" s="695">
        <f>SUM(T10/S10)*100</f>
        <v>39.52856146275887</v>
      </c>
      <c r="V10" s="110">
        <v>188</v>
      </c>
      <c r="W10" s="110">
        <f>S10+V10</f>
        <v>334187</v>
      </c>
    </row>
    <row r="11" spans="5:23" ht="15">
      <c r="E11" s="113" t="s">
        <v>88</v>
      </c>
      <c r="K11" s="109" t="s">
        <v>426</v>
      </c>
      <c r="M11" s="110">
        <v>17959</v>
      </c>
      <c r="N11" s="110">
        <v>0</v>
      </c>
      <c r="O11" s="110">
        <f t="shared" si="0"/>
        <v>17959</v>
      </c>
      <c r="P11" s="110">
        <v>8663</v>
      </c>
      <c r="Q11" s="110">
        <f aca="true" t="shared" si="1" ref="Q11:Q52">SUM(P11/O11)*100</f>
        <v>48.23765243053622</v>
      </c>
      <c r="R11" s="553">
        <v>35104</v>
      </c>
      <c r="S11" s="553">
        <f aca="true" t="shared" si="2" ref="S11:S51">O11+R11</f>
        <v>53063</v>
      </c>
      <c r="T11" s="114">
        <v>22196</v>
      </c>
      <c r="U11" s="695">
        <f aca="true" t="shared" si="3" ref="U11:U52">SUM(T11/S11)*100</f>
        <v>41.829523396717114</v>
      </c>
      <c r="V11" s="110">
        <v>35</v>
      </c>
      <c r="W11" s="110">
        <f>S11+V11</f>
        <v>53098</v>
      </c>
    </row>
    <row r="12" spans="5:23" ht="15">
      <c r="E12" s="113" t="s">
        <v>152</v>
      </c>
      <c r="K12" s="109" t="s">
        <v>153</v>
      </c>
      <c r="M12" s="110">
        <v>239881</v>
      </c>
      <c r="N12" s="110">
        <v>0</v>
      </c>
      <c r="O12" s="110">
        <f t="shared" si="0"/>
        <v>239881</v>
      </c>
      <c r="P12" s="110">
        <v>124979</v>
      </c>
      <c r="Q12" s="110">
        <f t="shared" si="1"/>
        <v>52.100416456493015</v>
      </c>
      <c r="R12" s="553">
        <v>252460</v>
      </c>
      <c r="S12" s="553">
        <f t="shared" si="2"/>
        <v>492341</v>
      </c>
      <c r="T12" s="114">
        <v>226688</v>
      </c>
      <c r="U12" s="695">
        <f t="shared" si="3"/>
        <v>46.04288491106773</v>
      </c>
      <c r="V12" s="110">
        <v>125112</v>
      </c>
      <c r="W12" s="110">
        <f>S12+V12</f>
        <v>617453</v>
      </c>
    </row>
    <row r="13" spans="5:23" ht="15">
      <c r="E13" s="113" t="s">
        <v>162</v>
      </c>
      <c r="K13" s="109" t="s">
        <v>420</v>
      </c>
      <c r="M13" s="110">
        <v>0</v>
      </c>
      <c r="N13" s="110">
        <v>0</v>
      </c>
      <c r="O13" s="110">
        <f t="shared" si="0"/>
        <v>0</v>
      </c>
      <c r="P13" s="110">
        <v>0</v>
      </c>
      <c r="Q13" s="110">
        <v>0</v>
      </c>
      <c r="R13" s="553">
        <v>0</v>
      </c>
      <c r="S13" s="553">
        <f t="shared" si="2"/>
        <v>0</v>
      </c>
      <c r="T13" s="114">
        <v>0</v>
      </c>
      <c r="U13" s="695">
        <v>0</v>
      </c>
      <c r="V13" s="110">
        <v>0</v>
      </c>
      <c r="W13" s="110">
        <f aca="true" t="shared" si="4" ref="W13:W52">S13+V13</f>
        <v>0</v>
      </c>
    </row>
    <row r="14" spans="5:23" ht="15">
      <c r="E14" s="113" t="s">
        <v>94</v>
      </c>
      <c r="K14" s="109" t="s">
        <v>154</v>
      </c>
      <c r="M14" s="110">
        <v>45885</v>
      </c>
      <c r="N14" s="110">
        <v>0</v>
      </c>
      <c r="O14" s="110">
        <f t="shared" si="0"/>
        <v>45885</v>
      </c>
      <c r="P14" s="110">
        <v>657</v>
      </c>
      <c r="Q14" s="110">
        <f t="shared" si="1"/>
        <v>1.4318404707420727</v>
      </c>
      <c r="R14" s="553">
        <v>15494</v>
      </c>
      <c r="S14" s="553">
        <f t="shared" si="2"/>
        <v>61379</v>
      </c>
      <c r="T14" s="114">
        <v>36569</v>
      </c>
      <c r="U14" s="695">
        <f t="shared" si="3"/>
        <v>59.57900910734942</v>
      </c>
      <c r="V14" s="110">
        <v>128758</v>
      </c>
      <c r="W14" s="110">
        <f t="shared" si="4"/>
        <v>190137</v>
      </c>
    </row>
    <row r="15" spans="5:23" ht="15">
      <c r="E15" s="113" t="s">
        <v>95</v>
      </c>
      <c r="K15" s="109" t="s">
        <v>155</v>
      </c>
      <c r="M15" s="110">
        <v>189482</v>
      </c>
      <c r="N15" s="110">
        <v>0</v>
      </c>
      <c r="O15" s="110">
        <f t="shared" si="0"/>
        <v>189482</v>
      </c>
      <c r="P15" s="110">
        <v>31810</v>
      </c>
      <c r="Q15" s="110">
        <f t="shared" si="1"/>
        <v>16.78787430996084</v>
      </c>
      <c r="R15" s="553">
        <v>23642</v>
      </c>
      <c r="S15" s="553">
        <f t="shared" si="2"/>
        <v>213124</v>
      </c>
      <c r="T15" s="114">
        <v>77403</v>
      </c>
      <c r="U15" s="695">
        <f t="shared" si="3"/>
        <v>36.31829357557103</v>
      </c>
      <c r="V15" s="110">
        <v>1094</v>
      </c>
      <c r="W15" s="110">
        <f t="shared" si="4"/>
        <v>214218</v>
      </c>
    </row>
    <row r="16" spans="5:23" ht="15">
      <c r="E16" s="113" t="s">
        <v>156</v>
      </c>
      <c r="K16" s="109" t="s">
        <v>157</v>
      </c>
      <c r="M16" s="110">
        <v>37937</v>
      </c>
      <c r="N16" s="110">
        <v>3493</v>
      </c>
      <c r="O16" s="110">
        <f t="shared" si="0"/>
        <v>41430</v>
      </c>
      <c r="P16" s="110">
        <v>12287</v>
      </c>
      <c r="Q16" s="110">
        <f t="shared" si="1"/>
        <v>29.657253198165577</v>
      </c>
      <c r="R16" s="553">
        <v>1039</v>
      </c>
      <c r="S16" s="553">
        <f t="shared" si="2"/>
        <v>42469</v>
      </c>
      <c r="T16" s="114">
        <v>17240</v>
      </c>
      <c r="U16" s="695">
        <f t="shared" si="3"/>
        <v>40.594315853916974</v>
      </c>
      <c r="V16" s="110">
        <v>4296</v>
      </c>
      <c r="W16" s="110">
        <f t="shared" si="4"/>
        <v>46765</v>
      </c>
    </row>
    <row r="17" spans="5:23" ht="15">
      <c r="E17" s="113" t="s">
        <v>158</v>
      </c>
      <c r="K17" s="109" t="s">
        <v>159</v>
      </c>
      <c r="M17" s="110">
        <v>52500</v>
      </c>
      <c r="N17" s="110">
        <v>0</v>
      </c>
      <c r="O17" s="110">
        <f t="shared" si="0"/>
        <v>52500</v>
      </c>
      <c r="P17" s="110">
        <v>3999</v>
      </c>
      <c r="Q17" s="110">
        <f t="shared" si="1"/>
        <v>7.617142857142857</v>
      </c>
      <c r="R17" s="553">
        <v>0</v>
      </c>
      <c r="S17" s="553">
        <f t="shared" si="2"/>
        <v>52500</v>
      </c>
      <c r="T17" s="114">
        <v>17185</v>
      </c>
      <c r="U17" s="695">
        <f t="shared" si="3"/>
        <v>32.733333333333334</v>
      </c>
      <c r="V17" s="110">
        <v>0</v>
      </c>
      <c r="W17" s="110">
        <f t="shared" si="4"/>
        <v>52500</v>
      </c>
    </row>
    <row r="18" spans="5:23" ht="15">
      <c r="E18" s="113" t="s">
        <v>160</v>
      </c>
      <c r="K18" s="109" t="s">
        <v>161</v>
      </c>
      <c r="M18" s="110">
        <v>0</v>
      </c>
      <c r="N18" s="327">
        <v>362</v>
      </c>
      <c r="O18" s="327">
        <f t="shared" si="0"/>
        <v>362</v>
      </c>
      <c r="P18" s="327">
        <v>0</v>
      </c>
      <c r="Q18" s="327">
        <f t="shared" si="1"/>
        <v>0</v>
      </c>
      <c r="R18" s="553">
        <v>34505</v>
      </c>
      <c r="S18" s="553">
        <f t="shared" si="2"/>
        <v>34867</v>
      </c>
      <c r="T18" s="110">
        <v>0</v>
      </c>
      <c r="U18" s="695">
        <f t="shared" si="3"/>
        <v>0</v>
      </c>
      <c r="V18" s="110">
        <v>-4017</v>
      </c>
      <c r="W18" s="110">
        <f t="shared" si="4"/>
        <v>30850</v>
      </c>
    </row>
    <row r="19" spans="1:23" s="118" customFormat="1" ht="15.75">
      <c r="A19" s="115" t="s">
        <v>49</v>
      </c>
      <c r="B19" s="216"/>
      <c r="C19" s="115"/>
      <c r="D19" s="115"/>
      <c r="E19" s="115"/>
      <c r="F19" s="116"/>
      <c r="G19" s="116"/>
      <c r="H19" s="116" t="s">
        <v>425</v>
      </c>
      <c r="I19" s="116"/>
      <c r="J19" s="116"/>
      <c r="K19" s="116"/>
      <c r="L19" s="116"/>
      <c r="M19" s="117">
        <f>SUM(M10:M18)</f>
        <v>650158</v>
      </c>
      <c r="N19" s="242">
        <f>SUM(N10:N18)</f>
        <v>3855</v>
      </c>
      <c r="O19" s="242">
        <f t="shared" si="0"/>
        <v>654013</v>
      </c>
      <c r="P19" s="242">
        <f>SUM(P10:P18)</f>
        <v>226758</v>
      </c>
      <c r="Q19" s="242">
        <f t="shared" si="1"/>
        <v>34.67178786966008</v>
      </c>
      <c r="R19" s="556">
        <f>SUM(R10:R18)</f>
        <v>629729</v>
      </c>
      <c r="S19" s="556">
        <f t="shared" si="2"/>
        <v>1283742</v>
      </c>
      <c r="T19" s="242">
        <f>SUM(T10:T18)</f>
        <v>529306</v>
      </c>
      <c r="U19" s="697">
        <f t="shared" si="3"/>
        <v>41.23149355555867</v>
      </c>
      <c r="V19" s="242">
        <f>SUM(V10:V18)</f>
        <v>255466</v>
      </c>
      <c r="W19" s="242">
        <f t="shared" si="4"/>
        <v>1539208</v>
      </c>
    </row>
    <row r="20" spans="1:7" ht="15">
      <c r="A20" s="108" t="s">
        <v>54</v>
      </c>
      <c r="G20" s="109" t="s">
        <v>146</v>
      </c>
    </row>
    <row r="21" spans="4:10" ht="15">
      <c r="D21" s="108" t="s">
        <v>49</v>
      </c>
      <c r="J21" s="109" t="s">
        <v>150</v>
      </c>
    </row>
    <row r="22" spans="5:23" ht="15">
      <c r="E22" s="113" t="s">
        <v>84</v>
      </c>
      <c r="K22" s="109" t="s">
        <v>151</v>
      </c>
      <c r="M22" s="110">
        <v>196706</v>
      </c>
      <c r="N22" s="110">
        <v>0</v>
      </c>
      <c r="O22" s="110">
        <f aca="true" t="shared" si="5" ref="O22:O27">M22+N22</f>
        <v>196706</v>
      </c>
      <c r="P22" s="110">
        <v>66540</v>
      </c>
      <c r="Q22" s="110">
        <f t="shared" si="1"/>
        <v>33.82713287850904</v>
      </c>
      <c r="R22" s="553">
        <v>23037</v>
      </c>
      <c r="S22" s="553">
        <f t="shared" si="2"/>
        <v>219743</v>
      </c>
      <c r="T22" s="110">
        <v>104849</v>
      </c>
      <c r="U22" s="695">
        <f t="shared" si="3"/>
        <v>47.714375429478984</v>
      </c>
      <c r="V22" s="110">
        <v>6552</v>
      </c>
      <c r="W22" s="110">
        <f t="shared" si="4"/>
        <v>226295</v>
      </c>
    </row>
    <row r="23" spans="5:23" ht="15">
      <c r="E23" s="113" t="s">
        <v>88</v>
      </c>
      <c r="K23" s="109" t="s">
        <v>426</v>
      </c>
      <c r="M23" s="110">
        <v>53125</v>
      </c>
      <c r="N23" s="110">
        <v>0</v>
      </c>
      <c r="O23" s="110">
        <f t="shared" si="5"/>
        <v>53125</v>
      </c>
      <c r="P23" s="110">
        <v>17550</v>
      </c>
      <c r="Q23" s="110">
        <f t="shared" si="1"/>
        <v>33.035294117647055</v>
      </c>
      <c r="R23" s="553">
        <v>6152</v>
      </c>
      <c r="S23" s="553">
        <f t="shared" si="2"/>
        <v>59277</v>
      </c>
      <c r="T23" s="114">
        <v>27380</v>
      </c>
      <c r="U23" s="695">
        <f t="shared" si="3"/>
        <v>46.18992189213355</v>
      </c>
      <c r="V23" s="110">
        <v>1700</v>
      </c>
      <c r="W23" s="110">
        <f t="shared" si="4"/>
        <v>60977</v>
      </c>
    </row>
    <row r="24" spans="5:23" ht="15">
      <c r="E24" s="113" t="s">
        <v>152</v>
      </c>
      <c r="K24" s="109" t="s">
        <v>153</v>
      </c>
      <c r="M24" s="110">
        <v>101381</v>
      </c>
      <c r="N24" s="110">
        <v>0</v>
      </c>
      <c r="O24" s="110">
        <f t="shared" si="5"/>
        <v>101381</v>
      </c>
      <c r="P24" s="110">
        <v>33198</v>
      </c>
      <c r="Q24" s="110">
        <f t="shared" si="1"/>
        <v>32.745780767599456</v>
      </c>
      <c r="R24" s="553">
        <v>13042</v>
      </c>
      <c r="S24" s="553">
        <f t="shared" si="2"/>
        <v>114423</v>
      </c>
      <c r="T24" s="114">
        <v>60216</v>
      </c>
      <c r="U24" s="695">
        <f t="shared" si="3"/>
        <v>52.6257832778375</v>
      </c>
      <c r="V24" s="110">
        <v>8273</v>
      </c>
      <c r="W24" s="110">
        <f t="shared" si="4"/>
        <v>122696</v>
      </c>
    </row>
    <row r="25" spans="5:23" ht="15">
      <c r="E25" s="113" t="s">
        <v>94</v>
      </c>
      <c r="K25" s="109" t="s">
        <v>155</v>
      </c>
      <c r="M25" s="110">
        <v>0</v>
      </c>
      <c r="N25" s="110">
        <v>0</v>
      </c>
      <c r="O25" s="110">
        <f t="shared" si="5"/>
        <v>0</v>
      </c>
      <c r="P25" s="110">
        <v>574</v>
      </c>
      <c r="Q25" s="110">
        <v>0</v>
      </c>
      <c r="R25" s="553">
        <v>406</v>
      </c>
      <c r="S25" s="553">
        <f t="shared" si="2"/>
        <v>406</v>
      </c>
      <c r="T25" s="114">
        <v>574</v>
      </c>
      <c r="U25" s="695">
        <f t="shared" si="3"/>
        <v>141.3793103448276</v>
      </c>
      <c r="V25" s="110">
        <v>0</v>
      </c>
      <c r="W25" s="110">
        <f t="shared" si="4"/>
        <v>406</v>
      </c>
    </row>
    <row r="26" spans="5:23" ht="15">
      <c r="E26" s="113" t="s">
        <v>95</v>
      </c>
      <c r="K26" s="109" t="s">
        <v>157</v>
      </c>
      <c r="M26" s="110">
        <v>14967</v>
      </c>
      <c r="N26" s="327">
        <v>20216</v>
      </c>
      <c r="O26" s="327">
        <f t="shared" si="5"/>
        <v>35183</v>
      </c>
      <c r="P26" s="327">
        <v>26974</v>
      </c>
      <c r="Q26" s="327">
        <f t="shared" si="1"/>
        <v>76.66770883665407</v>
      </c>
      <c r="R26" s="553">
        <v>21245</v>
      </c>
      <c r="S26" s="553">
        <f t="shared" si="2"/>
        <v>56428</v>
      </c>
      <c r="T26" s="327">
        <v>44831</v>
      </c>
      <c r="U26" s="695">
        <f t="shared" si="3"/>
        <v>79.44814631034238</v>
      </c>
      <c r="V26" s="110">
        <v>14651</v>
      </c>
      <c r="W26" s="110">
        <f t="shared" si="4"/>
        <v>71079</v>
      </c>
    </row>
    <row r="27" spans="1:23" s="118" customFormat="1" ht="15.75">
      <c r="A27" s="115" t="s">
        <v>54</v>
      </c>
      <c r="B27" s="115"/>
      <c r="C27" s="115"/>
      <c r="D27" s="115"/>
      <c r="E27" s="115"/>
      <c r="F27" s="116"/>
      <c r="G27" s="116"/>
      <c r="H27" s="116" t="s">
        <v>125</v>
      </c>
      <c r="I27" s="116"/>
      <c r="J27" s="116"/>
      <c r="K27" s="116"/>
      <c r="L27" s="116"/>
      <c r="M27" s="117">
        <f>SUM(M22:M26)</f>
        <v>366179</v>
      </c>
      <c r="N27" s="242">
        <f>SUM(N22:N26)</f>
        <v>20216</v>
      </c>
      <c r="O27" s="242">
        <f t="shared" si="5"/>
        <v>386395</v>
      </c>
      <c r="P27" s="242">
        <f>SUM(P22:P26)</f>
        <v>144836</v>
      </c>
      <c r="Q27" s="242">
        <f t="shared" si="1"/>
        <v>37.48392189339924</v>
      </c>
      <c r="R27" s="556">
        <f>SUM(R22:R26)</f>
        <v>63882</v>
      </c>
      <c r="S27" s="556">
        <f t="shared" si="2"/>
        <v>450277</v>
      </c>
      <c r="T27" s="242">
        <f>SUM(T22:T26)</f>
        <v>237850</v>
      </c>
      <c r="U27" s="697">
        <f t="shared" si="3"/>
        <v>52.82304003979772</v>
      </c>
      <c r="V27" s="242">
        <f>SUM(V22:V26)</f>
        <v>31176</v>
      </c>
      <c r="W27" s="242">
        <f t="shared" si="4"/>
        <v>481453</v>
      </c>
    </row>
    <row r="28" spans="1:7" ht="15">
      <c r="A28" s="108" t="s">
        <v>101</v>
      </c>
      <c r="G28" s="109" t="s">
        <v>407</v>
      </c>
    </row>
    <row r="29" spans="4:10" ht="15">
      <c r="D29" s="108" t="s">
        <v>49</v>
      </c>
      <c r="J29" s="109" t="s">
        <v>150</v>
      </c>
    </row>
    <row r="30" spans="5:23" ht="15">
      <c r="E30" s="108" t="s">
        <v>84</v>
      </c>
      <c r="K30" s="109" t="s">
        <v>151</v>
      </c>
      <c r="M30" s="110">
        <v>49388</v>
      </c>
      <c r="N30" s="110">
        <v>0</v>
      </c>
      <c r="O30" s="110">
        <f>M30+N30</f>
        <v>49388</v>
      </c>
      <c r="P30" s="110">
        <v>12966</v>
      </c>
      <c r="Q30" s="110">
        <f t="shared" si="1"/>
        <v>26.253340892524502</v>
      </c>
      <c r="R30" s="553">
        <v>1753</v>
      </c>
      <c r="S30" s="553">
        <f t="shared" si="2"/>
        <v>51141</v>
      </c>
      <c r="T30" s="110">
        <v>25829</v>
      </c>
      <c r="U30" s="695">
        <f t="shared" si="3"/>
        <v>50.505465282258854</v>
      </c>
      <c r="V30" s="110">
        <v>-655</v>
      </c>
      <c r="W30" s="110">
        <f t="shared" si="4"/>
        <v>50486</v>
      </c>
    </row>
    <row r="31" spans="5:23" ht="15">
      <c r="E31" s="108" t="s">
        <v>88</v>
      </c>
      <c r="K31" s="109" t="s">
        <v>426</v>
      </c>
      <c r="M31" s="110">
        <v>13308</v>
      </c>
      <c r="N31" s="110">
        <v>0</v>
      </c>
      <c r="O31" s="110">
        <f>M31+N31</f>
        <v>13308</v>
      </c>
      <c r="P31" s="110">
        <v>3262</v>
      </c>
      <c r="Q31" s="110">
        <f t="shared" si="1"/>
        <v>24.51157198677487</v>
      </c>
      <c r="R31" s="553">
        <v>425</v>
      </c>
      <c r="S31" s="553">
        <f t="shared" si="2"/>
        <v>13733</v>
      </c>
      <c r="T31" s="114">
        <v>6425</v>
      </c>
      <c r="U31" s="695">
        <f t="shared" si="3"/>
        <v>46.785116143595715</v>
      </c>
      <c r="V31" s="110">
        <v>-176</v>
      </c>
      <c r="W31" s="110">
        <f t="shared" si="4"/>
        <v>13557</v>
      </c>
    </row>
    <row r="32" spans="5:23" ht="15">
      <c r="E32" s="108" t="s">
        <v>152</v>
      </c>
      <c r="K32" s="109" t="s">
        <v>153</v>
      </c>
      <c r="M32" s="110">
        <v>9665</v>
      </c>
      <c r="N32" s="327">
        <v>0</v>
      </c>
      <c r="O32" s="114">
        <f>M32+N32</f>
        <v>9665</v>
      </c>
      <c r="P32" s="114">
        <v>6567</v>
      </c>
      <c r="Q32" s="114">
        <f t="shared" si="1"/>
        <v>67.94619762027936</v>
      </c>
      <c r="R32" s="553">
        <v>4552</v>
      </c>
      <c r="S32" s="553">
        <f t="shared" si="2"/>
        <v>14217</v>
      </c>
      <c r="T32" s="114">
        <v>8701</v>
      </c>
      <c r="U32" s="695">
        <f t="shared" si="3"/>
        <v>61.20137863121615</v>
      </c>
      <c r="V32" s="110">
        <v>-3267</v>
      </c>
      <c r="W32" s="110">
        <f t="shared" si="4"/>
        <v>10950</v>
      </c>
    </row>
    <row r="33" spans="5:23" ht="15">
      <c r="E33" s="108" t="s">
        <v>162</v>
      </c>
      <c r="K33" s="109" t="s">
        <v>154</v>
      </c>
      <c r="M33" s="110">
        <v>0</v>
      </c>
      <c r="N33" s="327"/>
      <c r="O33" s="327">
        <v>0</v>
      </c>
      <c r="P33" s="327">
        <v>5202</v>
      </c>
      <c r="Q33" s="327">
        <v>0</v>
      </c>
      <c r="R33" s="553">
        <v>5163</v>
      </c>
      <c r="S33" s="553">
        <f t="shared" si="2"/>
        <v>5163</v>
      </c>
      <c r="T33" s="327">
        <v>5202</v>
      </c>
      <c r="U33" s="695">
        <f t="shared" si="3"/>
        <v>100.75537478210343</v>
      </c>
      <c r="V33" s="110">
        <v>0</v>
      </c>
      <c r="W33" s="110">
        <f t="shared" si="4"/>
        <v>5163</v>
      </c>
    </row>
    <row r="34" spans="1:23" s="118" customFormat="1" ht="15.75">
      <c r="A34" s="115" t="s">
        <v>101</v>
      </c>
      <c r="B34" s="115"/>
      <c r="C34" s="115"/>
      <c r="D34" s="115"/>
      <c r="E34" s="115"/>
      <c r="F34" s="116"/>
      <c r="G34" s="116"/>
      <c r="H34" s="216" t="s">
        <v>424</v>
      </c>
      <c r="I34" s="116"/>
      <c r="J34" s="116"/>
      <c r="K34" s="116"/>
      <c r="L34" s="116"/>
      <c r="M34" s="117">
        <f>SUM(M30:M33)</f>
        <v>72361</v>
      </c>
      <c r="N34" s="242">
        <v>0</v>
      </c>
      <c r="O34" s="242">
        <f>M34+N34</f>
        <v>72361</v>
      </c>
      <c r="P34" s="242">
        <f>SUM(P30:P33)</f>
        <v>27997</v>
      </c>
      <c r="Q34" s="242">
        <f t="shared" si="1"/>
        <v>38.69073119498072</v>
      </c>
      <c r="R34" s="556">
        <f>SUM(R30:R33)</f>
        <v>11893</v>
      </c>
      <c r="S34" s="556">
        <f t="shared" si="2"/>
        <v>84254</v>
      </c>
      <c r="T34" s="242">
        <f>SUM(T30:T33)</f>
        <v>46157</v>
      </c>
      <c r="U34" s="697">
        <f t="shared" si="3"/>
        <v>54.78315569587201</v>
      </c>
      <c r="V34" s="242">
        <f>SUM(V30:V33)</f>
        <v>-4098</v>
      </c>
      <c r="W34" s="242">
        <f t="shared" si="4"/>
        <v>80156</v>
      </c>
    </row>
    <row r="35" spans="1:7" ht="15">
      <c r="A35" s="108" t="s">
        <v>126</v>
      </c>
      <c r="G35" s="119" t="s">
        <v>408</v>
      </c>
    </row>
    <row r="36" spans="4:10" ht="15">
      <c r="D36" s="108" t="s">
        <v>49</v>
      </c>
      <c r="J36" s="109" t="s">
        <v>150</v>
      </c>
    </row>
    <row r="37" spans="5:23" ht="15">
      <c r="E37" s="108" t="s">
        <v>84</v>
      </c>
      <c r="K37" s="109" t="s">
        <v>151</v>
      </c>
      <c r="M37" s="110">
        <v>32565</v>
      </c>
      <c r="N37" s="110">
        <v>0</v>
      </c>
      <c r="O37" s="110">
        <f>M37+N37</f>
        <v>32565</v>
      </c>
      <c r="P37" s="110">
        <v>7971</v>
      </c>
      <c r="Q37" s="110">
        <f t="shared" si="1"/>
        <v>24.477199447259327</v>
      </c>
      <c r="R37" s="553">
        <v>1306</v>
      </c>
      <c r="S37" s="553">
        <f t="shared" si="2"/>
        <v>33871</v>
      </c>
      <c r="T37" s="110">
        <v>16564</v>
      </c>
      <c r="U37" s="695">
        <f t="shared" si="3"/>
        <v>48.90319152076998</v>
      </c>
      <c r="V37" s="110">
        <v>5535</v>
      </c>
      <c r="W37" s="110">
        <f t="shared" si="4"/>
        <v>39406</v>
      </c>
    </row>
    <row r="38" spans="5:23" ht="15">
      <c r="E38" s="108" t="s">
        <v>88</v>
      </c>
      <c r="K38" s="109" t="s">
        <v>426</v>
      </c>
      <c r="M38" s="110">
        <v>8733</v>
      </c>
      <c r="N38" s="110">
        <v>0</v>
      </c>
      <c r="O38" s="110">
        <f>M38+N38</f>
        <v>8733</v>
      </c>
      <c r="P38" s="110">
        <v>2057</v>
      </c>
      <c r="Q38" s="110">
        <f t="shared" si="1"/>
        <v>23.554334134890645</v>
      </c>
      <c r="R38" s="553">
        <v>353</v>
      </c>
      <c r="S38" s="553">
        <f t="shared" si="2"/>
        <v>9086</v>
      </c>
      <c r="T38" s="114">
        <v>4190</v>
      </c>
      <c r="U38" s="695">
        <f t="shared" si="3"/>
        <v>46.11490204710544</v>
      </c>
      <c r="V38" s="110">
        <v>1438</v>
      </c>
      <c r="W38" s="110">
        <f t="shared" si="4"/>
        <v>10524</v>
      </c>
    </row>
    <row r="39" spans="5:23" ht="15">
      <c r="E39" s="108" t="s">
        <v>152</v>
      </c>
      <c r="K39" s="109" t="s">
        <v>153</v>
      </c>
      <c r="M39" s="110">
        <v>16000</v>
      </c>
      <c r="N39" s="327">
        <v>0</v>
      </c>
      <c r="O39" s="327">
        <f>M39+N39</f>
        <v>16000</v>
      </c>
      <c r="P39" s="327">
        <v>2602</v>
      </c>
      <c r="Q39" s="327">
        <f t="shared" si="1"/>
        <v>16.2625</v>
      </c>
      <c r="R39" s="553">
        <v>7586</v>
      </c>
      <c r="S39" s="553">
        <f t="shared" si="2"/>
        <v>23586</v>
      </c>
      <c r="T39" s="110">
        <v>8300</v>
      </c>
      <c r="U39" s="695">
        <f t="shared" si="3"/>
        <v>35.190367166963455</v>
      </c>
      <c r="V39" s="110">
        <v>12812</v>
      </c>
      <c r="W39" s="110">
        <f t="shared" si="4"/>
        <v>36398</v>
      </c>
    </row>
    <row r="40" spans="1:23" s="118" customFormat="1" ht="15.75">
      <c r="A40" s="115" t="s">
        <v>126</v>
      </c>
      <c r="B40" s="115"/>
      <c r="C40" s="115"/>
      <c r="D40" s="115"/>
      <c r="E40" s="115"/>
      <c r="F40" s="116"/>
      <c r="G40" s="116"/>
      <c r="H40" s="116" t="s">
        <v>410</v>
      </c>
      <c r="I40" s="116"/>
      <c r="J40" s="116"/>
      <c r="K40" s="116"/>
      <c r="L40" s="116"/>
      <c r="M40" s="117">
        <f>SUM(M37:M39)</f>
        <v>57298</v>
      </c>
      <c r="N40" s="242">
        <v>0</v>
      </c>
      <c r="O40" s="242">
        <f>M40+N40</f>
        <v>57298</v>
      </c>
      <c r="P40" s="242">
        <f>SUM(P37:P39)</f>
        <v>12630</v>
      </c>
      <c r="Q40" s="242">
        <f t="shared" si="1"/>
        <v>22.042654193863658</v>
      </c>
      <c r="R40" s="556">
        <f>SUM(R37:R39)</f>
        <v>9245</v>
      </c>
      <c r="S40" s="556">
        <f t="shared" si="2"/>
        <v>66543</v>
      </c>
      <c r="T40" s="242">
        <f>SUM(T37:T39)</f>
        <v>29054</v>
      </c>
      <c r="U40" s="697">
        <f t="shared" si="3"/>
        <v>43.66199299700945</v>
      </c>
      <c r="V40" s="242">
        <f>SUM(V37:V39)</f>
        <v>19785</v>
      </c>
      <c r="W40" s="242">
        <f t="shared" si="4"/>
        <v>86328</v>
      </c>
    </row>
    <row r="41" spans="12:17" ht="15">
      <c r="L41" s="217"/>
      <c r="N41" s="220"/>
      <c r="O41" s="220"/>
      <c r="P41" s="220"/>
      <c r="Q41" s="220"/>
    </row>
    <row r="42" spans="1:23" ht="15">
      <c r="A42" s="218"/>
      <c r="B42" s="218"/>
      <c r="C42" s="218"/>
      <c r="D42" s="218" t="s">
        <v>49</v>
      </c>
      <c r="E42" s="218"/>
      <c r="F42" s="219"/>
      <c r="G42" s="219"/>
      <c r="H42" s="219"/>
      <c r="I42" s="219"/>
      <c r="J42" s="219" t="s">
        <v>163</v>
      </c>
      <c r="K42" s="219"/>
      <c r="L42" s="219"/>
      <c r="M42" s="220"/>
      <c r="N42" s="220"/>
      <c r="O42" s="220"/>
      <c r="P42" s="220"/>
      <c r="Q42" s="220"/>
      <c r="R42" s="557"/>
      <c r="S42" s="557"/>
      <c r="T42" s="220"/>
      <c r="U42" s="698"/>
      <c r="V42" s="220"/>
      <c r="W42" s="220"/>
    </row>
    <row r="43" spans="5:23" ht="15">
      <c r="E43" s="113" t="s">
        <v>84</v>
      </c>
      <c r="K43" s="109" t="s">
        <v>151</v>
      </c>
      <c r="M43" s="110">
        <f>SUM(M10+M22+M30+M37)</f>
        <v>345173</v>
      </c>
      <c r="N43" s="110">
        <v>0</v>
      </c>
      <c r="O43" s="110">
        <f aca="true" t="shared" si="6" ref="O43:O52">M43+N43</f>
        <v>345173</v>
      </c>
      <c r="P43" s="110">
        <f>P10+P22+P30+P37</f>
        <v>131840</v>
      </c>
      <c r="Q43" s="110">
        <f t="shared" si="1"/>
        <v>38.19533972819427</v>
      </c>
      <c r="R43" s="553">
        <f>R10+R22+R30+R37</f>
        <v>293581</v>
      </c>
      <c r="S43" s="553">
        <f t="shared" si="2"/>
        <v>638754</v>
      </c>
      <c r="T43" s="110">
        <f>T10+T22+T30+T37</f>
        <v>279267</v>
      </c>
      <c r="U43" s="695">
        <f t="shared" si="3"/>
        <v>43.72058726833804</v>
      </c>
      <c r="V43" s="110">
        <f>V10+V22+V30+V37</f>
        <v>11620</v>
      </c>
      <c r="W43" s="110">
        <f t="shared" si="4"/>
        <v>650374</v>
      </c>
    </row>
    <row r="44" spans="5:23" ht="15">
      <c r="E44" s="113" t="s">
        <v>88</v>
      </c>
      <c r="K44" s="109" t="s">
        <v>426</v>
      </c>
      <c r="M44" s="110">
        <f>SUM(M11+M23+M31+M38)</f>
        <v>93125</v>
      </c>
      <c r="N44" s="110">
        <v>0</v>
      </c>
      <c r="O44" s="110">
        <f t="shared" si="6"/>
        <v>93125</v>
      </c>
      <c r="P44" s="110">
        <f>P11+P23+P31+P38</f>
        <v>31532</v>
      </c>
      <c r="Q44" s="110">
        <f t="shared" si="1"/>
        <v>33.85986577181208</v>
      </c>
      <c r="R44" s="553">
        <f>R11+R23+R31+R38</f>
        <v>42034</v>
      </c>
      <c r="S44" s="553">
        <f t="shared" si="2"/>
        <v>135159</v>
      </c>
      <c r="T44" s="114">
        <f>T11+T23+T31+T38</f>
        <v>60191</v>
      </c>
      <c r="U44" s="695">
        <f t="shared" si="3"/>
        <v>44.53347538824644</v>
      </c>
      <c r="V44" s="110">
        <f>V11+V23+V31+V38</f>
        <v>2997</v>
      </c>
      <c r="W44" s="110">
        <f t="shared" si="4"/>
        <v>138156</v>
      </c>
    </row>
    <row r="45" spans="5:23" ht="15">
      <c r="E45" s="113" t="s">
        <v>152</v>
      </c>
      <c r="K45" s="109" t="s">
        <v>153</v>
      </c>
      <c r="M45" s="110">
        <f>SUM(M12+M24+M32+M39)</f>
        <v>366927</v>
      </c>
      <c r="N45" s="110">
        <v>0</v>
      </c>
      <c r="O45" s="110">
        <f t="shared" si="6"/>
        <v>366927</v>
      </c>
      <c r="P45" s="110">
        <f>P12+P24+P32+P39</f>
        <v>167346</v>
      </c>
      <c r="Q45" s="110">
        <f t="shared" si="1"/>
        <v>45.60743690161803</v>
      </c>
      <c r="R45" s="553">
        <f>R12+R24+R32+R39</f>
        <v>277640</v>
      </c>
      <c r="S45" s="553">
        <f t="shared" si="2"/>
        <v>644567</v>
      </c>
      <c r="T45" s="114">
        <f>T12+T24+T32+T39</f>
        <v>303905</v>
      </c>
      <c r="U45" s="695">
        <f t="shared" si="3"/>
        <v>47.14870603056005</v>
      </c>
      <c r="V45" s="110">
        <f>V12+V24+V32+V39</f>
        <v>142930</v>
      </c>
      <c r="W45" s="110">
        <f t="shared" si="4"/>
        <v>787497</v>
      </c>
    </row>
    <row r="46" spans="5:23" ht="15">
      <c r="E46" s="113" t="s">
        <v>162</v>
      </c>
      <c r="K46" s="109" t="s">
        <v>420</v>
      </c>
      <c r="M46" s="110">
        <v>0</v>
      </c>
      <c r="N46" s="110">
        <v>0</v>
      </c>
      <c r="O46" s="110">
        <f t="shared" si="6"/>
        <v>0</v>
      </c>
      <c r="P46" s="110">
        <v>0</v>
      </c>
      <c r="Q46" s="110">
        <v>0</v>
      </c>
      <c r="R46" s="553">
        <v>0</v>
      </c>
      <c r="S46" s="553">
        <f t="shared" si="2"/>
        <v>0</v>
      </c>
      <c r="T46" s="114">
        <v>0</v>
      </c>
      <c r="U46" s="695">
        <v>0</v>
      </c>
      <c r="V46" s="110">
        <v>0</v>
      </c>
      <c r="W46" s="110">
        <f t="shared" si="4"/>
        <v>0</v>
      </c>
    </row>
    <row r="47" spans="5:23" ht="15">
      <c r="E47" s="113" t="s">
        <v>94</v>
      </c>
      <c r="K47" s="109" t="s">
        <v>154</v>
      </c>
      <c r="M47" s="110">
        <v>45885</v>
      </c>
      <c r="N47" s="110">
        <v>0</v>
      </c>
      <c r="O47" s="110">
        <f t="shared" si="6"/>
        <v>45885</v>
      </c>
      <c r="P47" s="110" t="e">
        <f>P14+#REF!+P33</f>
        <v>#REF!</v>
      </c>
      <c r="Q47" s="110" t="e">
        <f t="shared" si="1"/>
        <v>#REF!</v>
      </c>
      <c r="R47" s="553" t="e">
        <f>R14+#REF!+R33</f>
        <v>#REF!</v>
      </c>
      <c r="S47" s="553">
        <v>66542</v>
      </c>
      <c r="T47" s="114" t="e">
        <f>T14+#REF!+T33</f>
        <v>#REF!</v>
      </c>
      <c r="U47" s="695" t="e">
        <f t="shared" si="3"/>
        <v>#REF!</v>
      </c>
      <c r="V47" s="110">
        <v>128758</v>
      </c>
      <c r="W47" s="110">
        <f t="shared" si="4"/>
        <v>195300</v>
      </c>
    </row>
    <row r="48" spans="5:23" ht="15">
      <c r="E48" s="113" t="s">
        <v>95</v>
      </c>
      <c r="K48" s="109" t="s">
        <v>155</v>
      </c>
      <c r="M48" s="110">
        <f>SUM(M15+M25)</f>
        <v>189482</v>
      </c>
      <c r="N48" s="110">
        <v>0</v>
      </c>
      <c r="O48" s="110">
        <f t="shared" si="6"/>
        <v>189482</v>
      </c>
      <c r="P48" s="110">
        <f>P15+P25</f>
        <v>32384</v>
      </c>
      <c r="Q48" s="110">
        <f t="shared" si="1"/>
        <v>17.090805459093737</v>
      </c>
      <c r="R48" s="553">
        <f>R15+R25</f>
        <v>24048</v>
      </c>
      <c r="S48" s="553">
        <f t="shared" si="2"/>
        <v>213530</v>
      </c>
      <c r="T48" s="114">
        <f>T15+T25</f>
        <v>77977</v>
      </c>
      <c r="U48" s="695">
        <f t="shared" si="3"/>
        <v>36.518053669273634</v>
      </c>
      <c r="V48" s="110">
        <f>V15+V25</f>
        <v>1094</v>
      </c>
      <c r="W48" s="110">
        <f t="shared" si="4"/>
        <v>214624</v>
      </c>
    </row>
    <row r="49" spans="5:23" ht="15">
      <c r="E49" s="113" t="s">
        <v>156</v>
      </c>
      <c r="K49" s="109" t="s">
        <v>157</v>
      </c>
      <c r="M49" s="110">
        <f>SUM(M16+M26)</f>
        <v>52904</v>
      </c>
      <c r="N49" s="110">
        <v>23709</v>
      </c>
      <c r="O49" s="110">
        <f t="shared" si="6"/>
        <v>76613</v>
      </c>
      <c r="P49" s="110">
        <f>P16+P26</f>
        <v>39261</v>
      </c>
      <c r="Q49" s="110">
        <f t="shared" si="1"/>
        <v>51.24587211047733</v>
      </c>
      <c r="R49" s="553">
        <f>R16+R26</f>
        <v>22284</v>
      </c>
      <c r="S49" s="553">
        <f t="shared" si="2"/>
        <v>98897</v>
      </c>
      <c r="T49" s="114">
        <f>T16+T26</f>
        <v>62071</v>
      </c>
      <c r="U49" s="695">
        <f t="shared" si="3"/>
        <v>62.76327896700607</v>
      </c>
      <c r="V49" s="110">
        <f>V16+V26</f>
        <v>18947</v>
      </c>
      <c r="W49" s="110">
        <f t="shared" si="4"/>
        <v>117844</v>
      </c>
    </row>
    <row r="50" spans="5:23" ht="15">
      <c r="E50" s="113" t="s">
        <v>158</v>
      </c>
      <c r="K50" s="109" t="s">
        <v>159</v>
      </c>
      <c r="M50" s="110">
        <f>SUM(M17)</f>
        <v>52500</v>
      </c>
      <c r="N50" s="110">
        <v>0</v>
      </c>
      <c r="O50" s="110">
        <f t="shared" si="6"/>
        <v>52500</v>
      </c>
      <c r="P50" s="110">
        <f>P17</f>
        <v>3999</v>
      </c>
      <c r="Q50" s="110">
        <f t="shared" si="1"/>
        <v>7.617142857142857</v>
      </c>
      <c r="R50" s="553">
        <v>0</v>
      </c>
      <c r="S50" s="553">
        <f t="shared" si="2"/>
        <v>52500</v>
      </c>
      <c r="T50" s="114">
        <f>T17</f>
        <v>17185</v>
      </c>
      <c r="U50" s="695">
        <f t="shared" si="3"/>
        <v>32.733333333333334</v>
      </c>
      <c r="V50" s="110">
        <f>V17</f>
        <v>0</v>
      </c>
      <c r="W50" s="110">
        <f t="shared" si="4"/>
        <v>52500</v>
      </c>
    </row>
    <row r="51" spans="5:23" ht="15">
      <c r="E51" s="113" t="s">
        <v>160</v>
      </c>
      <c r="K51" s="109" t="s">
        <v>161</v>
      </c>
      <c r="M51" s="110">
        <f>SUM(M18)</f>
        <v>0</v>
      </c>
      <c r="N51" s="327">
        <v>362</v>
      </c>
      <c r="O51" s="327">
        <f t="shared" si="6"/>
        <v>362</v>
      </c>
      <c r="P51" s="327">
        <f>P18</f>
        <v>0</v>
      </c>
      <c r="Q51" s="327">
        <f t="shared" si="1"/>
        <v>0</v>
      </c>
      <c r="R51" s="553">
        <f>R18</f>
        <v>34505</v>
      </c>
      <c r="S51" s="553">
        <f t="shared" si="2"/>
        <v>34867</v>
      </c>
      <c r="T51" s="110">
        <f>T18</f>
        <v>0</v>
      </c>
      <c r="U51" s="695">
        <f t="shared" si="3"/>
        <v>0</v>
      </c>
      <c r="V51" s="110">
        <f>V18</f>
        <v>-4017</v>
      </c>
      <c r="W51" s="110">
        <f t="shared" si="4"/>
        <v>30850</v>
      </c>
    </row>
    <row r="52" spans="1:23" s="118" customFormat="1" ht="15.75">
      <c r="A52" s="115"/>
      <c r="B52" s="115"/>
      <c r="C52" s="115"/>
      <c r="D52" s="115" t="s">
        <v>49</v>
      </c>
      <c r="E52" s="115"/>
      <c r="F52" s="116"/>
      <c r="G52" s="116"/>
      <c r="H52" s="116"/>
      <c r="I52" s="116"/>
      <c r="J52" s="116" t="s">
        <v>165</v>
      </c>
      <c r="K52" s="116"/>
      <c r="L52" s="116"/>
      <c r="M52" s="117">
        <f>SUM(M43:M51)</f>
        <v>1145996</v>
      </c>
      <c r="N52" s="242">
        <f>SUM(N43:N51)</f>
        <v>24071</v>
      </c>
      <c r="O52" s="242">
        <f t="shared" si="6"/>
        <v>1170067</v>
      </c>
      <c r="P52" s="242" t="e">
        <f>SUM(P43:P51)</f>
        <v>#REF!</v>
      </c>
      <c r="Q52" s="242" t="e">
        <f t="shared" si="1"/>
        <v>#REF!</v>
      </c>
      <c r="R52" s="556" t="e">
        <f>SUM(R43:R51)</f>
        <v>#REF!</v>
      </c>
      <c r="S52" s="556">
        <f>SUM(S43:S51)</f>
        <v>1884816</v>
      </c>
      <c r="T52" s="242">
        <f>T19+T27+T34+T40</f>
        <v>842367</v>
      </c>
      <c r="U52" s="697">
        <f t="shared" si="3"/>
        <v>44.69226704357349</v>
      </c>
      <c r="V52" s="242">
        <f>SUM(V43:V51)</f>
        <v>302329</v>
      </c>
      <c r="W52" s="242">
        <f t="shared" si="4"/>
        <v>2187145</v>
      </c>
    </row>
    <row r="53" spans="1:12" ht="15.75">
      <c r="A53" s="812" t="s">
        <v>827</v>
      </c>
      <c r="B53" s="111"/>
      <c r="C53" s="111"/>
      <c r="D53" s="111"/>
      <c r="E53" s="111"/>
      <c r="F53" s="121"/>
      <c r="G53" s="121"/>
      <c r="H53" s="121"/>
      <c r="I53" s="121"/>
      <c r="J53" s="121"/>
      <c r="K53" s="121"/>
      <c r="L53" s="121"/>
    </row>
    <row r="54" spans="1:23" ht="15.75">
      <c r="A54" s="878" t="s">
        <v>283</v>
      </c>
      <c r="B54" s="878"/>
      <c r="C54" s="878"/>
      <c r="D54" s="878"/>
      <c r="E54" s="878"/>
      <c r="F54" s="878"/>
      <c r="G54" s="878"/>
      <c r="H54" s="878"/>
      <c r="I54" s="878"/>
      <c r="J54" s="878"/>
      <c r="K54" s="878"/>
      <c r="L54" s="878"/>
      <c r="M54" s="875"/>
      <c r="N54" s="875"/>
      <c r="O54" s="875"/>
      <c r="P54" s="875"/>
      <c r="Q54" s="875"/>
      <c r="R54" s="875"/>
      <c r="S54" s="875"/>
      <c r="T54" s="875"/>
      <c r="U54" s="875"/>
      <c r="V54" s="875"/>
      <c r="W54" s="875"/>
    </row>
    <row r="55" spans="1:12" ht="15.7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23" ht="15.7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877" t="s">
        <v>35</v>
      </c>
      <c r="M56" s="877"/>
      <c r="N56" s="872"/>
      <c r="O56" s="872"/>
      <c r="P56" s="872"/>
      <c r="Q56" s="872"/>
      <c r="R56" s="872"/>
      <c r="S56" s="872"/>
      <c r="T56" s="872"/>
      <c r="U56" s="872"/>
      <c r="V56" s="872"/>
      <c r="W56" s="872"/>
    </row>
    <row r="57" spans="1:23" ht="95.25">
      <c r="A57" s="112" t="s">
        <v>36</v>
      </c>
      <c r="B57" s="112" t="s">
        <v>37</v>
      </c>
      <c r="C57" s="112" t="s">
        <v>38</v>
      </c>
      <c r="D57" s="112" t="s">
        <v>39</v>
      </c>
      <c r="E57" s="112" t="s">
        <v>40</v>
      </c>
      <c r="F57" s="112" t="s">
        <v>41</v>
      </c>
      <c r="G57" s="112" t="s">
        <v>42</v>
      </c>
      <c r="H57" s="112" t="s">
        <v>43</v>
      </c>
      <c r="I57" s="112" t="s">
        <v>44</v>
      </c>
      <c r="J57" s="112" t="s">
        <v>45</v>
      </c>
      <c r="K57" s="112" t="s">
        <v>46</v>
      </c>
      <c r="L57" s="732" t="s">
        <v>47</v>
      </c>
      <c r="M57" s="733" t="s">
        <v>464</v>
      </c>
      <c r="N57" s="733" t="s">
        <v>366</v>
      </c>
      <c r="O57" s="734" t="s">
        <v>191</v>
      </c>
      <c r="P57" s="132" t="s">
        <v>483</v>
      </c>
      <c r="Q57" s="132" t="s">
        <v>484</v>
      </c>
      <c r="R57" s="735" t="s">
        <v>366</v>
      </c>
      <c r="S57" s="735" t="s">
        <v>529</v>
      </c>
      <c r="T57" s="132" t="s">
        <v>648</v>
      </c>
      <c r="U57" s="731" t="s">
        <v>484</v>
      </c>
      <c r="V57" s="752" t="s">
        <v>366</v>
      </c>
      <c r="W57" s="752" t="s">
        <v>675</v>
      </c>
    </row>
    <row r="58" spans="1:38" s="7" customFormat="1" ht="15">
      <c r="A58" s="134" t="s">
        <v>309</v>
      </c>
      <c r="B58" s="134" t="s">
        <v>310</v>
      </c>
      <c r="C58" s="134" t="s">
        <v>311</v>
      </c>
      <c r="D58" s="134" t="s">
        <v>312</v>
      </c>
      <c r="E58" s="134" t="s">
        <v>313</v>
      </c>
      <c r="F58" s="134" t="s">
        <v>314</v>
      </c>
      <c r="G58" s="134" t="s">
        <v>315</v>
      </c>
      <c r="H58" s="134" t="s">
        <v>316</v>
      </c>
      <c r="I58" s="134" t="s">
        <v>317</v>
      </c>
      <c r="J58" s="134" t="s">
        <v>318</v>
      </c>
      <c r="K58" s="134" t="s">
        <v>319</v>
      </c>
      <c r="L58" s="134" t="s">
        <v>320</v>
      </c>
      <c r="M58" s="135" t="s">
        <v>321</v>
      </c>
      <c r="N58" s="319" t="s">
        <v>322</v>
      </c>
      <c r="O58" s="319" t="s">
        <v>322</v>
      </c>
      <c r="P58" s="135" t="s">
        <v>323</v>
      </c>
      <c r="Q58" s="135" t="s">
        <v>482</v>
      </c>
      <c r="R58" s="554" t="s">
        <v>323</v>
      </c>
      <c r="S58" s="554" t="s">
        <v>322</v>
      </c>
      <c r="T58" s="135" t="s">
        <v>323</v>
      </c>
      <c r="U58" s="656" t="s">
        <v>482</v>
      </c>
      <c r="V58" s="135" t="s">
        <v>323</v>
      </c>
      <c r="W58" s="135" t="s">
        <v>482</v>
      </c>
      <c r="X58" s="30"/>
      <c r="Y58" s="30"/>
      <c r="Z58" s="3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</row>
    <row r="59" spans="1:7" ht="15">
      <c r="A59" s="108" t="s">
        <v>49</v>
      </c>
      <c r="G59" s="109" t="s">
        <v>50</v>
      </c>
    </row>
    <row r="60" spans="4:10" ht="15">
      <c r="D60" s="108" t="s">
        <v>54</v>
      </c>
      <c r="J60" s="109" t="s">
        <v>166</v>
      </c>
    </row>
    <row r="61" spans="5:15" ht="15">
      <c r="E61" s="113" t="s">
        <v>167</v>
      </c>
      <c r="K61" s="109" t="s">
        <v>411</v>
      </c>
      <c r="N61" s="114"/>
      <c r="O61" s="114"/>
    </row>
    <row r="62" spans="5:23" ht="15">
      <c r="E62" s="113"/>
      <c r="K62" s="123" t="s">
        <v>471</v>
      </c>
      <c r="L62" s="123"/>
      <c r="M62" s="114">
        <v>0</v>
      </c>
      <c r="N62" s="114">
        <v>308088</v>
      </c>
      <c r="O62" s="114">
        <f>M62+N62</f>
        <v>308088</v>
      </c>
      <c r="P62" s="114">
        <v>240</v>
      </c>
      <c r="Q62" s="114">
        <f>SUM(P62/O62)*100</f>
        <v>0.0778998208304121</v>
      </c>
      <c r="R62" s="555">
        <v>0</v>
      </c>
      <c r="S62" s="555">
        <f>O62+R62</f>
        <v>308088</v>
      </c>
      <c r="T62" s="110">
        <v>240</v>
      </c>
      <c r="U62" s="695">
        <f>SUM(T62/S62)*100</f>
        <v>0.0778998208304121</v>
      </c>
      <c r="V62" s="110">
        <v>0</v>
      </c>
      <c r="W62" s="110">
        <f>S62+V62</f>
        <v>308088</v>
      </c>
    </row>
    <row r="63" spans="1:23" ht="15">
      <c r="A63" s="122"/>
      <c r="B63" s="122"/>
      <c r="C63" s="122"/>
      <c r="D63" s="122"/>
      <c r="E63" s="124"/>
      <c r="F63" s="123"/>
      <c r="G63" s="123"/>
      <c r="H63" s="123"/>
      <c r="I63" s="123"/>
      <c r="J63" s="123"/>
      <c r="K63" s="123" t="s">
        <v>473</v>
      </c>
      <c r="L63" s="123"/>
      <c r="M63" s="114">
        <v>0</v>
      </c>
      <c r="N63" s="114">
        <v>81962</v>
      </c>
      <c r="O63" s="114">
        <f>M63+N63</f>
        <v>81962</v>
      </c>
      <c r="P63" s="114">
        <v>21691</v>
      </c>
      <c r="Q63" s="114">
        <f>SUM(P63/O63)*100</f>
        <v>26.464703155120667</v>
      </c>
      <c r="R63" s="555">
        <v>907280</v>
      </c>
      <c r="S63" s="555">
        <f aca="true" t="shared" si="7" ref="S63:S143">O63+R63</f>
        <v>989242</v>
      </c>
      <c r="T63" s="114">
        <v>30007</v>
      </c>
      <c r="U63" s="695">
        <f aca="true" t="shared" si="8" ref="U63:U118">SUM(T63/S63)*100</f>
        <v>3.033332592025005</v>
      </c>
      <c r="V63" s="110">
        <v>52864</v>
      </c>
      <c r="W63" s="110">
        <f aca="true" t="shared" si="9" ref="W63:W125">S63+V63</f>
        <v>1042106</v>
      </c>
    </row>
    <row r="64" spans="5:23" ht="15">
      <c r="E64" s="113"/>
      <c r="K64" s="123" t="s">
        <v>500</v>
      </c>
      <c r="L64" s="123"/>
      <c r="M64" s="114">
        <v>0</v>
      </c>
      <c r="N64" s="114"/>
      <c r="O64" s="114">
        <v>0</v>
      </c>
      <c r="P64" s="114">
        <v>3927</v>
      </c>
      <c r="Q64" s="114">
        <v>0</v>
      </c>
      <c r="R64" s="555">
        <v>1017466</v>
      </c>
      <c r="S64" s="555">
        <f t="shared" si="7"/>
        <v>1017466</v>
      </c>
      <c r="T64" s="114">
        <v>310846</v>
      </c>
      <c r="U64" s="695">
        <f t="shared" si="8"/>
        <v>30.550996298647814</v>
      </c>
      <c r="V64" s="110">
        <v>26112</v>
      </c>
      <c r="W64" s="110">
        <f t="shared" si="9"/>
        <v>1043578</v>
      </c>
    </row>
    <row r="65" spans="5:23" ht="15">
      <c r="E65" s="113"/>
      <c r="K65" s="123" t="s">
        <v>550</v>
      </c>
      <c r="L65" s="123"/>
      <c r="M65" s="114">
        <v>0</v>
      </c>
      <c r="N65" s="114"/>
      <c r="O65" s="114">
        <v>0</v>
      </c>
      <c r="P65" s="114"/>
      <c r="Q65" s="114"/>
      <c r="R65" s="555">
        <v>9842</v>
      </c>
      <c r="S65" s="555">
        <f>O65+R65</f>
        <v>9842</v>
      </c>
      <c r="T65" s="114">
        <v>0</v>
      </c>
      <c r="U65" s="695">
        <f t="shared" si="8"/>
        <v>0</v>
      </c>
      <c r="V65" s="110">
        <v>0</v>
      </c>
      <c r="W65" s="110">
        <f t="shared" si="9"/>
        <v>9842</v>
      </c>
    </row>
    <row r="66" spans="5:23" ht="15">
      <c r="E66" s="113"/>
      <c r="K66" s="123" t="s">
        <v>501</v>
      </c>
      <c r="L66" s="123"/>
      <c r="M66" s="114">
        <v>0</v>
      </c>
      <c r="N66" s="114"/>
      <c r="O66" s="114">
        <v>0</v>
      </c>
      <c r="P66" s="114">
        <v>4685</v>
      </c>
      <c r="Q66" s="114">
        <v>0</v>
      </c>
      <c r="R66" s="555">
        <v>5000</v>
      </c>
      <c r="S66" s="555">
        <f t="shared" si="7"/>
        <v>5000</v>
      </c>
      <c r="T66" s="114">
        <v>4685</v>
      </c>
      <c r="U66" s="695">
        <f t="shared" si="8"/>
        <v>93.7</v>
      </c>
      <c r="V66" s="110">
        <v>0</v>
      </c>
      <c r="W66" s="110">
        <f t="shared" si="9"/>
        <v>5000</v>
      </c>
    </row>
    <row r="67" spans="5:23" ht="15">
      <c r="E67" s="113"/>
      <c r="K67" s="123" t="s">
        <v>502</v>
      </c>
      <c r="L67" s="123"/>
      <c r="M67" s="114">
        <v>0</v>
      </c>
      <c r="N67" s="114"/>
      <c r="O67" s="114">
        <v>0</v>
      </c>
      <c r="P67" s="114">
        <v>41</v>
      </c>
      <c r="Q67" s="114">
        <v>0</v>
      </c>
      <c r="R67" s="555">
        <f>12570+43478+527+1028</f>
        <v>57603</v>
      </c>
      <c r="S67" s="555">
        <f t="shared" si="7"/>
        <v>57603</v>
      </c>
      <c r="T67" s="114">
        <v>11267</v>
      </c>
      <c r="U67" s="695">
        <f t="shared" si="8"/>
        <v>19.559745152162215</v>
      </c>
      <c r="V67" s="110">
        <v>0</v>
      </c>
      <c r="W67" s="110">
        <f t="shared" si="9"/>
        <v>57603</v>
      </c>
    </row>
    <row r="68" spans="5:23" ht="15">
      <c r="E68" s="113"/>
      <c r="K68" s="123" t="s">
        <v>503</v>
      </c>
      <c r="L68" s="123"/>
      <c r="M68" s="114">
        <v>0</v>
      </c>
      <c r="N68" s="114"/>
      <c r="O68" s="114">
        <v>0</v>
      </c>
      <c r="P68" s="114">
        <v>176930</v>
      </c>
      <c r="Q68" s="114">
        <v>0</v>
      </c>
      <c r="R68" s="555">
        <v>172195</v>
      </c>
      <c r="S68" s="555">
        <f t="shared" si="7"/>
        <v>172195</v>
      </c>
      <c r="T68" s="114">
        <v>176930</v>
      </c>
      <c r="U68" s="695">
        <f t="shared" si="8"/>
        <v>102.74978948285374</v>
      </c>
      <c r="V68" s="110">
        <v>4735</v>
      </c>
      <c r="W68" s="110">
        <f t="shared" si="9"/>
        <v>176930</v>
      </c>
    </row>
    <row r="69" spans="5:23" ht="15">
      <c r="E69" s="113"/>
      <c r="K69" s="123" t="s">
        <v>504</v>
      </c>
      <c r="L69" s="123"/>
      <c r="M69" s="114">
        <v>0</v>
      </c>
      <c r="N69" s="114"/>
      <c r="O69" s="114">
        <v>0</v>
      </c>
      <c r="P69" s="114">
        <v>622</v>
      </c>
      <c r="Q69" s="114">
        <v>0</v>
      </c>
      <c r="R69" s="555">
        <v>622</v>
      </c>
      <c r="S69" s="555">
        <f t="shared" si="7"/>
        <v>622</v>
      </c>
      <c r="T69" s="114">
        <v>622</v>
      </c>
      <c r="U69" s="695">
        <f t="shared" si="8"/>
        <v>100</v>
      </c>
      <c r="V69" s="110">
        <v>0</v>
      </c>
      <c r="W69" s="110">
        <f t="shared" si="9"/>
        <v>622</v>
      </c>
    </row>
    <row r="70" spans="5:23" ht="15">
      <c r="E70" s="113"/>
      <c r="K70" s="123" t="s">
        <v>505</v>
      </c>
      <c r="L70" s="123"/>
      <c r="M70" s="114">
        <v>0</v>
      </c>
      <c r="N70" s="114"/>
      <c r="O70" s="114">
        <v>0</v>
      </c>
      <c r="P70" s="114">
        <v>54</v>
      </c>
      <c r="Q70" s="114">
        <v>0</v>
      </c>
      <c r="R70" s="555">
        <v>118229</v>
      </c>
      <c r="S70" s="555">
        <f t="shared" si="7"/>
        <v>118229</v>
      </c>
      <c r="T70" s="114">
        <v>5525</v>
      </c>
      <c r="U70" s="695">
        <f t="shared" si="8"/>
        <v>4.6731343409823305</v>
      </c>
      <c r="V70" s="110">
        <v>0</v>
      </c>
      <c r="W70" s="110">
        <f t="shared" si="9"/>
        <v>118229</v>
      </c>
    </row>
    <row r="71" spans="5:23" ht="15">
      <c r="E71" s="113"/>
      <c r="K71" s="123" t="s">
        <v>558</v>
      </c>
      <c r="L71" s="123"/>
      <c r="M71" s="114">
        <v>0</v>
      </c>
      <c r="N71" s="114"/>
      <c r="O71" s="114">
        <v>0</v>
      </c>
      <c r="P71" s="114"/>
      <c r="Q71" s="114"/>
      <c r="R71" s="555">
        <f>1168+1344</f>
        <v>2512</v>
      </c>
      <c r="S71" s="555">
        <f t="shared" si="7"/>
        <v>2512</v>
      </c>
      <c r="T71" s="114">
        <v>1169</v>
      </c>
      <c r="U71" s="695">
        <f t="shared" si="8"/>
        <v>46.53662420382166</v>
      </c>
      <c r="V71" s="110">
        <v>0</v>
      </c>
      <c r="W71" s="110">
        <f t="shared" si="9"/>
        <v>2512</v>
      </c>
    </row>
    <row r="72" spans="5:23" ht="15">
      <c r="E72" s="113"/>
      <c r="K72" s="123" t="s">
        <v>559</v>
      </c>
      <c r="L72" s="123"/>
      <c r="M72" s="114">
        <v>0</v>
      </c>
      <c r="N72" s="114"/>
      <c r="O72" s="114">
        <v>0</v>
      </c>
      <c r="P72" s="114"/>
      <c r="Q72" s="114"/>
      <c r="R72" s="555">
        <v>1321</v>
      </c>
      <c r="S72" s="555">
        <f t="shared" si="7"/>
        <v>1321</v>
      </c>
      <c r="T72" s="114">
        <v>1321</v>
      </c>
      <c r="U72" s="695">
        <f t="shared" si="8"/>
        <v>100</v>
      </c>
      <c r="V72" s="110">
        <v>0</v>
      </c>
      <c r="W72" s="110">
        <f t="shared" si="9"/>
        <v>1321</v>
      </c>
    </row>
    <row r="73" spans="5:23" ht="15">
      <c r="E73" s="113"/>
      <c r="K73" s="123" t="s">
        <v>506</v>
      </c>
      <c r="L73" s="123"/>
      <c r="M73" s="114">
        <v>0</v>
      </c>
      <c r="N73" s="114"/>
      <c r="O73" s="114">
        <v>0</v>
      </c>
      <c r="P73" s="114">
        <v>457</v>
      </c>
      <c r="Q73" s="114">
        <v>0</v>
      </c>
      <c r="R73" s="555">
        <v>20361</v>
      </c>
      <c r="S73" s="555">
        <f t="shared" si="7"/>
        <v>20361</v>
      </c>
      <c r="T73" s="114">
        <v>457</v>
      </c>
      <c r="U73" s="695">
        <f t="shared" si="8"/>
        <v>2.2444870094789056</v>
      </c>
      <c r="V73" s="110">
        <v>-162</v>
      </c>
      <c r="W73" s="110">
        <f t="shared" si="9"/>
        <v>20199</v>
      </c>
    </row>
    <row r="74" spans="5:23" ht="15">
      <c r="E74" s="113"/>
      <c r="K74" s="123" t="s">
        <v>556</v>
      </c>
      <c r="L74" s="123"/>
      <c r="M74" s="114">
        <v>0</v>
      </c>
      <c r="N74" s="114"/>
      <c r="O74" s="114">
        <v>0</v>
      </c>
      <c r="P74" s="114">
        <v>10701</v>
      </c>
      <c r="Q74" s="114">
        <v>0</v>
      </c>
      <c r="R74" s="555">
        <v>12142</v>
      </c>
      <c r="S74" s="555">
        <f t="shared" si="7"/>
        <v>12142</v>
      </c>
      <c r="T74" s="114">
        <v>12323</v>
      </c>
      <c r="U74" s="695">
        <f t="shared" si="8"/>
        <v>101.49069346071487</v>
      </c>
      <c r="V74" s="110">
        <v>0</v>
      </c>
      <c r="W74" s="110">
        <f t="shared" si="9"/>
        <v>12142</v>
      </c>
    </row>
    <row r="75" spans="5:23" ht="15">
      <c r="E75" s="113"/>
      <c r="K75" s="123" t="s">
        <v>507</v>
      </c>
      <c r="L75" s="123"/>
      <c r="M75" s="114">
        <v>0</v>
      </c>
      <c r="N75" s="114"/>
      <c r="O75" s="114">
        <v>0</v>
      </c>
      <c r="P75" s="114">
        <v>4992</v>
      </c>
      <c r="Q75" s="114">
        <v>0</v>
      </c>
      <c r="R75" s="555">
        <v>4992</v>
      </c>
      <c r="S75" s="555">
        <f t="shared" si="7"/>
        <v>4992</v>
      </c>
      <c r="T75" s="114">
        <v>5807</v>
      </c>
      <c r="U75" s="695">
        <f t="shared" si="8"/>
        <v>116.32612179487178</v>
      </c>
      <c r="V75" s="110">
        <v>0</v>
      </c>
      <c r="W75" s="110">
        <f t="shared" si="9"/>
        <v>4992</v>
      </c>
    </row>
    <row r="76" spans="5:23" ht="15">
      <c r="E76" s="113"/>
      <c r="K76" s="123" t="s">
        <v>508</v>
      </c>
      <c r="L76" s="123"/>
      <c r="M76" s="114">
        <v>0</v>
      </c>
      <c r="N76" s="114"/>
      <c r="O76" s="114">
        <v>0</v>
      </c>
      <c r="P76" s="114">
        <v>896</v>
      </c>
      <c r="Q76" s="114">
        <v>0</v>
      </c>
      <c r="R76" s="555">
        <v>896</v>
      </c>
      <c r="S76" s="555">
        <f t="shared" si="7"/>
        <v>896</v>
      </c>
      <c r="T76" s="114">
        <v>896</v>
      </c>
      <c r="U76" s="695">
        <f t="shared" si="8"/>
        <v>100</v>
      </c>
      <c r="V76" s="110">
        <v>0</v>
      </c>
      <c r="W76" s="110">
        <f t="shared" si="9"/>
        <v>896</v>
      </c>
    </row>
    <row r="77" spans="5:23" ht="15">
      <c r="E77" s="113"/>
      <c r="K77" s="123" t="s">
        <v>546</v>
      </c>
      <c r="L77" s="123"/>
      <c r="M77" s="114">
        <v>0</v>
      </c>
      <c r="N77" s="114"/>
      <c r="O77" s="114">
        <v>0</v>
      </c>
      <c r="P77" s="114"/>
      <c r="Q77" s="114"/>
      <c r="R77" s="555">
        <v>28098</v>
      </c>
      <c r="S77" s="555">
        <f>O77+R77</f>
        <v>28098</v>
      </c>
      <c r="T77" s="114">
        <v>21360</v>
      </c>
      <c r="U77" s="695">
        <f t="shared" si="8"/>
        <v>76.01964552637199</v>
      </c>
      <c r="V77" s="110">
        <v>-954</v>
      </c>
      <c r="W77" s="110">
        <f t="shared" si="9"/>
        <v>27144</v>
      </c>
    </row>
    <row r="78" spans="1:23" ht="15">
      <c r="A78" s="122"/>
      <c r="B78" s="122"/>
      <c r="C78" s="122"/>
      <c r="D78" s="122"/>
      <c r="E78" s="124"/>
      <c r="F78" s="123"/>
      <c r="G78" s="123"/>
      <c r="H78" s="123"/>
      <c r="I78" s="123"/>
      <c r="J78" s="123"/>
      <c r="K78" s="123" t="s">
        <v>545</v>
      </c>
      <c r="L78" s="123"/>
      <c r="M78" s="114">
        <v>0</v>
      </c>
      <c r="N78" s="114"/>
      <c r="O78" s="114">
        <v>0</v>
      </c>
      <c r="P78" s="114">
        <v>130</v>
      </c>
      <c r="Q78" s="114">
        <v>0</v>
      </c>
      <c r="R78" s="555">
        <v>130</v>
      </c>
      <c r="S78" s="555">
        <f t="shared" si="7"/>
        <v>130</v>
      </c>
      <c r="T78" s="114">
        <v>130</v>
      </c>
      <c r="U78" s="695">
        <f t="shared" si="8"/>
        <v>100</v>
      </c>
      <c r="V78" s="110">
        <v>0</v>
      </c>
      <c r="W78" s="110">
        <f t="shared" si="9"/>
        <v>130</v>
      </c>
    </row>
    <row r="79" spans="1:23" ht="15">
      <c r="A79" s="122"/>
      <c r="B79" s="122"/>
      <c r="C79" s="122"/>
      <c r="D79" s="122"/>
      <c r="E79" s="124"/>
      <c r="F79" s="123"/>
      <c r="G79" s="123"/>
      <c r="H79" s="123"/>
      <c r="I79" s="123"/>
      <c r="J79" s="123"/>
      <c r="K79" s="123" t="s">
        <v>547</v>
      </c>
      <c r="L79" s="123"/>
      <c r="M79" s="114">
        <v>0</v>
      </c>
      <c r="N79" s="114"/>
      <c r="O79" s="114">
        <v>0</v>
      </c>
      <c r="P79" s="114"/>
      <c r="Q79" s="114"/>
      <c r="R79" s="555">
        <v>16417</v>
      </c>
      <c r="S79" s="555">
        <f t="shared" si="7"/>
        <v>16417</v>
      </c>
      <c r="T79" s="114">
        <v>0</v>
      </c>
      <c r="U79" s="695">
        <f t="shared" si="8"/>
        <v>0</v>
      </c>
      <c r="V79" s="110">
        <v>11451</v>
      </c>
      <c r="W79" s="110">
        <f t="shared" si="9"/>
        <v>27868</v>
      </c>
    </row>
    <row r="80" spans="1:23" ht="15">
      <c r="A80" s="122"/>
      <c r="B80" s="122"/>
      <c r="C80" s="122"/>
      <c r="D80" s="122"/>
      <c r="E80" s="124"/>
      <c r="F80" s="123"/>
      <c r="G80" s="123"/>
      <c r="H80" s="123"/>
      <c r="I80" s="123"/>
      <c r="J80" s="123"/>
      <c r="K80" s="123" t="s">
        <v>557</v>
      </c>
      <c r="L80" s="123"/>
      <c r="M80" s="114">
        <v>0</v>
      </c>
      <c r="N80" s="114"/>
      <c r="O80" s="114">
        <v>0</v>
      </c>
      <c r="P80" s="114"/>
      <c r="Q80" s="114"/>
      <c r="R80" s="555">
        <v>329</v>
      </c>
      <c r="S80" s="555">
        <f t="shared" si="7"/>
        <v>329</v>
      </c>
      <c r="T80" s="114">
        <v>0</v>
      </c>
      <c r="U80" s="695">
        <f t="shared" si="8"/>
        <v>0</v>
      </c>
      <c r="V80" s="110">
        <v>0</v>
      </c>
      <c r="W80" s="110">
        <f t="shared" si="9"/>
        <v>329</v>
      </c>
    </row>
    <row r="81" spans="1:23" ht="15">
      <c r="A81" s="122"/>
      <c r="B81" s="122"/>
      <c r="C81" s="122"/>
      <c r="D81" s="122"/>
      <c r="E81" s="124"/>
      <c r="F81" s="123"/>
      <c r="G81" s="123"/>
      <c r="H81" s="123"/>
      <c r="I81" s="123"/>
      <c r="J81" s="123"/>
      <c r="K81" s="123" t="s">
        <v>548</v>
      </c>
      <c r="L81" s="123"/>
      <c r="M81" s="114">
        <v>0</v>
      </c>
      <c r="N81" s="114"/>
      <c r="O81" s="114">
        <v>0</v>
      </c>
      <c r="P81" s="114"/>
      <c r="Q81" s="114"/>
      <c r="R81" s="555">
        <v>24000</v>
      </c>
      <c r="S81" s="555">
        <f t="shared" si="7"/>
        <v>24000</v>
      </c>
      <c r="T81" s="114">
        <v>0</v>
      </c>
      <c r="U81" s="695">
        <f t="shared" si="8"/>
        <v>0</v>
      </c>
      <c r="V81" s="110">
        <v>0</v>
      </c>
      <c r="W81" s="110">
        <f t="shared" si="9"/>
        <v>24000</v>
      </c>
    </row>
    <row r="82" spans="1:23" ht="15">
      <c r="A82" s="122"/>
      <c r="B82" s="122"/>
      <c r="C82" s="122"/>
      <c r="D82" s="122"/>
      <c r="E82" s="124"/>
      <c r="F82" s="123"/>
      <c r="G82" s="123"/>
      <c r="H82" s="123"/>
      <c r="I82" s="123"/>
      <c r="J82" s="123"/>
      <c r="K82" s="123" t="s">
        <v>549</v>
      </c>
      <c r="L82" s="123"/>
      <c r="M82" s="114">
        <v>0</v>
      </c>
      <c r="N82" s="114"/>
      <c r="O82" s="114">
        <v>0</v>
      </c>
      <c r="P82" s="114"/>
      <c r="Q82" s="114"/>
      <c r="R82" s="555">
        <v>2560</v>
      </c>
      <c r="S82" s="555">
        <f t="shared" si="7"/>
        <v>2560</v>
      </c>
      <c r="T82" s="114">
        <v>0</v>
      </c>
      <c r="U82" s="695">
        <f t="shared" si="8"/>
        <v>0</v>
      </c>
      <c r="V82" s="110">
        <v>0</v>
      </c>
      <c r="W82" s="110">
        <f t="shared" si="9"/>
        <v>2560</v>
      </c>
    </row>
    <row r="83" spans="1:23" ht="15">
      <c r="A83" s="122"/>
      <c r="B83" s="122"/>
      <c r="C83" s="122"/>
      <c r="D83" s="122"/>
      <c r="E83" s="124"/>
      <c r="F83" s="123"/>
      <c r="G83" s="123"/>
      <c r="H83" s="123"/>
      <c r="I83" s="123"/>
      <c r="J83" s="123"/>
      <c r="K83" s="123" t="s">
        <v>551</v>
      </c>
      <c r="L83" s="123"/>
      <c r="M83" s="114">
        <v>0</v>
      </c>
      <c r="N83" s="114"/>
      <c r="O83" s="114">
        <v>0</v>
      </c>
      <c r="P83" s="114"/>
      <c r="Q83" s="114"/>
      <c r="R83" s="555">
        <v>2089</v>
      </c>
      <c r="S83" s="555">
        <f t="shared" si="7"/>
        <v>2089</v>
      </c>
      <c r="T83" s="114">
        <v>0</v>
      </c>
      <c r="U83" s="695">
        <f t="shared" si="8"/>
        <v>0</v>
      </c>
      <c r="V83" s="110">
        <v>0</v>
      </c>
      <c r="W83" s="110">
        <f t="shared" si="9"/>
        <v>2089</v>
      </c>
    </row>
    <row r="84" spans="1:23" ht="15">
      <c r="A84" s="122"/>
      <c r="B84" s="122"/>
      <c r="C84" s="122"/>
      <c r="D84" s="122"/>
      <c r="E84" s="124"/>
      <c r="F84" s="123"/>
      <c r="G84" s="123"/>
      <c r="H84" s="123"/>
      <c r="I84" s="123"/>
      <c r="J84" s="123"/>
      <c r="K84" s="123" t="s">
        <v>552</v>
      </c>
      <c r="L84" s="123"/>
      <c r="M84" s="114">
        <v>0</v>
      </c>
      <c r="N84" s="114"/>
      <c r="O84" s="114">
        <v>0</v>
      </c>
      <c r="P84" s="114"/>
      <c r="Q84" s="114"/>
      <c r="R84" s="555">
        <v>2627</v>
      </c>
      <c r="S84" s="555">
        <f t="shared" si="7"/>
        <v>2627</v>
      </c>
      <c r="T84" s="114">
        <v>0</v>
      </c>
      <c r="U84" s="695">
        <f t="shared" si="8"/>
        <v>0</v>
      </c>
      <c r="V84" s="110">
        <v>0</v>
      </c>
      <c r="W84" s="110">
        <f t="shared" si="9"/>
        <v>2627</v>
      </c>
    </row>
    <row r="85" spans="1:23" ht="15">
      <c r="A85" s="122"/>
      <c r="B85" s="122"/>
      <c r="C85" s="122"/>
      <c r="D85" s="122"/>
      <c r="E85" s="124"/>
      <c r="F85" s="123"/>
      <c r="G85" s="123"/>
      <c r="H85" s="123"/>
      <c r="I85" s="123"/>
      <c r="J85" s="123"/>
      <c r="K85" s="123" t="s">
        <v>688</v>
      </c>
      <c r="L85" s="123"/>
      <c r="M85" s="114">
        <v>0</v>
      </c>
      <c r="N85" s="114"/>
      <c r="O85" s="114"/>
      <c r="P85" s="114"/>
      <c r="Q85" s="114"/>
      <c r="R85" s="555"/>
      <c r="S85" s="555">
        <v>0</v>
      </c>
      <c r="T85" s="114"/>
      <c r="V85" s="110">
        <v>12830</v>
      </c>
      <c r="W85" s="110">
        <f t="shared" si="9"/>
        <v>12830</v>
      </c>
    </row>
    <row r="86" spans="1:23" ht="15">
      <c r="A86" s="122"/>
      <c r="B86" s="122"/>
      <c r="C86" s="122"/>
      <c r="D86" s="122"/>
      <c r="E86" s="124"/>
      <c r="F86" s="123"/>
      <c r="G86" s="123"/>
      <c r="H86" s="123"/>
      <c r="I86" s="123"/>
      <c r="J86" s="123"/>
      <c r="K86" s="123" t="s">
        <v>553</v>
      </c>
      <c r="L86" s="123"/>
      <c r="M86" s="114">
        <v>0</v>
      </c>
      <c r="N86" s="114"/>
      <c r="O86" s="114">
        <v>0</v>
      </c>
      <c r="P86" s="114"/>
      <c r="Q86" s="114"/>
      <c r="R86" s="555">
        <f>900-640</f>
        <v>260</v>
      </c>
      <c r="S86" s="555">
        <f t="shared" si="7"/>
        <v>260</v>
      </c>
      <c r="T86" s="114">
        <v>0</v>
      </c>
      <c r="U86" s="695">
        <f t="shared" si="8"/>
        <v>0</v>
      </c>
      <c r="V86" s="110">
        <v>-260</v>
      </c>
      <c r="W86" s="110">
        <f t="shared" si="9"/>
        <v>0</v>
      </c>
    </row>
    <row r="87" spans="1:23" ht="15">
      <c r="A87" s="122"/>
      <c r="B87" s="122"/>
      <c r="C87" s="122"/>
      <c r="D87" s="122"/>
      <c r="E87" s="124"/>
      <c r="F87" s="123"/>
      <c r="G87" s="123"/>
      <c r="H87" s="123"/>
      <c r="I87" s="123"/>
      <c r="J87" s="123"/>
      <c r="K87" s="123" t="s">
        <v>554</v>
      </c>
      <c r="L87" s="123"/>
      <c r="M87" s="114">
        <v>0</v>
      </c>
      <c r="N87" s="114"/>
      <c r="O87" s="114">
        <v>0</v>
      </c>
      <c r="P87" s="114"/>
      <c r="Q87" s="114"/>
      <c r="R87" s="555">
        <v>30</v>
      </c>
      <c r="S87" s="555">
        <f t="shared" si="7"/>
        <v>30</v>
      </c>
      <c r="T87" s="114">
        <v>0</v>
      </c>
      <c r="U87" s="695">
        <f t="shared" si="8"/>
        <v>0</v>
      </c>
      <c r="V87" s="110">
        <v>30</v>
      </c>
      <c r="W87" s="110">
        <f t="shared" si="9"/>
        <v>60</v>
      </c>
    </row>
    <row r="88" spans="1:23" ht="15">
      <c r="A88" s="122"/>
      <c r="B88" s="122"/>
      <c r="C88" s="122"/>
      <c r="D88" s="122"/>
      <c r="E88" s="124"/>
      <c r="F88" s="123"/>
      <c r="G88" s="123"/>
      <c r="H88" s="123"/>
      <c r="I88" s="123"/>
      <c r="J88" s="123"/>
      <c r="K88" s="123" t="s">
        <v>555</v>
      </c>
      <c r="L88" s="123"/>
      <c r="M88" s="114">
        <v>0</v>
      </c>
      <c r="N88" s="114"/>
      <c r="O88" s="114">
        <v>0</v>
      </c>
      <c r="P88" s="114"/>
      <c r="Q88" s="114"/>
      <c r="R88" s="555">
        <v>12880</v>
      </c>
      <c r="S88" s="555">
        <f t="shared" si="7"/>
        <v>12880</v>
      </c>
      <c r="T88" s="114">
        <v>12880</v>
      </c>
      <c r="U88" s="695">
        <f t="shared" si="8"/>
        <v>100</v>
      </c>
      <c r="V88" s="110">
        <v>5680</v>
      </c>
      <c r="W88" s="110">
        <f t="shared" si="9"/>
        <v>18560</v>
      </c>
    </row>
    <row r="89" spans="1:23" ht="15">
      <c r="A89" s="438"/>
      <c r="B89" s="438"/>
      <c r="C89" s="438"/>
      <c r="D89" s="438"/>
      <c r="E89" s="439"/>
      <c r="F89" s="440"/>
      <c r="G89" s="440"/>
      <c r="H89" s="440"/>
      <c r="I89" s="440"/>
      <c r="J89" s="440"/>
      <c r="K89" s="440" t="s">
        <v>671</v>
      </c>
      <c r="L89" s="440"/>
      <c r="M89" s="327">
        <v>0</v>
      </c>
      <c r="N89" s="327"/>
      <c r="O89" s="327"/>
      <c r="P89" s="327"/>
      <c r="Q89" s="327"/>
      <c r="R89" s="699"/>
      <c r="S89" s="699">
        <v>0</v>
      </c>
      <c r="T89" s="327">
        <v>170</v>
      </c>
      <c r="U89" s="695">
        <v>0</v>
      </c>
      <c r="V89" s="110">
        <v>170</v>
      </c>
      <c r="W89" s="110">
        <f t="shared" si="9"/>
        <v>170</v>
      </c>
    </row>
    <row r="90" spans="1:23" ht="15.75">
      <c r="A90" s="126"/>
      <c r="B90" s="126"/>
      <c r="C90" s="126"/>
      <c r="D90" s="126"/>
      <c r="E90" s="441" t="s">
        <v>167</v>
      </c>
      <c r="F90" s="118"/>
      <c r="G90" s="118" t="s">
        <v>476</v>
      </c>
      <c r="H90" s="118"/>
      <c r="I90" s="118"/>
      <c r="J90" s="118"/>
      <c r="K90" s="118"/>
      <c r="L90" s="118"/>
      <c r="M90" s="326">
        <v>0</v>
      </c>
      <c r="N90" s="442">
        <f>SUM(N62:N78)</f>
        <v>390050</v>
      </c>
      <c r="O90" s="442">
        <f>M90+N90</f>
        <v>390050</v>
      </c>
      <c r="P90" s="442">
        <f>SUM(P62:P78)</f>
        <v>225366</v>
      </c>
      <c r="Q90" s="442">
        <f>SUM(P90/O90)*100</f>
        <v>57.77874631457506</v>
      </c>
      <c r="R90" s="563">
        <f>SUM(R62:R88)</f>
        <v>2419881</v>
      </c>
      <c r="S90" s="563">
        <f t="shared" si="7"/>
        <v>2809931</v>
      </c>
      <c r="T90" s="242">
        <f>SUM(T62:T89)</f>
        <v>596635</v>
      </c>
      <c r="U90" s="697">
        <f t="shared" si="8"/>
        <v>21.233083659349642</v>
      </c>
      <c r="V90" s="242">
        <f>SUM(V62:V89)</f>
        <v>112496</v>
      </c>
      <c r="W90" s="242">
        <f t="shared" si="9"/>
        <v>2922427</v>
      </c>
    </row>
    <row r="91" spans="1:13" ht="15">
      <c r="A91" s="243"/>
      <c r="B91" s="243"/>
      <c r="C91" s="243"/>
      <c r="D91" s="243"/>
      <c r="E91" s="243" t="s">
        <v>56</v>
      </c>
      <c r="F91" s="244"/>
      <c r="G91" s="244"/>
      <c r="H91" s="244"/>
      <c r="I91" s="244"/>
      <c r="J91" s="244"/>
      <c r="K91" s="245" t="s">
        <v>412</v>
      </c>
      <c r="L91" s="244"/>
      <c r="M91" s="246"/>
    </row>
    <row r="92" spans="1:23" ht="15">
      <c r="A92" s="122"/>
      <c r="B92" s="122"/>
      <c r="C92" s="122"/>
      <c r="D92" s="122"/>
      <c r="E92" s="122"/>
      <c r="F92" s="123"/>
      <c r="G92" s="123"/>
      <c r="H92" s="123"/>
      <c r="I92" s="123"/>
      <c r="J92" s="123"/>
      <c r="K92" s="119"/>
      <c r="L92" s="123" t="s">
        <v>447</v>
      </c>
      <c r="M92" s="114">
        <v>414</v>
      </c>
      <c r="N92" s="327">
        <v>0</v>
      </c>
      <c r="O92" s="114">
        <f>M92+N92</f>
        <v>414</v>
      </c>
      <c r="P92" s="114">
        <v>414</v>
      </c>
      <c r="Q92" s="114">
        <f>SUM(P92/O92)*100</f>
        <v>100</v>
      </c>
      <c r="R92" s="553">
        <v>0</v>
      </c>
      <c r="S92" s="553">
        <f t="shared" si="7"/>
        <v>414</v>
      </c>
      <c r="T92" s="114">
        <v>414</v>
      </c>
      <c r="U92" s="695">
        <f t="shared" si="8"/>
        <v>100</v>
      </c>
      <c r="V92" s="110">
        <v>0</v>
      </c>
      <c r="W92" s="110">
        <f t="shared" si="9"/>
        <v>414</v>
      </c>
    </row>
    <row r="93" spans="1:23" ht="15">
      <c r="A93" s="122"/>
      <c r="B93" s="122"/>
      <c r="C93" s="122"/>
      <c r="D93" s="122"/>
      <c r="E93" s="122"/>
      <c r="F93" s="123"/>
      <c r="G93" s="123"/>
      <c r="H93" s="123"/>
      <c r="I93" s="123"/>
      <c r="J93" s="123"/>
      <c r="K93" s="119"/>
      <c r="L93" s="123" t="s">
        <v>509</v>
      </c>
      <c r="M93" s="114">
        <v>0</v>
      </c>
      <c r="N93" s="327"/>
      <c r="O93" s="327">
        <v>0</v>
      </c>
      <c r="P93" s="327">
        <v>19</v>
      </c>
      <c r="Q93" s="327">
        <v>0</v>
      </c>
      <c r="R93" s="553">
        <v>5588</v>
      </c>
      <c r="S93" s="553">
        <f t="shared" si="7"/>
        <v>5588</v>
      </c>
      <c r="T93" s="114">
        <v>27</v>
      </c>
      <c r="U93" s="695">
        <f t="shared" si="8"/>
        <v>0.4831782390837509</v>
      </c>
      <c r="V93" s="110">
        <v>0</v>
      </c>
      <c r="W93" s="110">
        <f t="shared" si="9"/>
        <v>5588</v>
      </c>
    </row>
    <row r="94" spans="1:23" ht="15">
      <c r="A94" s="122"/>
      <c r="B94" s="122"/>
      <c r="C94" s="122"/>
      <c r="D94" s="122"/>
      <c r="E94" s="122"/>
      <c r="F94" s="123"/>
      <c r="G94" s="123"/>
      <c r="H94" s="123"/>
      <c r="I94" s="123"/>
      <c r="J94" s="123"/>
      <c r="K94" s="119"/>
      <c r="L94" s="123" t="s">
        <v>672</v>
      </c>
      <c r="M94" s="114">
        <v>0</v>
      </c>
      <c r="N94" s="327"/>
      <c r="O94" s="327"/>
      <c r="P94" s="327"/>
      <c r="Q94" s="327"/>
      <c r="S94" s="553">
        <v>0</v>
      </c>
      <c r="T94" s="327">
        <v>954</v>
      </c>
      <c r="U94" s="695">
        <v>0</v>
      </c>
      <c r="V94" s="110">
        <v>954</v>
      </c>
      <c r="W94" s="110">
        <f t="shared" si="9"/>
        <v>954</v>
      </c>
    </row>
    <row r="95" spans="1:23" ht="15">
      <c r="A95" s="122"/>
      <c r="B95" s="122"/>
      <c r="C95" s="122"/>
      <c r="D95" s="122"/>
      <c r="E95" s="122"/>
      <c r="F95" s="123"/>
      <c r="G95" s="123"/>
      <c r="H95" s="123"/>
      <c r="I95" s="123"/>
      <c r="J95" s="123"/>
      <c r="K95" s="119"/>
      <c r="L95" s="123" t="s">
        <v>689</v>
      </c>
      <c r="M95" s="114">
        <v>0</v>
      </c>
      <c r="N95" s="327"/>
      <c r="O95" s="327"/>
      <c r="P95" s="327"/>
      <c r="Q95" s="327"/>
      <c r="S95" s="553">
        <v>0</v>
      </c>
      <c r="T95" s="327"/>
      <c r="V95" s="110">
        <v>451</v>
      </c>
      <c r="W95" s="110">
        <f t="shared" si="9"/>
        <v>451</v>
      </c>
    </row>
    <row r="96" spans="1:23" s="118" customFormat="1" ht="15.75">
      <c r="A96" s="240"/>
      <c r="B96" s="240"/>
      <c r="C96" s="240"/>
      <c r="D96" s="240"/>
      <c r="E96" s="240" t="s">
        <v>56</v>
      </c>
      <c r="F96" s="216"/>
      <c r="G96" s="216" t="s">
        <v>448</v>
      </c>
      <c r="H96" s="216"/>
      <c r="I96" s="216"/>
      <c r="J96" s="216"/>
      <c r="K96" s="241"/>
      <c r="L96" s="216"/>
      <c r="M96" s="242">
        <f>SUM(M92)</f>
        <v>414</v>
      </c>
      <c r="N96" s="242">
        <v>0</v>
      </c>
      <c r="O96" s="242">
        <f>M96+N96</f>
        <v>414</v>
      </c>
      <c r="P96" s="242">
        <f>SUM(P92:P93)</f>
        <v>433</v>
      </c>
      <c r="Q96" s="242">
        <f>SUM(P96/O96)*100</f>
        <v>104.58937198067633</v>
      </c>
      <c r="R96" s="556">
        <f>SUM(R92:R93)</f>
        <v>5588</v>
      </c>
      <c r="S96" s="556">
        <f t="shared" si="7"/>
        <v>6002</v>
      </c>
      <c r="T96" s="242">
        <f>SUM(T92:T94)</f>
        <v>1395</v>
      </c>
      <c r="U96" s="697">
        <f t="shared" si="8"/>
        <v>23.24225258247251</v>
      </c>
      <c r="V96" s="242">
        <f>SUM(V92:V95)</f>
        <v>1405</v>
      </c>
      <c r="W96" s="242">
        <f t="shared" si="9"/>
        <v>7407</v>
      </c>
    </row>
    <row r="97" spans="1:13" ht="15">
      <c r="A97" s="122"/>
      <c r="B97" s="122"/>
      <c r="C97" s="122"/>
      <c r="D97" s="122"/>
      <c r="E97" s="108" t="s">
        <v>65</v>
      </c>
      <c r="F97" s="123"/>
      <c r="G97" s="123"/>
      <c r="H97" s="123"/>
      <c r="I97" s="123"/>
      <c r="J97" s="123"/>
      <c r="K97" s="119" t="s">
        <v>169</v>
      </c>
      <c r="L97" s="123"/>
      <c r="M97" s="114"/>
    </row>
    <row r="98" spans="1:23" s="123" customFormat="1" ht="15">
      <c r="A98" s="122"/>
      <c r="B98" s="122"/>
      <c r="C98" s="122"/>
      <c r="D98" s="122"/>
      <c r="E98" s="122"/>
      <c r="K98" s="119"/>
      <c r="L98" s="123" t="s">
        <v>450</v>
      </c>
      <c r="M98" s="114">
        <v>158</v>
      </c>
      <c r="N98" s="327">
        <v>0</v>
      </c>
      <c r="O98" s="114">
        <f>M98+N98</f>
        <v>158</v>
      </c>
      <c r="P98" s="114">
        <v>0</v>
      </c>
      <c r="Q98" s="114">
        <f>SUM(P98/O98)*100</f>
        <v>0</v>
      </c>
      <c r="R98" s="555">
        <v>0</v>
      </c>
      <c r="S98" s="553">
        <f t="shared" si="7"/>
        <v>158</v>
      </c>
      <c r="T98" s="114">
        <v>158</v>
      </c>
      <c r="U98" s="695">
        <f t="shared" si="8"/>
        <v>100</v>
      </c>
      <c r="V98" s="114">
        <v>0</v>
      </c>
      <c r="W98" s="110">
        <f t="shared" si="9"/>
        <v>158</v>
      </c>
    </row>
    <row r="99" spans="1:23" s="123" customFormat="1" ht="15">
      <c r="A99" s="122"/>
      <c r="B99" s="122"/>
      <c r="C99" s="122"/>
      <c r="D99" s="122"/>
      <c r="E99" s="122"/>
      <c r="K99" s="119"/>
      <c r="L99" s="123" t="s">
        <v>573</v>
      </c>
      <c r="M99" s="114">
        <v>0</v>
      </c>
      <c r="N99" s="327"/>
      <c r="O99" s="114">
        <v>0</v>
      </c>
      <c r="P99" s="327"/>
      <c r="Q99" s="327"/>
      <c r="R99" s="555">
        <v>9235</v>
      </c>
      <c r="S99" s="553">
        <f t="shared" si="7"/>
        <v>9235</v>
      </c>
      <c r="T99" s="114">
        <v>0</v>
      </c>
      <c r="U99" s="695">
        <f t="shared" si="8"/>
        <v>0</v>
      </c>
      <c r="V99" s="114">
        <v>0</v>
      </c>
      <c r="W99" s="110">
        <f t="shared" si="9"/>
        <v>9235</v>
      </c>
    </row>
    <row r="100" spans="1:23" s="123" customFormat="1" ht="15">
      <c r="A100" s="122"/>
      <c r="B100" s="122"/>
      <c r="C100" s="122"/>
      <c r="D100" s="122"/>
      <c r="E100" s="122"/>
      <c r="K100" s="119"/>
      <c r="L100" s="123" t="s">
        <v>574</v>
      </c>
      <c r="M100" s="114">
        <v>0</v>
      </c>
      <c r="N100" s="327"/>
      <c r="O100" s="114">
        <v>0</v>
      </c>
      <c r="P100" s="327"/>
      <c r="Q100" s="327"/>
      <c r="R100" s="555">
        <v>1278</v>
      </c>
      <c r="S100" s="553">
        <f t="shared" si="7"/>
        <v>1278</v>
      </c>
      <c r="T100" s="114">
        <v>1278</v>
      </c>
      <c r="U100" s="695">
        <f t="shared" si="8"/>
        <v>100</v>
      </c>
      <c r="V100" s="114">
        <v>0</v>
      </c>
      <c r="W100" s="110">
        <f t="shared" si="9"/>
        <v>1278</v>
      </c>
    </row>
    <row r="101" spans="1:23" s="123" customFormat="1" ht="15">
      <c r="A101" s="122"/>
      <c r="B101" s="122"/>
      <c r="C101" s="122"/>
      <c r="D101" s="122"/>
      <c r="E101" s="122"/>
      <c r="K101" s="119"/>
      <c r="L101" s="123" t="s">
        <v>575</v>
      </c>
      <c r="M101" s="114">
        <v>0</v>
      </c>
      <c r="N101" s="327"/>
      <c r="O101" s="114">
        <v>0</v>
      </c>
      <c r="P101" s="327"/>
      <c r="Q101" s="327"/>
      <c r="R101" s="555">
        <v>482</v>
      </c>
      <c r="S101" s="553">
        <f t="shared" si="7"/>
        <v>482</v>
      </c>
      <c r="T101" s="114">
        <v>0</v>
      </c>
      <c r="U101" s="695">
        <f t="shared" si="8"/>
        <v>0</v>
      </c>
      <c r="V101" s="114">
        <v>0</v>
      </c>
      <c r="W101" s="110">
        <f t="shared" si="9"/>
        <v>482</v>
      </c>
    </row>
    <row r="102" spans="1:23" s="123" customFormat="1" ht="15">
      <c r="A102" s="122"/>
      <c r="B102" s="122"/>
      <c r="C102" s="122"/>
      <c r="D102" s="122"/>
      <c r="E102" s="122"/>
      <c r="K102" s="119"/>
      <c r="L102" s="123" t="s">
        <v>576</v>
      </c>
      <c r="M102" s="114">
        <v>0</v>
      </c>
      <c r="N102" s="327"/>
      <c r="O102" s="114">
        <v>0</v>
      </c>
      <c r="P102" s="327"/>
      <c r="Q102" s="327"/>
      <c r="R102" s="555">
        <v>444</v>
      </c>
      <c r="S102" s="553">
        <f t="shared" si="7"/>
        <v>444</v>
      </c>
      <c r="T102" s="114">
        <v>0</v>
      </c>
      <c r="U102" s="695">
        <f t="shared" si="8"/>
        <v>0</v>
      </c>
      <c r="V102" s="114">
        <v>0</v>
      </c>
      <c r="W102" s="110">
        <f t="shared" si="9"/>
        <v>444</v>
      </c>
    </row>
    <row r="103" spans="1:23" s="123" customFormat="1" ht="15">
      <c r="A103" s="122"/>
      <c r="B103" s="122"/>
      <c r="C103" s="122"/>
      <c r="D103" s="122"/>
      <c r="E103" s="122"/>
      <c r="K103" s="119"/>
      <c r="L103" s="123" t="s">
        <v>577</v>
      </c>
      <c r="M103" s="114">
        <v>0</v>
      </c>
      <c r="N103" s="327"/>
      <c r="O103" s="114">
        <v>0</v>
      </c>
      <c r="P103" s="327"/>
      <c r="Q103" s="327"/>
      <c r="R103" s="555">
        <v>4327</v>
      </c>
      <c r="S103" s="553">
        <f t="shared" si="7"/>
        <v>4327</v>
      </c>
      <c r="T103" s="114">
        <v>4327</v>
      </c>
      <c r="U103" s="695">
        <f t="shared" si="8"/>
        <v>100</v>
      </c>
      <c r="V103" s="114">
        <v>0</v>
      </c>
      <c r="W103" s="110">
        <f t="shared" si="9"/>
        <v>4327</v>
      </c>
    </row>
    <row r="104" spans="1:23" s="123" customFormat="1" ht="15">
      <c r="A104" s="122"/>
      <c r="B104" s="122"/>
      <c r="C104" s="122"/>
      <c r="D104" s="122"/>
      <c r="E104" s="122"/>
      <c r="K104" s="119"/>
      <c r="L104" s="123" t="s">
        <v>553</v>
      </c>
      <c r="M104" s="123">
        <v>0</v>
      </c>
      <c r="N104" s="114">
        <v>0</v>
      </c>
      <c r="O104" s="114"/>
      <c r="P104" s="114">
        <v>0</v>
      </c>
      <c r="Q104" s="114"/>
      <c r="R104" s="114"/>
      <c r="S104" s="555">
        <v>0</v>
      </c>
      <c r="T104" s="555">
        <v>261</v>
      </c>
      <c r="U104" s="114">
        <v>0</v>
      </c>
      <c r="V104" s="110">
        <v>260</v>
      </c>
      <c r="W104" s="110">
        <f t="shared" si="9"/>
        <v>260</v>
      </c>
    </row>
    <row r="105" spans="1:23" s="121" customFormat="1" ht="15.75">
      <c r="A105" s="240"/>
      <c r="B105" s="240"/>
      <c r="C105" s="240"/>
      <c r="D105" s="240"/>
      <c r="E105" s="240" t="s">
        <v>65</v>
      </c>
      <c r="F105" s="216"/>
      <c r="G105" s="241" t="s">
        <v>449</v>
      </c>
      <c r="H105" s="216"/>
      <c r="I105" s="216"/>
      <c r="J105" s="216"/>
      <c r="K105" s="241"/>
      <c r="L105" s="216"/>
      <c r="M105" s="242">
        <f>SUM(M98)</f>
        <v>158</v>
      </c>
      <c r="N105" s="242">
        <v>0</v>
      </c>
      <c r="O105" s="242">
        <f>M105+N105</f>
        <v>158</v>
      </c>
      <c r="P105" s="242">
        <f>SUM(P98:P98)</f>
        <v>0</v>
      </c>
      <c r="Q105" s="242">
        <f>SUM(P105/O105)*100</f>
        <v>0</v>
      </c>
      <c r="R105" s="556">
        <f>SUM(R98:R103)</f>
        <v>15766</v>
      </c>
      <c r="S105" s="556">
        <f t="shared" si="7"/>
        <v>15924</v>
      </c>
      <c r="T105" s="242">
        <f>SUM(T98:T104)</f>
        <v>6024</v>
      </c>
      <c r="U105" s="697">
        <f t="shared" si="8"/>
        <v>37.829691032403915</v>
      </c>
      <c r="V105" s="242">
        <f>SUM(V98:V104)</f>
        <v>260</v>
      </c>
      <c r="W105" s="242">
        <f t="shared" si="9"/>
        <v>16184</v>
      </c>
    </row>
    <row r="106" spans="1:15" ht="15">
      <c r="A106" s="122"/>
      <c r="B106" s="122"/>
      <c r="C106" s="122"/>
      <c r="D106" s="122"/>
      <c r="E106" s="122" t="s">
        <v>69</v>
      </c>
      <c r="F106" s="123"/>
      <c r="G106" s="123"/>
      <c r="H106" s="123"/>
      <c r="I106" s="123"/>
      <c r="J106" s="123"/>
      <c r="K106" s="119" t="s">
        <v>170</v>
      </c>
      <c r="L106" s="123"/>
      <c r="M106" s="114"/>
      <c r="N106" s="114"/>
      <c r="O106" s="114"/>
    </row>
    <row r="107" spans="1:23" ht="15">
      <c r="A107" s="122"/>
      <c r="B107" s="122"/>
      <c r="C107" s="122"/>
      <c r="D107" s="122"/>
      <c r="E107" s="122"/>
      <c r="F107" s="123"/>
      <c r="G107" s="123"/>
      <c r="H107" s="123"/>
      <c r="I107" s="123"/>
      <c r="J107" s="123"/>
      <c r="K107" s="119" t="s">
        <v>474</v>
      </c>
      <c r="L107" s="123"/>
      <c r="M107" s="114">
        <v>0</v>
      </c>
      <c r="N107" s="114">
        <v>24</v>
      </c>
      <c r="O107" s="114">
        <f>M107+N107</f>
        <v>24</v>
      </c>
      <c r="P107" s="327">
        <v>24</v>
      </c>
      <c r="Q107" s="327">
        <f>SUM(P107/O107)*100</f>
        <v>100</v>
      </c>
      <c r="R107" s="553">
        <v>0</v>
      </c>
      <c r="S107" s="553">
        <f t="shared" si="7"/>
        <v>24</v>
      </c>
      <c r="T107" s="110">
        <v>21</v>
      </c>
      <c r="U107" s="695">
        <f t="shared" si="8"/>
        <v>87.5</v>
      </c>
      <c r="V107" s="110">
        <v>37</v>
      </c>
      <c r="W107" s="110">
        <f t="shared" si="9"/>
        <v>61</v>
      </c>
    </row>
    <row r="108" spans="1:23" ht="15">
      <c r="A108" s="122"/>
      <c r="B108" s="122"/>
      <c r="C108" s="122"/>
      <c r="D108" s="122"/>
      <c r="E108" s="122"/>
      <c r="F108" s="123"/>
      <c r="G108" s="123"/>
      <c r="H108" s="123"/>
      <c r="I108" s="123"/>
      <c r="J108" s="123"/>
      <c r="K108" s="119" t="s">
        <v>578</v>
      </c>
      <c r="L108" s="123"/>
      <c r="M108" s="114">
        <v>0</v>
      </c>
      <c r="N108" s="114"/>
      <c r="O108" s="114">
        <v>0</v>
      </c>
      <c r="P108" s="327"/>
      <c r="Q108" s="327"/>
      <c r="R108" s="553">
        <v>1204</v>
      </c>
      <c r="S108" s="553">
        <f t="shared" si="7"/>
        <v>1204</v>
      </c>
      <c r="T108" s="114">
        <v>0</v>
      </c>
      <c r="U108" s="695">
        <f t="shared" si="8"/>
        <v>0</v>
      </c>
      <c r="V108" s="110">
        <v>0</v>
      </c>
      <c r="W108" s="110">
        <f t="shared" si="9"/>
        <v>1204</v>
      </c>
    </row>
    <row r="109" spans="1:23" ht="15">
      <c r="A109" s="122"/>
      <c r="B109" s="122"/>
      <c r="C109" s="122"/>
      <c r="D109" s="122"/>
      <c r="E109" s="122"/>
      <c r="F109" s="123"/>
      <c r="G109" s="123"/>
      <c r="H109" s="123"/>
      <c r="I109" s="123"/>
      <c r="J109" s="123"/>
      <c r="K109" s="119" t="s">
        <v>579</v>
      </c>
      <c r="L109" s="123"/>
      <c r="M109" s="114">
        <v>0</v>
      </c>
      <c r="N109" s="114"/>
      <c r="O109" s="114">
        <v>0</v>
      </c>
      <c r="P109" s="327"/>
      <c r="Q109" s="327"/>
      <c r="R109" s="553">
        <v>150</v>
      </c>
      <c r="S109" s="553">
        <f t="shared" si="7"/>
        <v>150</v>
      </c>
      <c r="T109" s="114">
        <v>0</v>
      </c>
      <c r="U109" s="695">
        <f t="shared" si="8"/>
        <v>0</v>
      </c>
      <c r="V109" s="110">
        <v>0</v>
      </c>
      <c r="W109" s="110">
        <f t="shared" si="9"/>
        <v>150</v>
      </c>
    </row>
    <row r="110" spans="1:23" ht="15">
      <c r="A110" s="122"/>
      <c r="B110" s="122"/>
      <c r="C110" s="122"/>
      <c r="D110" s="122"/>
      <c r="E110" s="122"/>
      <c r="F110" s="123"/>
      <c r="G110" s="123"/>
      <c r="H110" s="123"/>
      <c r="I110" s="123"/>
      <c r="J110" s="123"/>
      <c r="K110" s="119" t="s">
        <v>645</v>
      </c>
      <c r="L110" s="123"/>
      <c r="M110" s="114">
        <v>0</v>
      </c>
      <c r="N110" s="327"/>
      <c r="O110" s="327">
        <v>0</v>
      </c>
      <c r="P110" s="327"/>
      <c r="Q110" s="327"/>
      <c r="R110" s="553">
        <v>892</v>
      </c>
      <c r="S110" s="553">
        <f t="shared" si="7"/>
        <v>892</v>
      </c>
      <c r="T110" s="327">
        <v>0</v>
      </c>
      <c r="U110" s="695">
        <f t="shared" si="8"/>
        <v>0</v>
      </c>
      <c r="V110" s="110">
        <v>0</v>
      </c>
      <c r="W110" s="110">
        <f t="shared" si="9"/>
        <v>892</v>
      </c>
    </row>
    <row r="111" spans="1:23" ht="15">
      <c r="A111" s="438"/>
      <c r="B111" s="438"/>
      <c r="C111" s="438"/>
      <c r="D111" s="438"/>
      <c r="E111" s="438"/>
      <c r="F111" s="440"/>
      <c r="G111" s="440"/>
      <c r="H111" s="440"/>
      <c r="I111" s="440"/>
      <c r="J111" s="440"/>
      <c r="K111" s="443" t="s">
        <v>687</v>
      </c>
      <c r="L111" s="440"/>
      <c r="M111" s="327">
        <v>0</v>
      </c>
      <c r="N111" s="327"/>
      <c r="O111" s="327"/>
      <c r="P111" s="327"/>
      <c r="Q111" s="327"/>
      <c r="S111" s="553">
        <v>0</v>
      </c>
      <c r="T111" s="327"/>
      <c r="V111" s="110">
        <v>256</v>
      </c>
      <c r="W111" s="110">
        <f t="shared" si="9"/>
        <v>256</v>
      </c>
    </row>
    <row r="112" spans="1:23" s="118" customFormat="1" ht="15.75">
      <c r="A112" s="240"/>
      <c r="B112" s="240"/>
      <c r="C112" s="240"/>
      <c r="D112" s="240"/>
      <c r="E112" s="240" t="s">
        <v>69</v>
      </c>
      <c r="F112" s="216"/>
      <c r="G112" s="216" t="s">
        <v>475</v>
      </c>
      <c r="H112" s="216"/>
      <c r="I112" s="216"/>
      <c r="J112" s="216"/>
      <c r="K112" s="241"/>
      <c r="L112" s="216"/>
      <c r="M112" s="242">
        <f>SUM(M107)</f>
        <v>0</v>
      </c>
      <c r="N112" s="242">
        <f>SUM(N107)</f>
        <v>24</v>
      </c>
      <c r="O112" s="242">
        <f>M112+N112</f>
        <v>24</v>
      </c>
      <c r="P112" s="242">
        <f>SUM(P107)</f>
        <v>24</v>
      </c>
      <c r="Q112" s="220">
        <f>SUM(P112/O112)*100</f>
        <v>100</v>
      </c>
      <c r="R112" s="556">
        <f>SUM(R107:R110)</f>
        <v>2246</v>
      </c>
      <c r="S112" s="556">
        <f t="shared" si="7"/>
        <v>2270</v>
      </c>
      <c r="T112" s="242">
        <f>SUM(T107:T110)</f>
        <v>21</v>
      </c>
      <c r="U112" s="697">
        <f t="shared" si="8"/>
        <v>0.9251101321585903</v>
      </c>
      <c r="V112" s="242">
        <f>SUM(V107:V111)</f>
        <v>293</v>
      </c>
      <c r="W112" s="242">
        <f t="shared" si="9"/>
        <v>2563</v>
      </c>
    </row>
    <row r="113" spans="1:17" ht="15">
      <c r="A113" s="122"/>
      <c r="B113" s="122"/>
      <c r="C113" s="122"/>
      <c r="D113" s="122"/>
      <c r="E113" s="124" t="s">
        <v>171</v>
      </c>
      <c r="F113" s="123"/>
      <c r="G113" s="123"/>
      <c r="H113" s="123"/>
      <c r="I113" s="123"/>
      <c r="J113" s="123"/>
      <c r="K113" s="119" t="s">
        <v>172</v>
      </c>
      <c r="L113" s="123"/>
      <c r="M113" s="114"/>
      <c r="N113" s="327">
        <v>0</v>
      </c>
      <c r="O113" s="114"/>
      <c r="P113" s="220">
        <v>0</v>
      </c>
      <c r="Q113" s="220">
        <v>0</v>
      </c>
    </row>
    <row r="114" spans="1:23" ht="15">
      <c r="A114" s="122"/>
      <c r="B114" s="122"/>
      <c r="C114" s="122"/>
      <c r="D114" s="122"/>
      <c r="E114" s="124"/>
      <c r="F114" s="123"/>
      <c r="G114" s="123"/>
      <c r="H114" s="123"/>
      <c r="I114" s="123"/>
      <c r="J114" s="123"/>
      <c r="K114" s="119" t="s">
        <v>580</v>
      </c>
      <c r="L114" s="123"/>
      <c r="M114" s="114">
        <v>0</v>
      </c>
      <c r="N114" s="114"/>
      <c r="O114" s="114">
        <v>0</v>
      </c>
      <c r="P114" s="559"/>
      <c r="Q114" s="559"/>
      <c r="R114" s="553">
        <v>45000</v>
      </c>
      <c r="S114" s="553">
        <f t="shared" si="7"/>
        <v>45000</v>
      </c>
      <c r="T114" s="110">
        <v>0</v>
      </c>
      <c r="U114" s="695">
        <f t="shared" si="8"/>
        <v>0</v>
      </c>
      <c r="V114" s="110">
        <v>0</v>
      </c>
      <c r="W114" s="110">
        <f t="shared" si="9"/>
        <v>45000</v>
      </c>
    </row>
    <row r="115" spans="1:23" ht="15">
      <c r="A115" s="122"/>
      <c r="B115" s="122"/>
      <c r="C115" s="122"/>
      <c r="D115" s="122"/>
      <c r="E115" s="124"/>
      <c r="F115" s="123"/>
      <c r="G115" s="123"/>
      <c r="H115" s="123"/>
      <c r="I115" s="123"/>
      <c r="J115" s="123"/>
      <c r="K115" s="753" t="s">
        <v>690</v>
      </c>
      <c r="L115" s="123"/>
      <c r="M115" s="114">
        <v>0</v>
      </c>
      <c r="N115" s="114"/>
      <c r="O115" s="114"/>
      <c r="P115" s="559"/>
      <c r="Q115" s="559"/>
      <c r="S115" s="553">
        <v>0</v>
      </c>
      <c r="V115" s="110">
        <v>104</v>
      </c>
      <c r="W115" s="110">
        <f t="shared" si="9"/>
        <v>104</v>
      </c>
    </row>
    <row r="116" spans="1:23" s="118" customFormat="1" ht="15.75">
      <c r="A116" s="240"/>
      <c r="B116" s="240"/>
      <c r="C116" s="240"/>
      <c r="D116" s="240"/>
      <c r="E116" s="240" t="s">
        <v>171</v>
      </c>
      <c r="F116" s="216"/>
      <c r="G116" s="216" t="s">
        <v>581</v>
      </c>
      <c r="H116" s="216"/>
      <c r="I116" s="216"/>
      <c r="J116" s="216"/>
      <c r="K116" s="241"/>
      <c r="L116" s="216"/>
      <c r="M116" s="242">
        <f>SUM(M113:M115)</f>
        <v>0</v>
      </c>
      <c r="N116" s="242"/>
      <c r="O116" s="242">
        <f>SUM(O113:O114)</f>
        <v>0</v>
      </c>
      <c r="P116" s="242"/>
      <c r="Q116" s="242"/>
      <c r="R116" s="556">
        <f>SUM(R113:R114)</f>
        <v>45000</v>
      </c>
      <c r="S116" s="556">
        <f t="shared" si="7"/>
        <v>45000</v>
      </c>
      <c r="T116" s="242">
        <f>SUM(T114)</f>
        <v>0</v>
      </c>
      <c r="U116" s="697">
        <f t="shared" si="8"/>
        <v>0</v>
      </c>
      <c r="V116" s="242">
        <f>SUM(V114:V115)</f>
        <v>104</v>
      </c>
      <c r="W116" s="242">
        <f t="shared" si="9"/>
        <v>45104</v>
      </c>
    </row>
    <row r="117" spans="1:23" s="118" customFormat="1" ht="15.75">
      <c r="A117" s="560"/>
      <c r="B117" s="560"/>
      <c r="C117" s="560"/>
      <c r="D117" s="560"/>
      <c r="E117" s="560" t="s">
        <v>173</v>
      </c>
      <c r="F117" s="561"/>
      <c r="G117" s="561"/>
      <c r="H117" s="561"/>
      <c r="I117" s="561"/>
      <c r="J117" s="561"/>
      <c r="K117" s="561" t="s">
        <v>174</v>
      </c>
      <c r="L117" s="561"/>
      <c r="M117" s="562">
        <v>45670</v>
      </c>
      <c r="N117" s="442">
        <v>368</v>
      </c>
      <c r="O117" s="442">
        <f>M117+N117</f>
        <v>46038</v>
      </c>
      <c r="P117" s="442">
        <v>0</v>
      </c>
      <c r="Q117" s="442">
        <f>SUM(P117/O117)*100</f>
        <v>0</v>
      </c>
      <c r="R117" s="563">
        <v>1022429</v>
      </c>
      <c r="S117" s="563">
        <f t="shared" si="7"/>
        <v>1068467</v>
      </c>
      <c r="T117" s="326">
        <v>0</v>
      </c>
      <c r="U117" s="697">
        <f t="shared" si="8"/>
        <v>0</v>
      </c>
      <c r="V117" s="242">
        <v>78870</v>
      </c>
      <c r="W117" s="242">
        <f t="shared" si="9"/>
        <v>1147337</v>
      </c>
    </row>
    <row r="118" spans="1:23" ht="15.75">
      <c r="A118" s="115" t="s">
        <v>49</v>
      </c>
      <c r="B118" s="115"/>
      <c r="C118" s="115"/>
      <c r="D118" s="115"/>
      <c r="E118" s="115"/>
      <c r="F118" s="116"/>
      <c r="G118" s="120"/>
      <c r="H118" s="116" t="s">
        <v>119</v>
      </c>
      <c r="I118" s="116"/>
      <c r="J118" s="120"/>
      <c r="K118" s="116"/>
      <c r="L118" s="116"/>
      <c r="M118" s="117">
        <f>SUM(M61+M96+M105+M106+M113+M117)</f>
        <v>46242</v>
      </c>
      <c r="N118" s="242">
        <f>N90+N96+N105+N112+N113+N117</f>
        <v>390442</v>
      </c>
      <c r="O118" s="242">
        <f>M118+N118</f>
        <v>436684</v>
      </c>
      <c r="P118" s="242">
        <f>P90+P96+P105+P112+P113+P117</f>
        <v>225823</v>
      </c>
      <c r="Q118" s="242">
        <f>SUM(P118/O118)*100</f>
        <v>51.71313810444166</v>
      </c>
      <c r="R118" s="556">
        <f>R90+R96+R105+R112+R116+R117</f>
        <v>3510910</v>
      </c>
      <c r="S118" s="556">
        <f t="shared" si="7"/>
        <v>3947594</v>
      </c>
      <c r="T118" s="242">
        <f>T90+T96+T105+T112+T116+T117</f>
        <v>604075</v>
      </c>
      <c r="U118" s="697">
        <f t="shared" si="8"/>
        <v>15.30235885453266</v>
      </c>
      <c r="V118" s="242">
        <f>V90+V96+V105+V112+V116+V117</f>
        <v>193428</v>
      </c>
      <c r="W118" s="242">
        <f t="shared" si="9"/>
        <v>4141022</v>
      </c>
    </row>
    <row r="119" spans="1:7" ht="15">
      <c r="A119" s="108" t="s">
        <v>54</v>
      </c>
      <c r="G119" s="109" t="s">
        <v>146</v>
      </c>
    </row>
    <row r="120" spans="4:10" ht="15">
      <c r="D120" s="108" t="s">
        <v>54</v>
      </c>
      <c r="J120" s="109" t="s">
        <v>166</v>
      </c>
    </row>
    <row r="121" spans="5:11" ht="15">
      <c r="E121" s="113" t="s">
        <v>167</v>
      </c>
      <c r="K121" s="109" t="s">
        <v>411</v>
      </c>
    </row>
    <row r="122" spans="11:23" ht="15">
      <c r="K122" s="109" t="s">
        <v>175</v>
      </c>
      <c r="M122" s="110">
        <v>2000</v>
      </c>
      <c r="N122" s="327">
        <v>0</v>
      </c>
      <c r="O122" s="114">
        <f>M122+N122</f>
        <v>2000</v>
      </c>
      <c r="P122" s="327">
        <v>455</v>
      </c>
      <c r="Q122" s="327">
        <f>SUM(P122/O122)*100</f>
        <v>22.75</v>
      </c>
      <c r="R122" s="553">
        <v>988</v>
      </c>
      <c r="S122" s="553">
        <f t="shared" si="7"/>
        <v>2988</v>
      </c>
      <c r="T122" s="114">
        <v>624</v>
      </c>
      <c r="U122" s="696">
        <f>SUM(T122/S122)*100</f>
        <v>20.883534136546185</v>
      </c>
      <c r="V122" s="110">
        <v>0</v>
      </c>
      <c r="W122" s="110">
        <f t="shared" si="9"/>
        <v>2988</v>
      </c>
    </row>
    <row r="123" spans="11:23" ht="15">
      <c r="K123" s="109" t="s">
        <v>646</v>
      </c>
      <c r="M123" s="110">
        <v>0</v>
      </c>
      <c r="N123" s="327"/>
      <c r="O123" s="327">
        <v>0</v>
      </c>
      <c r="P123" s="327"/>
      <c r="Q123" s="327"/>
      <c r="R123" s="553">
        <v>3900</v>
      </c>
      <c r="S123" s="553">
        <f t="shared" si="7"/>
        <v>3900</v>
      </c>
      <c r="T123" s="327">
        <v>3974</v>
      </c>
      <c r="U123" s="696">
        <f aca="true" t="shared" si="10" ref="U123:U143">SUM(T123/S123)*100</f>
        <v>101.8974358974359</v>
      </c>
      <c r="V123" s="110">
        <v>74</v>
      </c>
      <c r="W123" s="110">
        <f t="shared" si="9"/>
        <v>3974</v>
      </c>
    </row>
    <row r="124" spans="1:23" s="118" customFormat="1" ht="15.75">
      <c r="A124" s="115"/>
      <c r="B124" s="115"/>
      <c r="C124" s="115"/>
      <c r="D124" s="115"/>
      <c r="E124" s="125" t="s">
        <v>167</v>
      </c>
      <c r="F124" s="116"/>
      <c r="G124" s="116" t="s">
        <v>427</v>
      </c>
      <c r="H124" s="116"/>
      <c r="I124" s="116"/>
      <c r="J124" s="116"/>
      <c r="K124" s="116"/>
      <c r="L124" s="116"/>
      <c r="M124" s="117">
        <f>SUM(M122:M122)</f>
        <v>2000</v>
      </c>
      <c r="N124" s="242">
        <v>0</v>
      </c>
      <c r="O124" s="242">
        <f>M124+N124</f>
        <v>2000</v>
      </c>
      <c r="P124" s="242">
        <f>SUM(P122)</f>
        <v>455</v>
      </c>
      <c r="Q124" s="242">
        <f>SUM(P124/O124)*100</f>
        <v>22.75</v>
      </c>
      <c r="R124" s="556">
        <f>SUM(R122:R123)</f>
        <v>4888</v>
      </c>
      <c r="S124" s="556">
        <f t="shared" si="7"/>
        <v>6888</v>
      </c>
      <c r="T124" s="242">
        <f>SUM(T122:T123)</f>
        <v>4598</v>
      </c>
      <c r="U124" s="697">
        <f t="shared" si="10"/>
        <v>66.75377468060395</v>
      </c>
      <c r="V124" s="242">
        <f>SUM(V122:V123)</f>
        <v>74</v>
      </c>
      <c r="W124" s="242">
        <f t="shared" si="9"/>
        <v>6962</v>
      </c>
    </row>
    <row r="125" spans="1:23" ht="15.75">
      <c r="A125" s="115" t="s">
        <v>54</v>
      </c>
      <c r="B125" s="115"/>
      <c r="C125" s="115"/>
      <c r="D125" s="115"/>
      <c r="E125" s="115"/>
      <c r="F125" s="116"/>
      <c r="G125" s="120"/>
      <c r="H125" s="116" t="s">
        <v>125</v>
      </c>
      <c r="I125" s="116"/>
      <c r="J125" s="120"/>
      <c r="K125" s="116"/>
      <c r="L125" s="116"/>
      <c r="M125" s="117">
        <f>SUM(M124)</f>
        <v>2000</v>
      </c>
      <c r="N125" s="242">
        <v>0</v>
      </c>
      <c r="O125" s="242">
        <f>M125+N125</f>
        <v>2000</v>
      </c>
      <c r="P125" s="242" t="e">
        <f>P124+#REF!+#REF!+#REF!</f>
        <v>#REF!</v>
      </c>
      <c r="Q125" s="242" t="e">
        <f>SUM(P125/O125)*100</f>
        <v>#REF!</v>
      </c>
      <c r="R125" s="556">
        <f>R124</f>
        <v>4888</v>
      </c>
      <c r="S125" s="556">
        <f t="shared" si="7"/>
        <v>6888</v>
      </c>
      <c r="T125" s="242">
        <f>SUM(T124)</f>
        <v>4598</v>
      </c>
      <c r="U125" s="697">
        <f t="shared" si="10"/>
        <v>66.75377468060395</v>
      </c>
      <c r="V125" s="242">
        <f>SUM(V124)</f>
        <v>74</v>
      </c>
      <c r="W125" s="242">
        <f t="shared" si="9"/>
        <v>6962</v>
      </c>
    </row>
    <row r="126" spans="1:21" ht="15">
      <c r="A126" s="122" t="s">
        <v>101</v>
      </c>
      <c r="B126" s="122"/>
      <c r="C126" s="122"/>
      <c r="D126" s="122"/>
      <c r="E126" s="122"/>
      <c r="F126" s="123"/>
      <c r="G126" s="123" t="s">
        <v>407</v>
      </c>
      <c r="H126" s="123"/>
      <c r="I126" s="123"/>
      <c r="J126" s="123"/>
      <c r="K126" s="123"/>
      <c r="L126" s="123"/>
      <c r="M126" s="114"/>
      <c r="N126" s="114"/>
      <c r="O126" s="114"/>
      <c r="P126" s="114"/>
      <c r="Q126" s="114"/>
      <c r="U126" s="696"/>
    </row>
    <row r="127" spans="1:21" ht="15">
      <c r="A127" s="122"/>
      <c r="B127" s="122"/>
      <c r="C127" s="122"/>
      <c r="D127" s="122" t="s">
        <v>54</v>
      </c>
      <c r="E127" s="122"/>
      <c r="F127" s="123"/>
      <c r="G127" s="123"/>
      <c r="H127" s="123"/>
      <c r="I127" s="123"/>
      <c r="J127" s="123" t="s">
        <v>166</v>
      </c>
      <c r="K127" s="123"/>
      <c r="L127" s="123"/>
      <c r="M127" s="114"/>
      <c r="N127" s="114"/>
      <c r="O127" s="114"/>
      <c r="P127" s="114"/>
      <c r="Q127" s="114"/>
      <c r="U127" s="696"/>
    </row>
    <row r="128" spans="1:21" ht="15">
      <c r="A128" s="122"/>
      <c r="B128" s="122"/>
      <c r="C128" s="122"/>
      <c r="D128" s="122"/>
      <c r="E128" s="113" t="s">
        <v>167</v>
      </c>
      <c r="F128" s="123"/>
      <c r="G128" s="123"/>
      <c r="H128" s="123"/>
      <c r="I128" s="123"/>
      <c r="J128" s="123"/>
      <c r="K128" s="123" t="s">
        <v>411</v>
      </c>
      <c r="L128" s="123"/>
      <c r="M128" s="114"/>
      <c r="N128" s="114"/>
      <c r="O128" s="114"/>
      <c r="P128" s="114"/>
      <c r="Q128" s="114"/>
      <c r="U128" s="696"/>
    </row>
    <row r="129" spans="1:23" ht="15">
      <c r="A129" s="438"/>
      <c r="B129" s="438"/>
      <c r="C129" s="438"/>
      <c r="D129" s="438"/>
      <c r="E129" s="438"/>
      <c r="F129" s="440"/>
      <c r="G129" s="440"/>
      <c r="H129" s="440"/>
      <c r="I129" s="440"/>
      <c r="J129" s="440"/>
      <c r="K129" s="440" t="s">
        <v>175</v>
      </c>
      <c r="L129" s="440"/>
      <c r="M129" s="327">
        <v>0</v>
      </c>
      <c r="N129" s="327"/>
      <c r="O129" s="327">
        <v>0</v>
      </c>
      <c r="P129" s="327">
        <v>130</v>
      </c>
      <c r="Q129" s="327">
        <v>0</v>
      </c>
      <c r="R129" s="553">
        <v>236</v>
      </c>
      <c r="S129" s="553">
        <f t="shared" si="7"/>
        <v>236</v>
      </c>
      <c r="T129" s="110">
        <v>236</v>
      </c>
      <c r="U129" s="696">
        <f t="shared" si="10"/>
        <v>100</v>
      </c>
      <c r="V129" s="110">
        <v>0</v>
      </c>
      <c r="W129" s="110">
        <f aca="true" t="shared" si="11" ref="W129:W143">S129+V129</f>
        <v>236</v>
      </c>
    </row>
    <row r="130" spans="1:23" ht="15.75">
      <c r="A130" s="240"/>
      <c r="B130" s="240"/>
      <c r="C130" s="240"/>
      <c r="D130" s="240"/>
      <c r="E130" s="441" t="s">
        <v>167</v>
      </c>
      <c r="F130" s="216"/>
      <c r="G130" s="216" t="s">
        <v>476</v>
      </c>
      <c r="H130" s="216"/>
      <c r="I130" s="216"/>
      <c r="J130" s="216"/>
      <c r="K130" s="216"/>
      <c r="L130" s="216"/>
      <c r="M130" s="242">
        <f>SUM(M129)</f>
        <v>0</v>
      </c>
      <c r="N130" s="242"/>
      <c r="O130" s="242">
        <f aca="true" t="shared" si="12" ref="O130:Q131">SUM(O129)</f>
        <v>0</v>
      </c>
      <c r="P130" s="242">
        <f t="shared" si="12"/>
        <v>130</v>
      </c>
      <c r="Q130" s="242">
        <f t="shared" si="12"/>
        <v>0</v>
      </c>
      <c r="R130" s="556">
        <f>SUM(R129)</f>
        <v>236</v>
      </c>
      <c r="S130" s="556">
        <f t="shared" si="7"/>
        <v>236</v>
      </c>
      <c r="T130" s="242">
        <f>SUM(T129)</f>
        <v>236</v>
      </c>
      <c r="U130" s="697">
        <f t="shared" si="10"/>
        <v>100</v>
      </c>
      <c r="V130" s="242">
        <f>SUM(V129)</f>
        <v>0</v>
      </c>
      <c r="W130" s="242">
        <f t="shared" si="11"/>
        <v>236</v>
      </c>
    </row>
    <row r="131" spans="1:23" ht="15.75">
      <c r="A131" s="240" t="s">
        <v>101</v>
      </c>
      <c r="B131" s="240"/>
      <c r="C131" s="240"/>
      <c r="D131" s="240"/>
      <c r="E131" s="240"/>
      <c r="F131" s="216"/>
      <c r="G131" s="216"/>
      <c r="H131" s="216" t="s">
        <v>424</v>
      </c>
      <c r="I131" s="216"/>
      <c r="J131" s="216"/>
      <c r="K131" s="216"/>
      <c r="L131" s="216"/>
      <c r="M131" s="242">
        <f>SUM(M130)</f>
        <v>0</v>
      </c>
      <c r="N131" s="242"/>
      <c r="O131" s="242">
        <f t="shared" si="12"/>
        <v>0</v>
      </c>
      <c r="P131" s="242">
        <f t="shared" si="12"/>
        <v>130</v>
      </c>
      <c r="Q131" s="242">
        <f t="shared" si="12"/>
        <v>0</v>
      </c>
      <c r="R131" s="556">
        <f>R130</f>
        <v>236</v>
      </c>
      <c r="S131" s="556">
        <f t="shared" si="7"/>
        <v>236</v>
      </c>
      <c r="T131" s="242">
        <f>SUM(T130)</f>
        <v>236</v>
      </c>
      <c r="U131" s="697">
        <f t="shared" si="10"/>
        <v>100</v>
      </c>
      <c r="V131" s="242">
        <f>SUM(V130)</f>
        <v>0</v>
      </c>
      <c r="W131" s="242">
        <f t="shared" si="11"/>
        <v>236</v>
      </c>
    </row>
    <row r="132" spans="1:21" ht="15.75">
      <c r="A132" s="108" t="s">
        <v>126</v>
      </c>
      <c r="G132" s="119" t="s">
        <v>408</v>
      </c>
      <c r="S132" s="616"/>
      <c r="U132" s="696"/>
    </row>
    <row r="133" spans="1:21" ht="15.75">
      <c r="A133" s="111"/>
      <c r="B133" s="111"/>
      <c r="C133" s="111"/>
      <c r="D133" s="122" t="s">
        <v>54</v>
      </c>
      <c r="E133" s="122"/>
      <c r="F133" s="123"/>
      <c r="G133" s="123"/>
      <c r="H133" s="123"/>
      <c r="I133" s="123"/>
      <c r="J133" s="123" t="s">
        <v>166</v>
      </c>
      <c r="K133" s="123"/>
      <c r="L133" s="123"/>
      <c r="M133" s="114"/>
      <c r="N133" s="114"/>
      <c r="O133" s="114"/>
      <c r="P133" s="114"/>
      <c r="Q133" s="114"/>
      <c r="R133" s="555"/>
      <c r="S133" s="555"/>
      <c r="T133" s="114"/>
      <c r="U133" s="696"/>
    </row>
    <row r="134" spans="1:23" ht="15.75">
      <c r="A134" s="111"/>
      <c r="B134" s="111"/>
      <c r="C134" s="111"/>
      <c r="D134" s="122"/>
      <c r="E134" s="113" t="s">
        <v>167</v>
      </c>
      <c r="F134" s="123"/>
      <c r="G134" s="123"/>
      <c r="H134" s="123"/>
      <c r="I134" s="123"/>
      <c r="J134" s="123"/>
      <c r="K134" s="123" t="s">
        <v>411</v>
      </c>
      <c r="L134" s="123"/>
      <c r="M134" s="114">
        <v>0</v>
      </c>
      <c r="N134" s="114"/>
      <c r="O134" s="114">
        <v>0</v>
      </c>
      <c r="P134" s="114"/>
      <c r="Q134" s="114"/>
      <c r="R134" s="555">
        <v>418</v>
      </c>
      <c r="S134" s="555">
        <f t="shared" si="7"/>
        <v>418</v>
      </c>
      <c r="T134" s="327">
        <v>1256</v>
      </c>
      <c r="U134" s="696">
        <f t="shared" si="10"/>
        <v>300.47846889952154</v>
      </c>
      <c r="V134" s="110">
        <v>838</v>
      </c>
      <c r="W134" s="110">
        <f t="shared" si="11"/>
        <v>1256</v>
      </c>
    </row>
    <row r="135" spans="1:23" ht="15.75">
      <c r="A135" s="240"/>
      <c r="B135" s="240"/>
      <c r="C135" s="240"/>
      <c r="D135" s="240"/>
      <c r="E135" s="551" t="s">
        <v>167</v>
      </c>
      <c r="F135" s="216"/>
      <c r="G135" s="216" t="s">
        <v>476</v>
      </c>
      <c r="H135" s="552"/>
      <c r="I135" s="216"/>
      <c r="J135" s="216"/>
      <c r="K135" s="216"/>
      <c r="L135" s="216"/>
      <c r="M135" s="242">
        <v>0</v>
      </c>
      <c r="N135" s="242"/>
      <c r="O135" s="242">
        <v>0</v>
      </c>
      <c r="P135" s="242"/>
      <c r="Q135" s="242"/>
      <c r="R135" s="556">
        <f>SUM(R134)</f>
        <v>418</v>
      </c>
      <c r="S135" s="556">
        <f t="shared" si="7"/>
        <v>418</v>
      </c>
      <c r="T135" s="326">
        <f>SUM(T134)</f>
        <v>1256</v>
      </c>
      <c r="U135" s="697">
        <f t="shared" si="10"/>
        <v>300.47846889952154</v>
      </c>
      <c r="V135" s="242">
        <f>SUM(V134)</f>
        <v>838</v>
      </c>
      <c r="W135" s="242">
        <f t="shared" si="11"/>
        <v>1256</v>
      </c>
    </row>
    <row r="136" spans="1:23" ht="15.75">
      <c r="A136" s="240" t="s">
        <v>126</v>
      </c>
      <c r="B136" s="240"/>
      <c r="C136" s="240"/>
      <c r="D136" s="240"/>
      <c r="E136" s="240"/>
      <c r="F136" s="216"/>
      <c r="G136" s="216"/>
      <c r="H136" s="552" t="s">
        <v>408</v>
      </c>
      <c r="I136" s="216"/>
      <c r="J136" s="216"/>
      <c r="K136" s="216"/>
      <c r="L136" s="216"/>
      <c r="M136" s="242">
        <v>0</v>
      </c>
      <c r="N136" s="242"/>
      <c r="O136" s="242">
        <v>0</v>
      </c>
      <c r="P136" s="242"/>
      <c r="Q136" s="242"/>
      <c r="R136" s="556">
        <f>R135</f>
        <v>418</v>
      </c>
      <c r="S136" s="556">
        <f t="shared" si="7"/>
        <v>418</v>
      </c>
      <c r="T136" s="242">
        <f>SUM(T135)</f>
        <v>1256</v>
      </c>
      <c r="U136" s="697">
        <f t="shared" si="10"/>
        <v>300.47846889952154</v>
      </c>
      <c r="V136" s="242">
        <f>SUM(V135)</f>
        <v>838</v>
      </c>
      <c r="W136" s="242">
        <f t="shared" si="11"/>
        <v>1256</v>
      </c>
    </row>
    <row r="137" spans="1:23" s="118" customFormat="1" ht="15.75">
      <c r="A137" s="111"/>
      <c r="B137" s="111"/>
      <c r="C137" s="111"/>
      <c r="D137" s="111"/>
      <c r="E137" s="122" t="s">
        <v>167</v>
      </c>
      <c r="F137" s="123"/>
      <c r="G137" s="123"/>
      <c r="H137" s="123"/>
      <c r="I137" s="123"/>
      <c r="J137" s="123"/>
      <c r="K137" s="123" t="s">
        <v>411</v>
      </c>
      <c r="L137" s="123"/>
      <c r="M137" s="114">
        <f>SUM(M61+M122)</f>
        <v>2000</v>
      </c>
      <c r="N137" s="110">
        <f>N90+N124</f>
        <v>390050</v>
      </c>
      <c r="O137" s="110">
        <f aca="true" t="shared" si="13" ref="O137:O143">M137+N137</f>
        <v>392050</v>
      </c>
      <c r="P137" s="110">
        <f>P90+P124+P130</f>
        <v>225951</v>
      </c>
      <c r="Q137" s="110">
        <f>SUM(P137/O137)*100</f>
        <v>57.63321004973856</v>
      </c>
      <c r="R137" s="553">
        <f>R90+R124+R130+R135</f>
        <v>2425423</v>
      </c>
      <c r="S137" s="553">
        <f t="shared" si="7"/>
        <v>2817473</v>
      </c>
      <c r="T137" s="110">
        <f>T90+T124+T130+T135</f>
        <v>602725</v>
      </c>
      <c r="U137" s="696">
        <f t="shared" si="10"/>
        <v>21.392396661831363</v>
      </c>
      <c r="V137" s="110">
        <f>V90+V124+V130+V135</f>
        <v>113408</v>
      </c>
      <c r="W137" s="110">
        <f t="shared" si="11"/>
        <v>2930881</v>
      </c>
    </row>
    <row r="138" spans="1:23" ht="15">
      <c r="A138" s="122"/>
      <c r="B138" s="122"/>
      <c r="C138" s="122"/>
      <c r="D138" s="122"/>
      <c r="E138" s="122" t="s">
        <v>56</v>
      </c>
      <c r="F138" s="123"/>
      <c r="G138" s="123"/>
      <c r="H138" s="123"/>
      <c r="I138" s="123"/>
      <c r="J138" s="123"/>
      <c r="K138" s="119" t="s">
        <v>412</v>
      </c>
      <c r="L138" s="123"/>
      <c r="M138" s="114">
        <v>414</v>
      </c>
      <c r="N138" s="110">
        <v>0</v>
      </c>
      <c r="O138" s="110">
        <f t="shared" si="13"/>
        <v>414</v>
      </c>
      <c r="P138" s="110" t="e">
        <f>P96+#REF!</f>
        <v>#REF!</v>
      </c>
      <c r="Q138" s="110" t="e">
        <f>SUM(P138/O138)*100</f>
        <v>#REF!</v>
      </c>
      <c r="R138" s="553">
        <f>R96</f>
        <v>5588</v>
      </c>
      <c r="S138" s="553">
        <f t="shared" si="7"/>
        <v>6002</v>
      </c>
      <c r="T138" s="114">
        <f>T96</f>
        <v>1395</v>
      </c>
      <c r="U138" s="696">
        <f t="shared" si="10"/>
        <v>23.24225258247251</v>
      </c>
      <c r="V138" s="110">
        <f>V96</f>
        <v>1405</v>
      </c>
      <c r="W138" s="110">
        <f t="shared" si="11"/>
        <v>7407</v>
      </c>
    </row>
    <row r="139" spans="1:23" ht="15">
      <c r="A139" s="122"/>
      <c r="B139" s="122"/>
      <c r="C139" s="122"/>
      <c r="D139" s="122"/>
      <c r="E139" s="122" t="s">
        <v>65</v>
      </c>
      <c r="F139" s="123"/>
      <c r="G139" s="123"/>
      <c r="H139" s="123"/>
      <c r="I139" s="123"/>
      <c r="J139" s="123"/>
      <c r="K139" s="119" t="s">
        <v>169</v>
      </c>
      <c r="L139" s="123"/>
      <c r="M139" s="114">
        <v>158</v>
      </c>
      <c r="N139" s="110">
        <v>0</v>
      </c>
      <c r="O139" s="110">
        <f t="shared" si="13"/>
        <v>158</v>
      </c>
      <c r="P139" s="110" t="e">
        <f>P105+#REF!</f>
        <v>#REF!</v>
      </c>
      <c r="Q139" s="110" t="e">
        <f>SUM(P139/O139)*100</f>
        <v>#REF!</v>
      </c>
      <c r="R139" s="553">
        <f>R105</f>
        <v>15766</v>
      </c>
      <c r="S139" s="553">
        <f t="shared" si="7"/>
        <v>15924</v>
      </c>
      <c r="T139" s="114">
        <f>T105</f>
        <v>6024</v>
      </c>
      <c r="U139" s="696">
        <f t="shared" si="10"/>
        <v>37.829691032403915</v>
      </c>
      <c r="V139" s="110">
        <f>V105</f>
        <v>260</v>
      </c>
      <c r="W139" s="110">
        <f t="shared" si="11"/>
        <v>16184</v>
      </c>
    </row>
    <row r="140" spans="1:23" ht="15">
      <c r="A140" s="122"/>
      <c r="B140" s="122"/>
      <c r="C140" s="122"/>
      <c r="D140" s="122"/>
      <c r="E140" s="122" t="s">
        <v>69</v>
      </c>
      <c r="F140" s="123"/>
      <c r="G140" s="123"/>
      <c r="H140" s="123"/>
      <c r="I140" s="123"/>
      <c r="J140" s="123"/>
      <c r="K140" s="119" t="s">
        <v>177</v>
      </c>
      <c r="L140" s="123"/>
      <c r="M140" s="114">
        <v>0</v>
      </c>
      <c r="N140" s="110">
        <v>24</v>
      </c>
      <c r="O140" s="110">
        <f t="shared" si="13"/>
        <v>24</v>
      </c>
      <c r="P140" s="110" t="e">
        <f>P112+#REF!</f>
        <v>#REF!</v>
      </c>
      <c r="Q140" s="110" t="e">
        <f>SUM(P140/O140)*100</f>
        <v>#REF!</v>
      </c>
      <c r="R140" s="553">
        <f>R112</f>
        <v>2246</v>
      </c>
      <c r="S140" s="553">
        <f t="shared" si="7"/>
        <v>2270</v>
      </c>
      <c r="T140" s="114">
        <f>T112</f>
        <v>21</v>
      </c>
      <c r="U140" s="696">
        <f t="shared" si="10"/>
        <v>0.9251101321585903</v>
      </c>
      <c r="V140" s="110">
        <f>V112</f>
        <v>293</v>
      </c>
      <c r="W140" s="110">
        <f t="shared" si="11"/>
        <v>2563</v>
      </c>
    </row>
    <row r="141" spans="1:23" ht="15">
      <c r="A141" s="122"/>
      <c r="B141" s="122"/>
      <c r="C141" s="122"/>
      <c r="D141" s="122"/>
      <c r="E141" s="122" t="s">
        <v>171</v>
      </c>
      <c r="F141" s="123"/>
      <c r="G141" s="123"/>
      <c r="H141" s="123"/>
      <c r="I141" s="123"/>
      <c r="J141" s="123"/>
      <c r="K141" s="119" t="s">
        <v>172</v>
      </c>
      <c r="L141" s="123"/>
      <c r="M141" s="114">
        <f>SUM(M113)</f>
        <v>0</v>
      </c>
      <c r="N141" s="110">
        <v>0</v>
      </c>
      <c r="O141" s="110">
        <f t="shared" si="13"/>
        <v>0</v>
      </c>
      <c r="P141" s="110">
        <f>P113</f>
        <v>0</v>
      </c>
      <c r="Q141" s="110">
        <v>0</v>
      </c>
      <c r="R141" s="553">
        <f>R116</f>
        <v>45000</v>
      </c>
      <c r="S141" s="553">
        <f t="shared" si="7"/>
        <v>45000</v>
      </c>
      <c r="T141" s="114">
        <f>T116</f>
        <v>0</v>
      </c>
      <c r="U141" s="696">
        <f t="shared" si="10"/>
        <v>0</v>
      </c>
      <c r="V141" s="110">
        <f>V116</f>
        <v>104</v>
      </c>
      <c r="W141" s="110">
        <f t="shared" si="11"/>
        <v>45104</v>
      </c>
    </row>
    <row r="142" spans="1:23" ht="15">
      <c r="A142" s="122"/>
      <c r="B142" s="122"/>
      <c r="C142" s="122"/>
      <c r="D142" s="122"/>
      <c r="E142" s="108" t="s">
        <v>173</v>
      </c>
      <c r="F142" s="123"/>
      <c r="G142" s="123"/>
      <c r="H142" s="123"/>
      <c r="I142" s="123"/>
      <c r="J142" s="123"/>
      <c r="K142" s="119" t="s">
        <v>174</v>
      </c>
      <c r="L142" s="123"/>
      <c r="M142" s="114">
        <f>SUM(M117)</f>
        <v>45670</v>
      </c>
      <c r="N142" s="327">
        <v>368</v>
      </c>
      <c r="O142" s="327">
        <f t="shared" si="13"/>
        <v>46038</v>
      </c>
      <c r="P142" s="327">
        <f>P117</f>
        <v>0</v>
      </c>
      <c r="Q142" s="327">
        <f>SUM(P142/O142)*100</f>
        <v>0</v>
      </c>
      <c r="R142" s="553">
        <f>R117</f>
        <v>1022429</v>
      </c>
      <c r="S142" s="553">
        <f t="shared" si="7"/>
        <v>1068467</v>
      </c>
      <c r="T142" s="327">
        <f>T117</f>
        <v>0</v>
      </c>
      <c r="U142" s="696">
        <f t="shared" si="10"/>
        <v>0</v>
      </c>
      <c r="V142" s="110">
        <f>V117</f>
        <v>78870</v>
      </c>
      <c r="W142" s="110">
        <f t="shared" si="11"/>
        <v>1147337</v>
      </c>
    </row>
    <row r="143" spans="1:23" ht="15.75">
      <c r="A143" s="115"/>
      <c r="B143" s="115"/>
      <c r="C143" s="115"/>
      <c r="D143" s="115" t="s">
        <v>54</v>
      </c>
      <c r="E143" s="115"/>
      <c r="F143" s="116"/>
      <c r="G143" s="116"/>
      <c r="H143" s="116"/>
      <c r="I143" s="116"/>
      <c r="J143" s="116" t="s">
        <v>178</v>
      </c>
      <c r="K143" s="116"/>
      <c r="L143" s="116"/>
      <c r="M143" s="117">
        <f>SUM(M137:M142)</f>
        <v>48242</v>
      </c>
      <c r="N143" s="242">
        <f>SUM(N137:N142)</f>
        <v>390442</v>
      </c>
      <c r="O143" s="242">
        <f t="shared" si="13"/>
        <v>438684</v>
      </c>
      <c r="P143" s="242" t="e">
        <f>SUM(P137:P142)</f>
        <v>#REF!</v>
      </c>
      <c r="Q143" s="242" t="e">
        <f>SUM(P143/O143)*100</f>
        <v>#REF!</v>
      </c>
      <c r="R143" s="556">
        <f>SUM(R137:R142)</f>
        <v>3516452</v>
      </c>
      <c r="S143" s="556">
        <f t="shared" si="7"/>
        <v>3955136</v>
      </c>
      <c r="T143" s="242">
        <f>T118+T125+T131+T136</f>
        <v>610165</v>
      </c>
      <c r="U143" s="697">
        <f t="shared" si="10"/>
        <v>15.427155981488374</v>
      </c>
      <c r="V143" s="242">
        <f>SUM(V137:V142)</f>
        <v>194340</v>
      </c>
      <c r="W143" s="242">
        <f t="shared" si="11"/>
        <v>4149476</v>
      </c>
    </row>
    <row r="144" spans="1:12" ht="15.75">
      <c r="A144" s="111"/>
      <c r="B144" s="111"/>
      <c r="C144" s="111"/>
      <c r="D144" s="111"/>
      <c r="E144" s="111"/>
      <c r="F144" s="121"/>
      <c r="G144" s="121"/>
      <c r="H144" s="121"/>
      <c r="I144" s="121"/>
      <c r="J144" s="121"/>
      <c r="K144" s="121"/>
      <c r="L144" s="121"/>
    </row>
    <row r="145" spans="1:12" ht="15.75">
      <c r="A145" s="111"/>
      <c r="B145" s="111"/>
      <c r="C145" s="111"/>
      <c r="D145" s="111"/>
      <c r="E145" s="111"/>
      <c r="F145" s="121"/>
      <c r="G145" s="121"/>
      <c r="H145" s="121"/>
      <c r="I145" s="121"/>
      <c r="J145" s="121"/>
      <c r="K145" s="121"/>
      <c r="L145" s="121"/>
    </row>
    <row r="146" spans="1:13" ht="15.75">
      <c r="A146" s="111"/>
      <c r="B146" s="111"/>
      <c r="C146" s="111"/>
      <c r="D146" s="111"/>
      <c r="E146" s="111"/>
      <c r="F146" s="121"/>
      <c r="G146" s="121"/>
      <c r="H146" s="121"/>
      <c r="I146" s="121"/>
      <c r="J146" s="121"/>
      <c r="K146" s="121"/>
      <c r="L146" s="121"/>
      <c r="M146" s="477"/>
    </row>
    <row r="147" spans="1:12" ht="15.75">
      <c r="A147" s="111"/>
      <c r="B147" s="111"/>
      <c r="C147" s="111"/>
      <c r="D147" s="111"/>
      <c r="E147" s="111"/>
      <c r="F147" s="121"/>
      <c r="G147" s="121"/>
      <c r="H147" s="121"/>
      <c r="I147" s="121"/>
      <c r="J147" s="121"/>
      <c r="K147" s="121"/>
      <c r="L147" s="121"/>
    </row>
    <row r="148" spans="1:12" ht="15.75">
      <c r="A148" s="111"/>
      <c r="B148" s="111"/>
      <c r="C148" s="111"/>
      <c r="D148" s="111"/>
      <c r="E148" s="111"/>
      <c r="F148" s="121"/>
      <c r="G148" s="121"/>
      <c r="H148" s="121"/>
      <c r="I148" s="121"/>
      <c r="J148" s="121"/>
      <c r="K148" s="121"/>
      <c r="L148" s="121"/>
    </row>
    <row r="149" spans="1:12" ht="15.75">
      <c r="A149" s="111"/>
      <c r="B149" s="111"/>
      <c r="C149" s="111"/>
      <c r="D149" s="111"/>
      <c r="E149" s="111"/>
      <c r="F149" s="121"/>
      <c r="G149" s="121"/>
      <c r="H149" s="121"/>
      <c r="I149" s="121"/>
      <c r="J149" s="121"/>
      <c r="K149" s="121"/>
      <c r="L149" s="121"/>
    </row>
    <row r="150" spans="1:23" ht="15.75">
      <c r="A150" s="878" t="s">
        <v>284</v>
      </c>
      <c r="B150" s="878"/>
      <c r="C150" s="878"/>
      <c r="D150" s="878"/>
      <c r="E150" s="878"/>
      <c r="F150" s="878"/>
      <c r="G150" s="878"/>
      <c r="H150" s="878"/>
      <c r="I150" s="878"/>
      <c r="J150" s="878"/>
      <c r="K150" s="878"/>
      <c r="L150" s="878"/>
      <c r="M150" s="875"/>
      <c r="N150" s="875"/>
      <c r="O150" s="875"/>
      <c r="P150" s="875"/>
      <c r="Q150" s="875"/>
      <c r="R150" s="875"/>
      <c r="S150" s="875"/>
      <c r="T150" s="875"/>
      <c r="U150" s="875"/>
      <c r="V150" s="875"/>
      <c r="W150" s="875"/>
    </row>
    <row r="151" spans="1:14" ht="15.75">
      <c r="A151" s="111"/>
      <c r="B151" s="111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7"/>
      <c r="N151" s="127"/>
    </row>
    <row r="152" spans="1:14" ht="15.75">
      <c r="A152" s="111"/>
      <c r="B152" s="111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7"/>
      <c r="N152" s="127"/>
    </row>
    <row r="153" spans="1:23" ht="15.75">
      <c r="A153" s="111"/>
      <c r="B153" s="111"/>
      <c r="C153" s="126"/>
      <c r="D153" s="126"/>
      <c r="E153" s="126"/>
      <c r="F153" s="126"/>
      <c r="G153" s="126"/>
      <c r="H153" s="126"/>
      <c r="I153" s="126"/>
      <c r="J153" s="126"/>
      <c r="K153" s="126"/>
      <c r="L153" s="877" t="s">
        <v>35</v>
      </c>
      <c r="M153" s="877"/>
      <c r="N153" s="872"/>
      <c r="O153" s="872"/>
      <c r="P153" s="872"/>
      <c r="Q153" s="872"/>
      <c r="R153" s="872"/>
      <c r="S153" s="872"/>
      <c r="T153" s="872"/>
      <c r="U153" s="872"/>
      <c r="V153" s="872"/>
      <c r="W153" s="872"/>
    </row>
    <row r="154" spans="1:23" ht="95.25">
      <c r="A154" s="112" t="s">
        <v>36</v>
      </c>
      <c r="B154" s="112" t="s">
        <v>37</v>
      </c>
      <c r="C154" s="112" t="s">
        <v>38</v>
      </c>
      <c r="D154" s="112" t="s">
        <v>39</v>
      </c>
      <c r="E154" s="112" t="s">
        <v>40</v>
      </c>
      <c r="F154" s="112" t="s">
        <v>41</v>
      </c>
      <c r="G154" s="112" t="s">
        <v>42</v>
      </c>
      <c r="H154" s="112" t="s">
        <v>43</v>
      </c>
      <c r="I154" s="112" t="s">
        <v>44</v>
      </c>
      <c r="J154" s="112" t="s">
        <v>45</v>
      </c>
      <c r="K154" s="112" t="s">
        <v>46</v>
      </c>
      <c r="L154" s="732" t="s">
        <v>47</v>
      </c>
      <c r="M154" s="733" t="s">
        <v>464</v>
      </c>
      <c r="N154" s="733" t="s">
        <v>366</v>
      </c>
      <c r="O154" s="734" t="s">
        <v>191</v>
      </c>
      <c r="P154" s="132" t="s">
        <v>483</v>
      </c>
      <c r="Q154" s="132" t="s">
        <v>484</v>
      </c>
      <c r="R154" s="735" t="s">
        <v>366</v>
      </c>
      <c r="S154" s="735" t="s">
        <v>529</v>
      </c>
      <c r="T154" s="132" t="s">
        <v>648</v>
      </c>
      <c r="U154" s="731" t="s">
        <v>484</v>
      </c>
      <c r="V154" s="752" t="s">
        <v>366</v>
      </c>
      <c r="W154" s="752" t="s">
        <v>675</v>
      </c>
    </row>
    <row r="155" spans="1:38" s="7" customFormat="1" ht="15">
      <c r="A155" s="134" t="s">
        <v>309</v>
      </c>
      <c r="B155" s="134" t="s">
        <v>310</v>
      </c>
      <c r="C155" s="134" t="s">
        <v>311</v>
      </c>
      <c r="D155" s="134" t="s">
        <v>312</v>
      </c>
      <c r="E155" s="134" t="s">
        <v>313</v>
      </c>
      <c r="F155" s="134" t="s">
        <v>314</v>
      </c>
      <c r="G155" s="134" t="s">
        <v>315</v>
      </c>
      <c r="H155" s="134" t="s">
        <v>316</v>
      </c>
      <c r="I155" s="134" t="s">
        <v>317</v>
      </c>
      <c r="J155" s="134" t="s">
        <v>318</v>
      </c>
      <c r="K155" s="134" t="s">
        <v>319</v>
      </c>
      <c r="L155" s="134" t="s">
        <v>320</v>
      </c>
      <c r="M155" s="135" t="s">
        <v>321</v>
      </c>
      <c r="N155" s="319" t="s">
        <v>322</v>
      </c>
      <c r="O155" s="319" t="s">
        <v>322</v>
      </c>
      <c r="P155" s="135" t="s">
        <v>323</v>
      </c>
      <c r="Q155" s="135" t="s">
        <v>482</v>
      </c>
      <c r="R155" s="554" t="s">
        <v>323</v>
      </c>
      <c r="S155" s="554" t="s">
        <v>322</v>
      </c>
      <c r="T155" s="135" t="s">
        <v>323</v>
      </c>
      <c r="U155" s="656" t="s">
        <v>482</v>
      </c>
      <c r="V155" s="135" t="s">
        <v>323</v>
      </c>
      <c r="W155" s="135" t="s">
        <v>482</v>
      </c>
      <c r="X155" s="30"/>
      <c r="Y155" s="30"/>
      <c r="Z155" s="3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</row>
    <row r="156" spans="1:7" ht="15">
      <c r="A156" s="108" t="s">
        <v>179</v>
      </c>
      <c r="G156" s="109" t="s">
        <v>50</v>
      </c>
    </row>
    <row r="157" spans="4:10" ht="15">
      <c r="D157" s="108" t="s">
        <v>101</v>
      </c>
      <c r="J157" s="109" t="s">
        <v>180</v>
      </c>
    </row>
    <row r="158" spans="5:11" ht="15">
      <c r="E158" s="108" t="s">
        <v>181</v>
      </c>
      <c r="K158" s="109" t="s">
        <v>182</v>
      </c>
    </row>
    <row r="159" spans="11:23" ht="15">
      <c r="K159" s="109" t="s">
        <v>183</v>
      </c>
      <c r="M159" s="110">
        <v>58688</v>
      </c>
      <c r="N159" s="110">
        <v>0</v>
      </c>
      <c r="O159" s="110">
        <f>M159+N159</f>
        <v>58688</v>
      </c>
      <c r="P159" s="110">
        <v>19563</v>
      </c>
      <c r="Q159" s="110">
        <f>SUM(P159/O159)*100</f>
        <v>33.33390130861505</v>
      </c>
      <c r="R159" s="553">
        <v>0</v>
      </c>
      <c r="S159" s="553">
        <f>O159+R159</f>
        <v>58688</v>
      </c>
      <c r="T159" s="114">
        <v>39125</v>
      </c>
      <c r="U159" s="696">
        <f>SUM(T159/S159)*100</f>
        <v>66.66609869138496</v>
      </c>
      <c r="V159" s="110">
        <v>0</v>
      </c>
      <c r="W159" s="110">
        <f>S159+V159</f>
        <v>58688</v>
      </c>
    </row>
    <row r="160" spans="11:23" ht="15">
      <c r="K160" s="109" t="s">
        <v>184</v>
      </c>
      <c r="M160" s="110">
        <v>10891</v>
      </c>
      <c r="N160" s="327">
        <v>0</v>
      </c>
      <c r="O160" s="327">
        <f>M160+N160</f>
        <v>10891</v>
      </c>
      <c r="P160" s="327">
        <v>7262</v>
      </c>
      <c r="Q160" s="327">
        <f aca="true" t="shared" si="14" ref="Q160:Q166">SUM(P160/O160)*100</f>
        <v>66.67890919107519</v>
      </c>
      <c r="R160" s="553">
        <v>3631</v>
      </c>
      <c r="S160" s="553">
        <f aca="true" t="shared" si="15" ref="S160:S166">O160+R160</f>
        <v>14522</v>
      </c>
      <c r="T160" s="327">
        <v>65822</v>
      </c>
      <c r="U160" s="696">
        <f aca="true" t="shared" si="16" ref="U160:U166">SUM(T160/S160)*100</f>
        <v>453.25712711747695</v>
      </c>
      <c r="V160" s="110">
        <v>0</v>
      </c>
      <c r="W160" s="110">
        <f aca="true" t="shared" si="17" ref="W160:W166">S160+V160</f>
        <v>14522</v>
      </c>
    </row>
    <row r="161" spans="1:23" s="118" customFormat="1" ht="15.75">
      <c r="A161" s="115"/>
      <c r="B161" s="115"/>
      <c r="C161" s="115"/>
      <c r="D161" s="115"/>
      <c r="E161" s="115" t="s">
        <v>181</v>
      </c>
      <c r="F161" s="116"/>
      <c r="G161" s="116" t="s">
        <v>437</v>
      </c>
      <c r="H161" s="116"/>
      <c r="I161" s="116"/>
      <c r="J161" s="116"/>
      <c r="K161" s="116"/>
      <c r="L161" s="116"/>
      <c r="M161" s="117">
        <f>SUM(M159:M160)</f>
        <v>69579</v>
      </c>
      <c r="N161" s="242">
        <v>0</v>
      </c>
      <c r="O161" s="242">
        <f>M161+N161</f>
        <v>69579</v>
      </c>
      <c r="P161" s="242">
        <f>SUM(P159:P160)</f>
        <v>26825</v>
      </c>
      <c r="Q161" s="242">
        <f t="shared" si="14"/>
        <v>38.553299127610344</v>
      </c>
      <c r="R161" s="556">
        <f>SUM(R159:R160)</f>
        <v>3631</v>
      </c>
      <c r="S161" s="556">
        <f t="shared" si="15"/>
        <v>73210</v>
      </c>
      <c r="T161" s="442">
        <f>SUM(T159:T160)</f>
        <v>104947</v>
      </c>
      <c r="U161" s="697">
        <f t="shared" si="16"/>
        <v>143.35063515913126</v>
      </c>
      <c r="V161" s="242">
        <f>SUM(V159:V160)</f>
        <v>0</v>
      </c>
      <c r="W161" s="242">
        <f t="shared" si="17"/>
        <v>73210</v>
      </c>
    </row>
    <row r="162" spans="5:21" ht="15">
      <c r="E162" s="108" t="s">
        <v>185</v>
      </c>
      <c r="K162" s="109" t="s">
        <v>186</v>
      </c>
      <c r="U162" s="696"/>
    </row>
    <row r="163" spans="11:23" ht="15">
      <c r="K163" s="109" t="s">
        <v>187</v>
      </c>
      <c r="M163" s="110">
        <v>93750</v>
      </c>
      <c r="N163" s="110">
        <v>0</v>
      </c>
      <c r="O163" s="110">
        <f>M163+N163</f>
        <v>93750</v>
      </c>
      <c r="P163" s="110">
        <v>62500</v>
      </c>
      <c r="Q163" s="110">
        <f t="shared" si="14"/>
        <v>66.66666666666666</v>
      </c>
      <c r="R163" s="553">
        <v>0</v>
      </c>
      <c r="S163" s="553">
        <f t="shared" si="15"/>
        <v>93750</v>
      </c>
      <c r="T163" s="114">
        <v>62500</v>
      </c>
      <c r="U163" s="696">
        <f t="shared" si="16"/>
        <v>66.66666666666666</v>
      </c>
      <c r="V163" s="110">
        <v>0</v>
      </c>
      <c r="W163" s="110">
        <f t="shared" si="17"/>
        <v>93750</v>
      </c>
    </row>
    <row r="164" spans="11:23" ht="15">
      <c r="K164" s="109" t="s">
        <v>188</v>
      </c>
      <c r="M164" s="110">
        <v>45000</v>
      </c>
      <c r="N164" s="327">
        <v>0</v>
      </c>
      <c r="O164" s="327">
        <f>M164+N164</f>
        <v>45000</v>
      </c>
      <c r="P164" s="327">
        <v>0</v>
      </c>
      <c r="Q164" s="327">
        <f t="shared" si="14"/>
        <v>0</v>
      </c>
      <c r="R164" s="553">
        <v>0</v>
      </c>
      <c r="S164" s="553">
        <f t="shared" si="15"/>
        <v>45000</v>
      </c>
      <c r="T164" s="327">
        <v>30000</v>
      </c>
      <c r="U164" s="696">
        <f t="shared" si="16"/>
        <v>66.66666666666666</v>
      </c>
      <c r="V164" s="110">
        <v>0</v>
      </c>
      <c r="W164" s="110">
        <f t="shared" si="17"/>
        <v>45000</v>
      </c>
    </row>
    <row r="165" spans="1:23" s="118" customFormat="1" ht="15.75">
      <c r="A165" s="115"/>
      <c r="B165" s="115"/>
      <c r="C165" s="115"/>
      <c r="D165" s="115"/>
      <c r="E165" s="115" t="s">
        <v>189</v>
      </c>
      <c r="F165" s="116"/>
      <c r="G165" s="116" t="s">
        <v>428</v>
      </c>
      <c r="H165" s="116"/>
      <c r="I165" s="116"/>
      <c r="J165" s="116"/>
      <c r="K165" s="116"/>
      <c r="L165" s="116"/>
      <c r="M165" s="117">
        <f>SUM(M163:M164)</f>
        <v>138750</v>
      </c>
      <c r="N165" s="242">
        <v>0</v>
      </c>
      <c r="O165" s="242">
        <f>M165+N165</f>
        <v>138750</v>
      </c>
      <c r="P165" s="242">
        <f>SUM(P163:P164)</f>
        <v>62500</v>
      </c>
      <c r="Q165" s="242">
        <f t="shared" si="14"/>
        <v>45.04504504504504</v>
      </c>
      <c r="R165" s="556">
        <v>0</v>
      </c>
      <c r="S165" s="556">
        <f t="shared" si="15"/>
        <v>138750</v>
      </c>
      <c r="T165" s="326">
        <f>SUM(T163:T164)</f>
        <v>92500</v>
      </c>
      <c r="U165" s="697">
        <f t="shared" si="16"/>
        <v>66.66666666666666</v>
      </c>
      <c r="V165" s="242">
        <f>SUM(V163:V164)</f>
        <v>0</v>
      </c>
      <c r="W165" s="242">
        <f t="shared" si="17"/>
        <v>138750</v>
      </c>
    </row>
    <row r="166" spans="1:23" ht="15.75">
      <c r="A166" s="115" t="s">
        <v>179</v>
      </c>
      <c r="B166" s="115"/>
      <c r="C166" s="115"/>
      <c r="D166" s="115"/>
      <c r="E166" s="115"/>
      <c r="F166" s="116"/>
      <c r="G166" s="120"/>
      <c r="H166" s="116" t="s">
        <v>119</v>
      </c>
      <c r="I166" s="116"/>
      <c r="J166" s="116"/>
      <c r="K166" s="116"/>
      <c r="L166" s="116"/>
      <c r="M166" s="117">
        <f>SUM(M161+M165)</f>
        <v>208329</v>
      </c>
      <c r="N166" s="242">
        <v>0</v>
      </c>
      <c r="O166" s="242">
        <f>M166+N166</f>
        <v>208329</v>
      </c>
      <c r="P166" s="242">
        <f>P161+P165</f>
        <v>89325</v>
      </c>
      <c r="Q166" s="242">
        <f t="shared" si="14"/>
        <v>42.87689183935026</v>
      </c>
      <c r="R166" s="556">
        <f>R161+R165</f>
        <v>3631</v>
      </c>
      <c r="S166" s="556">
        <f t="shared" si="15"/>
        <v>211960</v>
      </c>
      <c r="T166" s="242">
        <f>T161+T165</f>
        <v>197447</v>
      </c>
      <c r="U166" s="697">
        <f t="shared" si="16"/>
        <v>93.1529533874316</v>
      </c>
      <c r="V166" s="242">
        <f>V161+V165</f>
        <v>0</v>
      </c>
      <c r="W166" s="242">
        <f t="shared" si="17"/>
        <v>211960</v>
      </c>
    </row>
    <row r="169" ht="15">
      <c r="H169" s="109" t="s">
        <v>87</v>
      </c>
    </row>
  </sheetData>
  <sheetProtection selectLockedCells="1" selectUnlockedCells="1"/>
  <mergeCells count="7">
    <mergeCell ref="L153:W153"/>
    <mergeCell ref="A54:W54"/>
    <mergeCell ref="L1:W1"/>
    <mergeCell ref="A3:W3"/>
    <mergeCell ref="L5:W5"/>
    <mergeCell ref="A150:W150"/>
    <mergeCell ref="L56:W56"/>
  </mergeCells>
  <printOptions horizontalCentered="1"/>
  <pageMargins left="0.7875" right="0.7875" top="0.97" bottom="0.7875" header="0.5118055555555555" footer="0.5118055555555555"/>
  <pageSetup horizontalDpi="300" verticalDpi="300" orientation="portrait" paperSize="9" scale="49" r:id="rId1"/>
  <headerFooter alignWithMargins="0">
    <oddFooter>&amp;C&amp;P. oldal</oddFooter>
  </headerFooter>
  <rowBreaks count="2" manualBreakCount="2">
    <brk id="53" max="22" man="1"/>
    <brk id="1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O66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2.75"/>
  <cols>
    <col min="1" max="1" width="67.00390625" style="0" customWidth="1"/>
    <col min="2" max="2" width="12.75390625" style="0" customWidth="1"/>
    <col min="3" max="3" width="10.25390625" style="3" hidden="1" customWidth="1"/>
    <col min="4" max="4" width="12.25390625" style="3" hidden="1" customWidth="1"/>
    <col min="5" max="5" width="0" style="3" hidden="1" customWidth="1"/>
    <col min="6" max="6" width="0" style="39" hidden="1" customWidth="1"/>
    <col min="7" max="7" width="11.125" style="626" hidden="1" customWidth="1"/>
    <col min="8" max="8" width="11.75390625" style="3" customWidth="1"/>
    <col min="9" max="9" width="11.625" style="3" hidden="1" customWidth="1"/>
    <col min="10" max="10" width="0" style="655" hidden="1" customWidth="1"/>
    <col min="11" max="11" width="10.25390625" style="3" customWidth="1"/>
    <col min="12" max="12" width="11.625" style="3" customWidth="1"/>
  </cols>
  <sheetData>
    <row r="1" spans="1:12" ht="14.25">
      <c r="A1" s="881" t="s">
        <v>829</v>
      </c>
      <c r="B1" s="881"/>
      <c r="C1" s="874"/>
      <c r="D1" s="874"/>
      <c r="E1" s="875"/>
      <c r="F1" s="875"/>
      <c r="G1" s="875"/>
      <c r="H1" s="875"/>
      <c r="I1" s="875"/>
      <c r="J1" s="875"/>
      <c r="K1" s="875"/>
      <c r="L1" s="875"/>
    </row>
    <row r="3" spans="1:12" ht="15.75">
      <c r="A3" s="876" t="s">
        <v>285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</row>
    <row r="4" ht="15.75">
      <c r="A4" s="5"/>
    </row>
    <row r="5" spans="1:12" ht="15.75">
      <c r="A5" s="2"/>
      <c r="B5" s="882" t="s">
        <v>35</v>
      </c>
      <c r="C5" s="883"/>
      <c r="D5" s="883"/>
      <c r="E5" s="883"/>
      <c r="F5" s="883"/>
      <c r="G5" s="872"/>
      <c r="H5" s="872"/>
      <c r="I5" s="872"/>
      <c r="J5" s="872"/>
      <c r="K5" s="872"/>
      <c r="L5" s="872"/>
    </row>
    <row r="6" spans="1:15" s="331" customFormat="1" ht="31.5">
      <c r="A6" s="328" t="s">
        <v>190</v>
      </c>
      <c r="B6" s="133" t="s">
        <v>464</v>
      </c>
      <c r="C6" s="332" t="s">
        <v>48</v>
      </c>
      <c r="D6" s="332" t="s">
        <v>191</v>
      </c>
      <c r="E6" s="332" t="s">
        <v>483</v>
      </c>
      <c r="F6" s="133" t="s">
        <v>484</v>
      </c>
      <c r="G6" s="513" t="s">
        <v>366</v>
      </c>
      <c r="H6" s="332" t="s">
        <v>529</v>
      </c>
      <c r="I6" s="332" t="s">
        <v>648</v>
      </c>
      <c r="J6" s="684" t="s">
        <v>484</v>
      </c>
      <c r="K6" s="515" t="s">
        <v>366</v>
      </c>
      <c r="L6" s="515" t="s">
        <v>675</v>
      </c>
      <c r="M6" s="330"/>
      <c r="N6" s="330"/>
      <c r="O6" s="330"/>
    </row>
    <row r="7" spans="1:15" s="139" customFormat="1" ht="15">
      <c r="A7" s="136" t="s">
        <v>324</v>
      </c>
      <c r="B7" s="137" t="s">
        <v>321</v>
      </c>
      <c r="C7" s="135" t="s">
        <v>322</v>
      </c>
      <c r="D7" s="135" t="s">
        <v>322</v>
      </c>
      <c r="E7" s="135" t="s">
        <v>323</v>
      </c>
      <c r="F7" s="135" t="s">
        <v>482</v>
      </c>
      <c r="G7" s="622" t="s">
        <v>323</v>
      </c>
      <c r="H7" s="135" t="s">
        <v>322</v>
      </c>
      <c r="I7" s="135" t="s">
        <v>323</v>
      </c>
      <c r="J7" s="656" t="s">
        <v>482</v>
      </c>
      <c r="K7" s="135" t="s">
        <v>323</v>
      </c>
      <c r="L7" s="135" t="s">
        <v>482</v>
      </c>
      <c r="M7" s="141"/>
      <c r="N7" s="141"/>
      <c r="O7" s="142"/>
    </row>
    <row r="8" spans="1:12" ht="15">
      <c r="A8" s="19" t="s">
        <v>193</v>
      </c>
      <c r="B8" s="3">
        <v>6000</v>
      </c>
      <c r="C8" s="3">
        <v>0</v>
      </c>
      <c r="D8" s="3">
        <f aca="true" t="shared" si="0" ref="D8:D15">B8+C8</f>
        <v>6000</v>
      </c>
      <c r="E8" s="3">
        <v>1850</v>
      </c>
      <c r="F8" s="39">
        <f aca="true" t="shared" si="1" ref="F8:F15">SUM(E8/D8)*100</f>
        <v>30.833333333333336</v>
      </c>
      <c r="G8" s="626">
        <v>0</v>
      </c>
      <c r="H8" s="3">
        <f>D8+G8</f>
        <v>6000</v>
      </c>
      <c r="I8" s="3">
        <v>3114</v>
      </c>
      <c r="J8" s="655">
        <f>SUM(I8/H8)*100</f>
        <v>51.9</v>
      </c>
      <c r="K8" s="3">
        <v>0</v>
      </c>
      <c r="L8" s="3">
        <f>H8+K8</f>
        <v>6000</v>
      </c>
    </row>
    <row r="9" spans="1:12" ht="15">
      <c r="A9" s="19" t="s">
        <v>379</v>
      </c>
      <c r="B9" s="3">
        <v>2700</v>
      </c>
      <c r="C9" s="3">
        <v>0</v>
      </c>
      <c r="D9" s="3">
        <f t="shared" si="0"/>
        <v>2700</v>
      </c>
      <c r="E9" s="3">
        <v>49</v>
      </c>
      <c r="F9" s="39">
        <f t="shared" si="1"/>
        <v>1.8148148148148149</v>
      </c>
      <c r="G9" s="626">
        <v>0</v>
      </c>
      <c r="H9" s="3">
        <f aca="true" t="shared" si="2" ref="H9:H65">D9+G9</f>
        <v>2700</v>
      </c>
      <c r="I9" s="20">
        <v>423</v>
      </c>
      <c r="J9" s="655">
        <f aca="true" t="shared" si="3" ref="J9:J65">SUM(I9/H9)*100</f>
        <v>15.666666666666668</v>
      </c>
      <c r="K9" s="3">
        <v>0</v>
      </c>
      <c r="L9" s="3">
        <f>H9+K9</f>
        <v>2700</v>
      </c>
    </row>
    <row r="10" spans="1:12" ht="15">
      <c r="A10" s="2" t="s">
        <v>380</v>
      </c>
      <c r="B10" s="3">
        <v>14534</v>
      </c>
      <c r="C10" s="3">
        <v>0</v>
      </c>
      <c r="D10" s="3">
        <f t="shared" si="0"/>
        <v>14534</v>
      </c>
      <c r="E10" s="3">
        <v>4283</v>
      </c>
      <c r="F10" s="39">
        <f t="shared" si="1"/>
        <v>29.468831704967663</v>
      </c>
      <c r="G10" s="626">
        <v>0</v>
      </c>
      <c r="H10" s="3">
        <f t="shared" si="2"/>
        <v>14534</v>
      </c>
      <c r="I10" s="20">
        <v>9143</v>
      </c>
      <c r="J10" s="655">
        <f t="shared" si="3"/>
        <v>62.90766478601899</v>
      </c>
      <c r="K10" s="3">
        <v>0</v>
      </c>
      <c r="L10" s="3">
        <f aca="true" t="shared" si="4" ref="L10:L65">H10+K10</f>
        <v>14534</v>
      </c>
    </row>
    <row r="11" spans="1:12" ht="15">
      <c r="A11" s="11" t="s">
        <v>194</v>
      </c>
      <c r="B11" s="12">
        <f>SUM(B12:B12)</f>
        <v>100000</v>
      </c>
      <c r="C11" s="128">
        <f>C12</f>
        <v>0</v>
      </c>
      <c r="D11" s="128">
        <f t="shared" si="0"/>
        <v>100000</v>
      </c>
      <c r="E11" s="128" t="e">
        <f>E12+#REF!+#REF!</f>
        <v>#REF!</v>
      </c>
      <c r="F11" s="479" t="e">
        <f t="shared" si="1"/>
        <v>#REF!</v>
      </c>
      <c r="G11" s="222">
        <f>G12</f>
        <v>0</v>
      </c>
      <c r="H11" s="128">
        <f t="shared" si="2"/>
        <v>100000</v>
      </c>
      <c r="I11" s="128">
        <v>47654</v>
      </c>
      <c r="J11" s="655">
        <f t="shared" si="3"/>
        <v>47.654</v>
      </c>
      <c r="K11" s="128">
        <v>0</v>
      </c>
      <c r="L11" s="128">
        <f t="shared" si="4"/>
        <v>100000</v>
      </c>
    </row>
    <row r="12" spans="1:12" ht="15">
      <c r="A12" s="2" t="s">
        <v>195</v>
      </c>
      <c r="B12" s="748">
        <v>100000</v>
      </c>
      <c r="C12" s="683">
        <v>0</v>
      </c>
      <c r="D12" s="683">
        <f t="shared" si="0"/>
        <v>100000</v>
      </c>
      <c r="E12" s="683">
        <v>17324</v>
      </c>
      <c r="F12" s="749">
        <f t="shared" si="1"/>
        <v>17.324</v>
      </c>
      <c r="G12" s="21">
        <v>0</v>
      </c>
      <c r="H12" s="20">
        <f t="shared" si="2"/>
        <v>100000</v>
      </c>
      <c r="I12" s="3">
        <v>43083</v>
      </c>
      <c r="J12" s="660">
        <f t="shared" si="3"/>
        <v>43.083</v>
      </c>
      <c r="K12" s="3">
        <v>0</v>
      </c>
      <c r="L12" s="3">
        <f t="shared" si="4"/>
        <v>100000</v>
      </c>
    </row>
    <row r="13" spans="1:12" ht="15">
      <c r="A13" s="2" t="s">
        <v>208</v>
      </c>
      <c r="B13" s="20">
        <v>0</v>
      </c>
      <c r="C13" s="20"/>
      <c r="D13" s="20"/>
      <c r="E13" s="20"/>
      <c r="F13" s="511"/>
      <c r="G13" s="21"/>
      <c r="H13" s="20">
        <v>0</v>
      </c>
      <c r="J13" s="657"/>
      <c r="K13" s="3">
        <v>0</v>
      </c>
      <c r="L13" s="3">
        <f t="shared" si="4"/>
        <v>0</v>
      </c>
    </row>
    <row r="14" spans="1:12" ht="15">
      <c r="A14" s="2" t="s">
        <v>676</v>
      </c>
      <c r="B14" s="128">
        <v>0</v>
      </c>
      <c r="C14" s="128"/>
      <c r="D14" s="128"/>
      <c r="E14" s="128"/>
      <c r="F14" s="479"/>
      <c r="G14" s="222"/>
      <c r="H14" s="128">
        <v>0</v>
      </c>
      <c r="J14" s="657"/>
      <c r="K14" s="128">
        <v>0</v>
      </c>
      <c r="L14" s="128">
        <f t="shared" si="4"/>
        <v>0</v>
      </c>
    </row>
    <row r="15" spans="1:12" ht="15">
      <c r="A15" s="9" t="s">
        <v>644</v>
      </c>
      <c r="B15" s="21">
        <v>18588</v>
      </c>
      <c r="C15" s="20">
        <v>0</v>
      </c>
      <c r="D15" s="20">
        <f t="shared" si="0"/>
        <v>18588</v>
      </c>
      <c r="E15" s="20">
        <v>3451</v>
      </c>
      <c r="F15" s="511">
        <f t="shared" si="1"/>
        <v>18.565741338497958</v>
      </c>
      <c r="G15" s="21">
        <v>30970</v>
      </c>
      <c r="H15" s="20">
        <f t="shared" si="2"/>
        <v>49558</v>
      </c>
      <c r="I15" s="683">
        <v>19985</v>
      </c>
      <c r="J15" s="655">
        <f t="shared" si="3"/>
        <v>40.326486137455106</v>
      </c>
      <c r="K15" s="3">
        <v>0</v>
      </c>
      <c r="L15" s="3">
        <f t="shared" si="4"/>
        <v>49558</v>
      </c>
    </row>
    <row r="16" spans="1:12" ht="15">
      <c r="A16" s="19" t="s">
        <v>677</v>
      </c>
      <c r="B16" s="21">
        <v>0</v>
      </c>
      <c r="C16" s="20"/>
      <c r="D16" s="20"/>
      <c r="E16" s="20"/>
      <c r="F16" s="511"/>
      <c r="G16" s="21"/>
      <c r="H16" s="20">
        <v>0</v>
      </c>
      <c r="I16" s="20"/>
      <c r="K16" s="3">
        <v>49489</v>
      </c>
      <c r="L16" s="3">
        <f t="shared" si="4"/>
        <v>49489</v>
      </c>
    </row>
    <row r="17" spans="1:12" ht="15">
      <c r="A17" s="131" t="s">
        <v>532</v>
      </c>
      <c r="B17" s="222">
        <v>0</v>
      </c>
      <c r="C17" s="128"/>
      <c r="D17" s="128">
        <v>0</v>
      </c>
      <c r="E17" s="128">
        <v>38687</v>
      </c>
      <c r="F17" s="479">
        <v>0</v>
      </c>
      <c r="G17" s="626">
        <v>37507</v>
      </c>
      <c r="H17" s="3">
        <f t="shared" si="2"/>
        <v>37507</v>
      </c>
      <c r="I17" s="128">
        <v>124101</v>
      </c>
      <c r="J17" s="655">
        <f t="shared" si="3"/>
        <v>330.87423680912894</v>
      </c>
      <c r="K17" s="3">
        <v>121241</v>
      </c>
      <c r="L17" s="3">
        <f t="shared" si="4"/>
        <v>158748</v>
      </c>
    </row>
    <row r="18" spans="1:12" s="331" customFormat="1" ht="15.75">
      <c r="A18" s="488" t="s">
        <v>196</v>
      </c>
      <c r="B18" s="489">
        <f>SUM(B8+B9+B10+B11+B15)</f>
        <v>141822</v>
      </c>
      <c r="C18" s="323">
        <f>C8+C9+C10+C11+C15</f>
        <v>0</v>
      </c>
      <c r="D18" s="323">
        <f>B18+C18</f>
        <v>141822</v>
      </c>
      <c r="E18" s="320" t="e">
        <f>E8+E9+E10+E11+E15+E17</f>
        <v>#REF!</v>
      </c>
      <c r="F18" s="490" t="e">
        <f>SUM(E18/D18)*100</f>
        <v>#REF!</v>
      </c>
      <c r="G18" s="523">
        <f>SUM(G15:G17)</f>
        <v>68477</v>
      </c>
      <c r="H18" s="320">
        <f t="shared" si="2"/>
        <v>210299</v>
      </c>
      <c r="I18" s="103">
        <f>I8+I9+I10+I11+I15+I17</f>
        <v>204420</v>
      </c>
      <c r="J18" s="659">
        <f t="shared" si="3"/>
        <v>97.20445651191875</v>
      </c>
      <c r="K18" s="320">
        <f>SUM(K8:K17)</f>
        <v>170730</v>
      </c>
      <c r="L18" s="323">
        <f t="shared" si="4"/>
        <v>381029</v>
      </c>
    </row>
    <row r="19" spans="1:12" ht="15">
      <c r="A19" s="2" t="s">
        <v>197</v>
      </c>
      <c r="B19" s="21">
        <v>7818</v>
      </c>
      <c r="C19" s="3">
        <v>0</v>
      </c>
      <c r="D19" s="3">
        <f>B19+C19</f>
        <v>7818</v>
      </c>
      <c r="E19" s="3">
        <v>5681</v>
      </c>
      <c r="F19" s="39">
        <f>SUM(E19/D19)*100</f>
        <v>72.66564338705551</v>
      </c>
      <c r="G19" s="626">
        <v>0</v>
      </c>
      <c r="H19" s="3">
        <f t="shared" si="2"/>
        <v>7818</v>
      </c>
      <c r="I19" s="3">
        <v>5680</v>
      </c>
      <c r="J19" s="655">
        <f t="shared" si="3"/>
        <v>72.65285239191608</v>
      </c>
      <c r="K19" s="3">
        <v>0</v>
      </c>
      <c r="L19" s="3">
        <f t="shared" si="4"/>
        <v>7818</v>
      </c>
    </row>
    <row r="20" spans="1:12" ht="15">
      <c r="A20" s="2" t="s">
        <v>301</v>
      </c>
      <c r="B20" s="21">
        <v>1800</v>
      </c>
      <c r="C20" s="20">
        <v>0</v>
      </c>
      <c r="D20" s="20">
        <f>B20+C20</f>
        <v>1800</v>
      </c>
      <c r="E20" s="3">
        <v>450</v>
      </c>
      <c r="F20" s="39">
        <f>SUM(E20/D20)*100</f>
        <v>25</v>
      </c>
      <c r="G20" s="626">
        <v>0</v>
      </c>
      <c r="H20" s="3">
        <f t="shared" si="2"/>
        <v>1800</v>
      </c>
      <c r="I20" s="20">
        <v>450</v>
      </c>
      <c r="J20" s="655">
        <f t="shared" si="3"/>
        <v>25</v>
      </c>
      <c r="K20" s="3">
        <v>0</v>
      </c>
      <c r="L20" s="3">
        <f t="shared" si="4"/>
        <v>1800</v>
      </c>
    </row>
    <row r="21" spans="1:12" ht="15">
      <c r="A21" s="2" t="s">
        <v>469</v>
      </c>
      <c r="B21" s="21">
        <v>0</v>
      </c>
      <c r="C21" s="128">
        <v>406</v>
      </c>
      <c r="D21" s="20">
        <f>B21+C21</f>
        <v>406</v>
      </c>
      <c r="E21" s="20">
        <v>406</v>
      </c>
      <c r="F21" s="511">
        <f>SUM(E21/D21)*100</f>
        <v>100</v>
      </c>
      <c r="G21" s="626">
        <v>0</v>
      </c>
      <c r="H21" s="3">
        <f t="shared" si="2"/>
        <v>406</v>
      </c>
      <c r="I21" s="20">
        <v>406</v>
      </c>
      <c r="J21" s="655">
        <f t="shared" si="3"/>
        <v>100</v>
      </c>
      <c r="K21" s="3">
        <v>0</v>
      </c>
      <c r="L21" s="3">
        <f t="shared" si="4"/>
        <v>406</v>
      </c>
    </row>
    <row r="22" spans="1:12" ht="15">
      <c r="A22" s="2" t="s">
        <v>512</v>
      </c>
      <c r="B22" s="21">
        <v>0</v>
      </c>
      <c r="C22" s="128"/>
      <c r="D22" s="20">
        <v>0</v>
      </c>
      <c r="E22" s="20">
        <v>248</v>
      </c>
      <c r="F22" s="511">
        <v>0</v>
      </c>
      <c r="G22" s="626">
        <v>248</v>
      </c>
      <c r="H22" s="3">
        <f t="shared" si="2"/>
        <v>248</v>
      </c>
      <c r="I22" s="20">
        <v>331</v>
      </c>
      <c r="J22" s="655">
        <f t="shared" si="3"/>
        <v>133.46774193548387</v>
      </c>
      <c r="K22" s="3">
        <v>0</v>
      </c>
      <c r="L22" s="3">
        <f t="shared" si="4"/>
        <v>248</v>
      </c>
    </row>
    <row r="23" spans="1:12" ht="15">
      <c r="A23" s="2" t="s">
        <v>513</v>
      </c>
      <c r="B23" s="21">
        <v>0</v>
      </c>
      <c r="C23" s="128"/>
      <c r="D23" s="20">
        <v>0</v>
      </c>
      <c r="E23" s="20">
        <v>262</v>
      </c>
      <c r="F23" s="511">
        <v>0</v>
      </c>
      <c r="G23" s="626">
        <v>262</v>
      </c>
      <c r="H23" s="3">
        <f t="shared" si="2"/>
        <v>262</v>
      </c>
      <c r="I23" s="20">
        <v>262</v>
      </c>
      <c r="J23" s="655">
        <f t="shared" si="3"/>
        <v>100</v>
      </c>
      <c r="K23" s="3">
        <v>0</v>
      </c>
      <c r="L23" s="3">
        <f t="shared" si="4"/>
        <v>262</v>
      </c>
    </row>
    <row r="24" spans="1:12" ht="15">
      <c r="A24" s="2" t="s">
        <v>514</v>
      </c>
      <c r="B24" s="21">
        <v>0</v>
      </c>
      <c r="C24" s="128"/>
      <c r="D24" s="20">
        <v>0</v>
      </c>
      <c r="E24" s="20">
        <v>23348</v>
      </c>
      <c r="F24" s="511">
        <v>0</v>
      </c>
      <c r="G24" s="626">
        <v>23102</v>
      </c>
      <c r="H24" s="3">
        <f t="shared" si="2"/>
        <v>23102</v>
      </c>
      <c r="I24" s="20">
        <v>23102</v>
      </c>
      <c r="J24" s="655">
        <f t="shared" si="3"/>
        <v>100</v>
      </c>
      <c r="K24" s="3">
        <v>0</v>
      </c>
      <c r="L24" s="3">
        <f t="shared" si="4"/>
        <v>23102</v>
      </c>
    </row>
    <row r="25" spans="1:12" ht="15">
      <c r="A25" s="2" t="s">
        <v>533</v>
      </c>
      <c r="B25" s="21">
        <v>0</v>
      </c>
      <c r="C25" s="128"/>
      <c r="D25" s="20">
        <v>0</v>
      </c>
      <c r="E25" s="20"/>
      <c r="F25" s="511"/>
      <c r="G25" s="626">
        <v>503</v>
      </c>
      <c r="H25" s="3">
        <f t="shared" si="2"/>
        <v>503</v>
      </c>
      <c r="I25" s="20">
        <v>246</v>
      </c>
      <c r="J25" s="655">
        <f t="shared" si="3"/>
        <v>48.9065606361829</v>
      </c>
      <c r="K25" s="3">
        <v>0</v>
      </c>
      <c r="L25" s="3">
        <f t="shared" si="4"/>
        <v>503</v>
      </c>
    </row>
    <row r="26" spans="1:12" ht="15">
      <c r="A26" s="2" t="s">
        <v>515</v>
      </c>
      <c r="B26" s="21">
        <v>0</v>
      </c>
      <c r="C26" s="128"/>
      <c r="D26" s="20">
        <v>0</v>
      </c>
      <c r="E26" s="20">
        <v>168</v>
      </c>
      <c r="F26" s="511">
        <v>0</v>
      </c>
      <c r="G26" s="626">
        <v>3872</v>
      </c>
      <c r="H26" s="3">
        <f t="shared" si="2"/>
        <v>3872</v>
      </c>
      <c r="I26" s="20">
        <v>2020</v>
      </c>
      <c r="J26" s="655">
        <f t="shared" si="3"/>
        <v>52.16942148760331</v>
      </c>
      <c r="K26" s="3">
        <v>0</v>
      </c>
      <c r="L26" s="3">
        <f t="shared" si="4"/>
        <v>3872</v>
      </c>
    </row>
    <row r="27" spans="1:12" ht="15">
      <c r="A27" s="2" t="s">
        <v>536</v>
      </c>
      <c r="B27" s="21">
        <v>0</v>
      </c>
      <c r="C27" s="128"/>
      <c r="D27" s="20">
        <v>0</v>
      </c>
      <c r="E27" s="20"/>
      <c r="F27" s="511"/>
      <c r="G27" s="626">
        <v>269</v>
      </c>
      <c r="H27" s="3">
        <f t="shared" si="2"/>
        <v>269</v>
      </c>
      <c r="I27" s="20">
        <v>0</v>
      </c>
      <c r="J27" s="655">
        <f t="shared" si="3"/>
        <v>0</v>
      </c>
      <c r="K27" s="3">
        <v>0</v>
      </c>
      <c r="L27" s="3">
        <f t="shared" si="4"/>
        <v>269</v>
      </c>
    </row>
    <row r="28" spans="1:12" ht="15">
      <c r="A28" s="2" t="s">
        <v>516</v>
      </c>
      <c r="B28" s="21">
        <v>0</v>
      </c>
      <c r="C28" s="128"/>
      <c r="D28" s="20">
        <v>0</v>
      </c>
      <c r="E28" s="20">
        <v>402</v>
      </c>
      <c r="F28" s="511">
        <v>0</v>
      </c>
      <c r="G28" s="626">
        <v>402</v>
      </c>
      <c r="H28" s="3">
        <f t="shared" si="2"/>
        <v>402</v>
      </c>
      <c r="I28" s="20">
        <v>402</v>
      </c>
      <c r="J28" s="655">
        <f t="shared" si="3"/>
        <v>100</v>
      </c>
      <c r="K28" s="3">
        <v>0</v>
      </c>
      <c r="L28" s="3">
        <f t="shared" si="4"/>
        <v>402</v>
      </c>
    </row>
    <row r="29" spans="1:12" ht="15">
      <c r="A29" s="2" t="s">
        <v>517</v>
      </c>
      <c r="B29" s="21">
        <v>0</v>
      </c>
      <c r="C29" s="128"/>
      <c r="D29" s="20">
        <v>0</v>
      </c>
      <c r="E29" s="20">
        <v>91508</v>
      </c>
      <c r="F29" s="511">
        <v>0</v>
      </c>
      <c r="G29" s="626">
        <v>351974</v>
      </c>
      <c r="H29" s="3">
        <f t="shared" si="2"/>
        <v>351974</v>
      </c>
      <c r="I29" s="20">
        <v>180092</v>
      </c>
      <c r="J29" s="655">
        <f t="shared" si="3"/>
        <v>51.166279327450326</v>
      </c>
      <c r="K29" s="3">
        <v>0</v>
      </c>
      <c r="L29" s="3">
        <f t="shared" si="4"/>
        <v>351974</v>
      </c>
    </row>
    <row r="30" spans="1:12" ht="15">
      <c r="A30" s="2" t="s">
        <v>518</v>
      </c>
      <c r="B30" s="21">
        <v>0</v>
      </c>
      <c r="C30" s="128"/>
      <c r="D30" s="20">
        <v>0</v>
      </c>
      <c r="E30" s="20">
        <v>1692</v>
      </c>
      <c r="F30" s="511">
        <v>0</v>
      </c>
      <c r="G30" s="626">
        <v>1692</v>
      </c>
      <c r="H30" s="3">
        <f t="shared" si="2"/>
        <v>1692</v>
      </c>
      <c r="I30" s="20">
        <v>1692</v>
      </c>
      <c r="J30" s="655">
        <f t="shared" si="3"/>
        <v>100</v>
      </c>
      <c r="K30" s="3">
        <v>0</v>
      </c>
      <c r="L30" s="3">
        <f t="shared" si="4"/>
        <v>1692</v>
      </c>
    </row>
    <row r="31" spans="1:12" ht="15">
      <c r="A31" s="2" t="s">
        <v>534</v>
      </c>
      <c r="B31" s="21">
        <v>0</v>
      </c>
      <c r="C31" s="128"/>
      <c r="D31" s="20">
        <v>0</v>
      </c>
      <c r="E31" s="20"/>
      <c r="F31" s="511"/>
      <c r="G31" s="626">
        <v>450</v>
      </c>
      <c r="H31" s="3">
        <f t="shared" si="2"/>
        <v>450</v>
      </c>
      <c r="I31" s="20">
        <v>450</v>
      </c>
      <c r="J31" s="655">
        <f t="shared" si="3"/>
        <v>100</v>
      </c>
      <c r="K31" s="3">
        <v>0</v>
      </c>
      <c r="L31" s="3">
        <f t="shared" si="4"/>
        <v>450</v>
      </c>
    </row>
    <row r="32" spans="1:12" ht="15">
      <c r="A32" s="2" t="s">
        <v>658</v>
      </c>
      <c r="B32" s="21">
        <v>0</v>
      </c>
      <c r="C32" s="128"/>
      <c r="D32" s="20"/>
      <c r="E32" s="20"/>
      <c r="F32" s="511"/>
      <c r="H32" s="3">
        <v>0</v>
      </c>
      <c r="I32" s="20">
        <v>600</v>
      </c>
      <c r="J32" s="655">
        <v>0</v>
      </c>
      <c r="K32" s="3">
        <v>600</v>
      </c>
      <c r="L32" s="3">
        <f t="shared" si="4"/>
        <v>600</v>
      </c>
    </row>
    <row r="33" spans="1:12" ht="15">
      <c r="A33" s="2" t="s">
        <v>535</v>
      </c>
      <c r="B33" s="21">
        <v>0</v>
      </c>
      <c r="C33" s="128"/>
      <c r="D33" s="20">
        <v>0</v>
      </c>
      <c r="E33" s="20"/>
      <c r="F33" s="511"/>
      <c r="G33" s="626">
        <v>13267</v>
      </c>
      <c r="H33" s="3">
        <f t="shared" si="2"/>
        <v>13267</v>
      </c>
      <c r="I33" s="20">
        <v>13898</v>
      </c>
      <c r="J33" s="655">
        <f t="shared" si="3"/>
        <v>104.75616190547976</v>
      </c>
      <c r="K33" s="3">
        <v>0</v>
      </c>
      <c r="L33" s="3">
        <f t="shared" si="4"/>
        <v>13267</v>
      </c>
    </row>
    <row r="34" spans="1:12" ht="15">
      <c r="A34" s="2" t="s">
        <v>657</v>
      </c>
      <c r="B34" s="21">
        <v>0</v>
      </c>
      <c r="C34" s="128"/>
      <c r="D34" s="20"/>
      <c r="E34" s="20"/>
      <c r="F34" s="511"/>
      <c r="H34" s="3">
        <v>0</v>
      </c>
      <c r="I34" s="20">
        <v>314</v>
      </c>
      <c r="J34" s="655">
        <v>0</v>
      </c>
      <c r="K34" s="3">
        <v>263</v>
      </c>
      <c r="L34" s="3">
        <f t="shared" si="4"/>
        <v>263</v>
      </c>
    </row>
    <row r="35" spans="1:12" ht="15">
      <c r="A35" s="2" t="s">
        <v>678</v>
      </c>
      <c r="B35" s="21">
        <v>0</v>
      </c>
      <c r="C35" s="128"/>
      <c r="D35" s="20"/>
      <c r="E35" s="20"/>
      <c r="F35" s="511"/>
      <c r="H35" s="3">
        <v>0</v>
      </c>
      <c r="I35" s="20"/>
      <c r="K35" s="3">
        <v>3984</v>
      </c>
      <c r="L35" s="3">
        <f t="shared" si="4"/>
        <v>3984</v>
      </c>
    </row>
    <row r="36" spans="1:12" s="331" customFormat="1" ht="15.75">
      <c r="A36" s="491" t="s">
        <v>106</v>
      </c>
      <c r="B36" s="492">
        <f>SUM(B19:B35)</f>
        <v>9618</v>
      </c>
      <c r="C36" s="323">
        <f>SUM(C19:C21)</f>
        <v>406</v>
      </c>
      <c r="D36" s="323">
        <f>B36+C36</f>
        <v>10024</v>
      </c>
      <c r="E36" s="320">
        <f>SUM(E19:E33)</f>
        <v>124165</v>
      </c>
      <c r="F36" s="490">
        <f>SUM(E36/D36)*100</f>
        <v>1238.6771747805267</v>
      </c>
      <c r="G36" s="523">
        <f>SUM(G19:G33)</f>
        <v>396041</v>
      </c>
      <c r="H36" s="320">
        <f t="shared" si="2"/>
        <v>406065</v>
      </c>
      <c r="I36" s="23">
        <f>SUM(I19:I34)</f>
        <v>229945</v>
      </c>
      <c r="J36" s="659">
        <f t="shared" si="3"/>
        <v>56.62763350695086</v>
      </c>
      <c r="K36" s="320">
        <f>SUM(K19:K35)</f>
        <v>4847</v>
      </c>
      <c r="L36" s="323">
        <f t="shared" si="4"/>
        <v>410912</v>
      </c>
    </row>
    <row r="37" spans="1:12" s="139" customFormat="1" ht="15">
      <c r="A37" s="432" t="s">
        <v>470</v>
      </c>
      <c r="B37" s="433">
        <v>0</v>
      </c>
      <c r="C37" s="433">
        <v>492</v>
      </c>
      <c r="D37" s="433">
        <f>B37+C37</f>
        <v>492</v>
      </c>
      <c r="E37" s="3">
        <v>492</v>
      </c>
      <c r="F37" s="39">
        <f>SUM(E37/D37)*100</f>
        <v>100</v>
      </c>
      <c r="G37" s="626">
        <v>0</v>
      </c>
      <c r="H37" s="3">
        <f t="shared" si="2"/>
        <v>492</v>
      </c>
      <c r="I37" s="683">
        <v>492</v>
      </c>
      <c r="J37" s="655">
        <f t="shared" si="3"/>
        <v>100</v>
      </c>
      <c r="K37" s="3">
        <v>0</v>
      </c>
      <c r="L37" s="3">
        <f t="shared" si="4"/>
        <v>492</v>
      </c>
    </row>
    <row r="38" spans="1:12" s="139" customFormat="1" ht="15">
      <c r="A38" s="432" t="s">
        <v>471</v>
      </c>
      <c r="B38" s="433">
        <v>0</v>
      </c>
      <c r="C38" s="433">
        <v>263917</v>
      </c>
      <c r="D38" s="433">
        <f>B38+C38</f>
        <v>263917</v>
      </c>
      <c r="E38" s="20">
        <v>0</v>
      </c>
      <c r="F38" s="511">
        <f>SUM(E38/D38)*100</f>
        <v>0</v>
      </c>
      <c r="G38" s="626">
        <v>0</v>
      </c>
      <c r="H38" s="3">
        <f t="shared" si="2"/>
        <v>263917</v>
      </c>
      <c r="I38" s="20">
        <v>0</v>
      </c>
      <c r="J38" s="655">
        <f t="shared" si="3"/>
        <v>0</v>
      </c>
      <c r="K38" s="3">
        <v>0</v>
      </c>
      <c r="L38" s="3">
        <f t="shared" si="4"/>
        <v>263917</v>
      </c>
    </row>
    <row r="39" spans="1:12" s="139" customFormat="1" ht="15">
      <c r="A39" s="432" t="s">
        <v>537</v>
      </c>
      <c r="B39" s="433">
        <v>0</v>
      </c>
      <c r="C39" s="433"/>
      <c r="D39" s="433">
        <v>0</v>
      </c>
      <c r="E39" s="20">
        <v>16208</v>
      </c>
      <c r="F39" s="511">
        <v>0</v>
      </c>
      <c r="G39" s="626">
        <v>368</v>
      </c>
      <c r="H39" s="3">
        <f t="shared" si="2"/>
        <v>368</v>
      </c>
      <c r="I39" s="20">
        <v>368</v>
      </c>
      <c r="J39" s="655">
        <f t="shared" si="3"/>
        <v>100</v>
      </c>
      <c r="K39" s="3">
        <v>0</v>
      </c>
      <c r="L39" s="3">
        <f t="shared" si="4"/>
        <v>368</v>
      </c>
    </row>
    <row r="40" spans="1:12" s="139" customFormat="1" ht="15">
      <c r="A40" s="432" t="s">
        <v>538</v>
      </c>
      <c r="B40" s="433">
        <v>0</v>
      </c>
      <c r="C40" s="433"/>
      <c r="D40" s="433">
        <v>0</v>
      </c>
      <c r="E40" s="20"/>
      <c r="F40" s="511"/>
      <c r="G40" s="626">
        <v>17307</v>
      </c>
      <c r="H40" s="3">
        <f t="shared" si="2"/>
        <v>17307</v>
      </c>
      <c r="I40" s="20">
        <v>0</v>
      </c>
      <c r="J40" s="655">
        <f t="shared" si="3"/>
        <v>0</v>
      </c>
      <c r="K40" s="3">
        <v>0</v>
      </c>
      <c r="L40" s="3">
        <f t="shared" si="4"/>
        <v>17307</v>
      </c>
    </row>
    <row r="41" spans="1:12" s="139" customFormat="1" ht="15">
      <c r="A41" s="432" t="s">
        <v>519</v>
      </c>
      <c r="B41" s="433">
        <v>0</v>
      </c>
      <c r="C41" s="433"/>
      <c r="D41" s="433">
        <v>0</v>
      </c>
      <c r="E41" s="20">
        <v>139350</v>
      </c>
      <c r="F41" s="511">
        <v>0</v>
      </c>
      <c r="G41" s="626">
        <v>139350</v>
      </c>
      <c r="H41" s="3">
        <f t="shared" si="2"/>
        <v>139350</v>
      </c>
      <c r="I41" s="20">
        <v>139350</v>
      </c>
      <c r="J41" s="655">
        <f t="shared" si="3"/>
        <v>100</v>
      </c>
      <c r="K41" s="3">
        <v>0</v>
      </c>
      <c r="L41" s="3">
        <f t="shared" si="4"/>
        <v>139350</v>
      </c>
    </row>
    <row r="42" spans="1:12" s="139" customFormat="1" ht="15">
      <c r="A42" s="432" t="s">
        <v>520</v>
      </c>
      <c r="B42" s="433">
        <v>0</v>
      </c>
      <c r="C42" s="433"/>
      <c r="D42" s="433">
        <v>0</v>
      </c>
      <c r="E42" s="20">
        <v>23922</v>
      </c>
      <c r="F42" s="511">
        <v>0</v>
      </c>
      <c r="G42" s="626">
        <v>896922</v>
      </c>
      <c r="H42" s="3">
        <f t="shared" si="2"/>
        <v>896922</v>
      </c>
      <c r="I42" s="20">
        <v>23922</v>
      </c>
      <c r="J42" s="655">
        <f t="shared" si="3"/>
        <v>2.6671215557205645</v>
      </c>
      <c r="K42" s="21">
        <v>0</v>
      </c>
      <c r="L42" s="3">
        <f t="shared" si="4"/>
        <v>896922</v>
      </c>
    </row>
    <row r="43" spans="1:12" s="139" customFormat="1" ht="15">
      <c r="A43" s="432" t="s">
        <v>528</v>
      </c>
      <c r="B43" s="433">
        <v>0</v>
      </c>
      <c r="C43" s="433"/>
      <c r="D43" s="433">
        <v>0</v>
      </c>
      <c r="E43" s="20">
        <v>4221</v>
      </c>
      <c r="F43" s="511">
        <v>0</v>
      </c>
      <c r="G43" s="626">
        <v>38502</v>
      </c>
      <c r="H43" s="3">
        <f t="shared" si="2"/>
        <v>38502</v>
      </c>
      <c r="I43" s="20">
        <v>4221</v>
      </c>
      <c r="J43" s="655">
        <f t="shared" si="3"/>
        <v>10.96306685366994</v>
      </c>
      <c r="K43" s="3">
        <v>0</v>
      </c>
      <c r="L43" s="3">
        <f t="shared" si="4"/>
        <v>38502</v>
      </c>
    </row>
    <row r="44" spans="1:12" s="139" customFormat="1" ht="15">
      <c r="A44" s="432" t="s">
        <v>539</v>
      </c>
      <c r="B44" s="433">
        <v>0</v>
      </c>
      <c r="C44" s="433"/>
      <c r="D44" s="433">
        <v>0</v>
      </c>
      <c r="E44" s="20"/>
      <c r="F44" s="511"/>
      <c r="G44" s="626">
        <v>721757</v>
      </c>
      <c r="H44" s="3">
        <f t="shared" si="2"/>
        <v>721757</v>
      </c>
      <c r="I44" s="20">
        <v>268833</v>
      </c>
      <c r="J44" s="655">
        <f t="shared" si="3"/>
        <v>37.24702358272937</v>
      </c>
      <c r="K44" s="3">
        <v>0</v>
      </c>
      <c r="L44" s="3">
        <f t="shared" si="4"/>
        <v>721757</v>
      </c>
    </row>
    <row r="45" spans="1:12" s="139" customFormat="1" ht="15">
      <c r="A45" s="432" t="s">
        <v>659</v>
      </c>
      <c r="B45" s="433">
        <v>0</v>
      </c>
      <c r="C45" s="433"/>
      <c r="D45" s="433"/>
      <c r="E45" s="20"/>
      <c r="F45" s="511"/>
      <c r="G45" s="626"/>
      <c r="H45" s="3">
        <v>0</v>
      </c>
      <c r="I45" s="20">
        <v>26773</v>
      </c>
      <c r="J45" s="655">
        <v>0</v>
      </c>
      <c r="K45" s="21">
        <v>24973</v>
      </c>
      <c r="L45" s="3">
        <f t="shared" si="4"/>
        <v>24973</v>
      </c>
    </row>
    <row r="46" spans="1:12" s="139" customFormat="1" ht="15">
      <c r="A46" s="432" t="s">
        <v>561</v>
      </c>
      <c r="B46" s="433">
        <v>0</v>
      </c>
      <c r="C46" s="433"/>
      <c r="D46" s="433">
        <v>0</v>
      </c>
      <c r="E46" s="20"/>
      <c r="F46" s="511"/>
      <c r="G46" s="626">
        <v>24998</v>
      </c>
      <c r="H46" s="3">
        <f t="shared" si="2"/>
        <v>24998</v>
      </c>
      <c r="I46" s="20">
        <v>0</v>
      </c>
      <c r="J46" s="655">
        <f t="shared" si="3"/>
        <v>0</v>
      </c>
      <c r="K46" s="3">
        <v>11451</v>
      </c>
      <c r="L46" s="3">
        <f t="shared" si="4"/>
        <v>36449</v>
      </c>
    </row>
    <row r="47" spans="1:12" s="139" customFormat="1" ht="15">
      <c r="A47" s="432" t="s">
        <v>521</v>
      </c>
      <c r="B47" s="433">
        <v>0</v>
      </c>
      <c r="C47" s="433"/>
      <c r="D47" s="433">
        <v>0</v>
      </c>
      <c r="E47" s="20">
        <v>1027</v>
      </c>
      <c r="F47" s="511">
        <v>0</v>
      </c>
      <c r="G47" s="626">
        <v>1027</v>
      </c>
      <c r="H47" s="3">
        <f t="shared" si="2"/>
        <v>1027</v>
      </c>
      <c r="I47" s="20">
        <v>1027</v>
      </c>
      <c r="J47" s="655">
        <f t="shared" si="3"/>
        <v>100</v>
      </c>
      <c r="K47" s="3">
        <v>0</v>
      </c>
      <c r="L47" s="3">
        <f t="shared" si="4"/>
        <v>1027</v>
      </c>
    </row>
    <row r="48" spans="1:12" s="139" customFormat="1" ht="15">
      <c r="A48" s="432" t="s">
        <v>522</v>
      </c>
      <c r="B48" s="433">
        <v>0</v>
      </c>
      <c r="C48" s="433"/>
      <c r="D48" s="433">
        <v>0</v>
      </c>
      <c r="E48" s="20">
        <v>5394</v>
      </c>
      <c r="F48" s="511">
        <v>0</v>
      </c>
      <c r="G48" s="626">
        <v>119931</v>
      </c>
      <c r="H48" s="3">
        <f t="shared" si="2"/>
        <v>119931</v>
      </c>
      <c r="I48" s="20">
        <v>5394</v>
      </c>
      <c r="J48" s="655">
        <f t="shared" si="3"/>
        <v>4.4975861120144085</v>
      </c>
      <c r="K48" s="3">
        <v>0</v>
      </c>
      <c r="L48" s="3">
        <f t="shared" si="4"/>
        <v>119931</v>
      </c>
    </row>
    <row r="49" spans="1:13" s="139" customFormat="1" ht="15">
      <c r="A49" s="432" t="s">
        <v>660</v>
      </c>
      <c r="B49" s="433">
        <v>0</v>
      </c>
      <c r="C49" s="433"/>
      <c r="D49" s="433"/>
      <c r="E49" s="20"/>
      <c r="F49" s="511"/>
      <c r="G49" s="626"/>
      <c r="H49" s="3">
        <v>0</v>
      </c>
      <c r="I49" s="128">
        <v>5715</v>
      </c>
      <c r="J49" s="655">
        <v>0</v>
      </c>
      <c r="K49" s="3">
        <v>4831</v>
      </c>
      <c r="L49" s="3">
        <f t="shared" si="4"/>
        <v>4831</v>
      </c>
      <c r="M49" s="3"/>
    </row>
    <row r="50" spans="1:12" s="331" customFormat="1" ht="15.75">
      <c r="A50" s="238" t="s">
        <v>472</v>
      </c>
      <c r="B50" s="323">
        <f>SUM(B37:B49)</f>
        <v>0</v>
      </c>
      <c r="C50" s="323">
        <f>SUM(C37:C38)</f>
        <v>264409</v>
      </c>
      <c r="D50" s="323">
        <f>B50+C50</f>
        <v>264409</v>
      </c>
      <c r="E50" s="320">
        <f>SUM(E37:E48)</f>
        <v>190614</v>
      </c>
      <c r="F50" s="490">
        <f>SUM(E50/D50)*100</f>
        <v>72.09058693160975</v>
      </c>
      <c r="G50" s="523">
        <f>SUM(G37:G48)</f>
        <v>1960162</v>
      </c>
      <c r="H50" s="320">
        <f t="shared" si="2"/>
        <v>2224571</v>
      </c>
      <c r="I50" s="23">
        <f>SUM(I37:I49)</f>
        <v>476095</v>
      </c>
      <c r="J50" s="659">
        <f t="shared" si="3"/>
        <v>21.40165452125376</v>
      </c>
      <c r="K50" s="320">
        <f>SUM(K37:K49)</f>
        <v>41255</v>
      </c>
      <c r="L50" s="323">
        <f t="shared" si="4"/>
        <v>2265826</v>
      </c>
    </row>
    <row r="51" spans="1:12" s="331" customFormat="1" ht="15">
      <c r="A51" s="432" t="s">
        <v>523</v>
      </c>
      <c r="B51" s="433">
        <v>0</v>
      </c>
      <c r="C51" s="433"/>
      <c r="D51" s="433">
        <v>0</v>
      </c>
      <c r="E51" s="433">
        <v>7127</v>
      </c>
      <c r="F51" s="512">
        <v>0</v>
      </c>
      <c r="G51" s="630">
        <v>7127</v>
      </c>
      <c r="H51" s="3">
        <f t="shared" si="2"/>
        <v>7127</v>
      </c>
      <c r="I51" s="682">
        <v>7127</v>
      </c>
      <c r="J51" s="655">
        <f t="shared" si="3"/>
        <v>100</v>
      </c>
      <c r="K51" s="102">
        <v>0</v>
      </c>
      <c r="L51" s="3">
        <f t="shared" si="4"/>
        <v>7127</v>
      </c>
    </row>
    <row r="52" spans="1:12" s="331" customFormat="1" ht="15">
      <c r="A52" s="432" t="s">
        <v>524</v>
      </c>
      <c r="B52" s="433">
        <v>0</v>
      </c>
      <c r="C52" s="433"/>
      <c r="D52" s="433">
        <v>0</v>
      </c>
      <c r="E52" s="324">
        <v>322</v>
      </c>
      <c r="F52" s="481">
        <v>0</v>
      </c>
      <c r="G52" s="630">
        <v>322</v>
      </c>
      <c r="H52" s="3">
        <f t="shared" si="2"/>
        <v>322</v>
      </c>
      <c r="I52" s="433">
        <v>322</v>
      </c>
      <c r="J52" s="655">
        <f t="shared" si="3"/>
        <v>100</v>
      </c>
      <c r="K52" s="102">
        <v>0</v>
      </c>
      <c r="L52" s="3">
        <f t="shared" si="4"/>
        <v>322</v>
      </c>
    </row>
    <row r="53" spans="1:12" s="331" customFormat="1" ht="15">
      <c r="A53" s="434" t="s">
        <v>642</v>
      </c>
      <c r="B53" s="324">
        <v>0</v>
      </c>
      <c r="C53" s="324"/>
      <c r="D53" s="324">
        <v>0</v>
      </c>
      <c r="E53" s="324"/>
      <c r="F53" s="481"/>
      <c r="G53" s="630">
        <v>1000</v>
      </c>
      <c r="H53" s="3">
        <f t="shared" si="2"/>
        <v>1000</v>
      </c>
      <c r="I53" s="324">
        <v>0</v>
      </c>
      <c r="J53" s="655">
        <f t="shared" si="3"/>
        <v>0</v>
      </c>
      <c r="K53" s="102">
        <v>0</v>
      </c>
      <c r="L53" s="3">
        <f t="shared" si="4"/>
        <v>1000</v>
      </c>
    </row>
    <row r="54" spans="1:12" s="331" customFormat="1" ht="15.75">
      <c r="A54" s="238" t="s">
        <v>525</v>
      </c>
      <c r="B54" s="323">
        <f>SUM(B51:B53)</f>
        <v>0</v>
      </c>
      <c r="C54" s="323"/>
      <c r="D54" s="323">
        <f>SUM(D51:D53)</f>
        <v>0</v>
      </c>
      <c r="E54" s="320">
        <f>SUM(E51:E52)</f>
        <v>7449</v>
      </c>
      <c r="F54" s="490">
        <f>SUM(F51:F52)</f>
        <v>0</v>
      </c>
      <c r="G54" s="523">
        <f>SUM(G51:G53)</f>
        <v>8449</v>
      </c>
      <c r="H54" s="320">
        <f t="shared" si="2"/>
        <v>8449</v>
      </c>
      <c r="I54" s="23">
        <f>SUM(I51:I53)</f>
        <v>7449</v>
      </c>
      <c r="J54" s="659">
        <f t="shared" si="3"/>
        <v>88.16427979642562</v>
      </c>
      <c r="K54" s="320">
        <f>SUM(K51:K53)</f>
        <v>0</v>
      </c>
      <c r="L54" s="323">
        <f t="shared" si="4"/>
        <v>8449</v>
      </c>
    </row>
    <row r="55" spans="1:12" ht="15">
      <c r="A55" s="2" t="s">
        <v>198</v>
      </c>
      <c r="B55" s="21">
        <v>5000</v>
      </c>
      <c r="C55" s="3">
        <v>0</v>
      </c>
      <c r="D55" s="433">
        <f aca="true" t="shared" si="5" ref="D55:D62">B55+C55</f>
        <v>5000</v>
      </c>
      <c r="E55" s="3">
        <v>0</v>
      </c>
      <c r="F55" s="39">
        <f aca="true" t="shared" si="6" ref="F55:F62">SUM(E55/D55)*100</f>
        <v>0</v>
      </c>
      <c r="G55" s="626">
        <v>0</v>
      </c>
      <c r="H55" s="3">
        <f t="shared" si="2"/>
        <v>5000</v>
      </c>
      <c r="I55" s="683">
        <v>0</v>
      </c>
      <c r="J55" s="655">
        <f t="shared" si="3"/>
        <v>0</v>
      </c>
      <c r="K55" s="3">
        <v>0</v>
      </c>
      <c r="L55" s="3">
        <f t="shared" si="4"/>
        <v>5000</v>
      </c>
    </row>
    <row r="56" spans="1:12" ht="15">
      <c r="A56" s="2" t="s">
        <v>199</v>
      </c>
      <c r="B56" s="21">
        <v>12000</v>
      </c>
      <c r="C56" s="3">
        <v>0</v>
      </c>
      <c r="D56" s="3">
        <f t="shared" si="5"/>
        <v>12000</v>
      </c>
      <c r="E56" s="3">
        <v>0</v>
      </c>
      <c r="F56" s="39">
        <f t="shared" si="6"/>
        <v>0</v>
      </c>
      <c r="G56" s="626">
        <v>0</v>
      </c>
      <c r="H56" s="3">
        <f t="shared" si="2"/>
        <v>12000</v>
      </c>
      <c r="I56" s="20">
        <v>0</v>
      </c>
      <c r="J56" s="655">
        <f t="shared" si="3"/>
        <v>0</v>
      </c>
      <c r="K56" s="3">
        <v>235</v>
      </c>
      <c r="L56" s="3">
        <f t="shared" si="4"/>
        <v>12235</v>
      </c>
    </row>
    <row r="57" spans="1:12" ht="15">
      <c r="A57" s="2" t="s">
        <v>302</v>
      </c>
      <c r="B57" s="21">
        <v>70530</v>
      </c>
      <c r="C57" s="128">
        <v>0</v>
      </c>
      <c r="D57" s="128">
        <f t="shared" si="5"/>
        <v>70530</v>
      </c>
      <c r="E57" s="128">
        <v>10225</v>
      </c>
      <c r="F57" s="479">
        <f t="shared" si="6"/>
        <v>14.49737700269389</v>
      </c>
      <c r="G57" s="626">
        <v>-30969</v>
      </c>
      <c r="H57" s="3">
        <f t="shared" si="2"/>
        <v>39561</v>
      </c>
      <c r="I57" s="128">
        <v>1800</v>
      </c>
      <c r="J57" s="655">
        <f t="shared" si="3"/>
        <v>4.549935542579813</v>
      </c>
      <c r="K57" s="3">
        <v>0</v>
      </c>
      <c r="L57" s="3">
        <f t="shared" si="4"/>
        <v>39561</v>
      </c>
    </row>
    <row r="58" spans="1:12" s="331" customFormat="1" ht="15.75">
      <c r="A58" s="491" t="s">
        <v>200</v>
      </c>
      <c r="B58" s="492">
        <f>SUM(B55:B57)</f>
        <v>87530</v>
      </c>
      <c r="C58" s="323">
        <f>SUM(C55:C57)</f>
        <v>0</v>
      </c>
      <c r="D58" s="323">
        <f t="shared" si="5"/>
        <v>87530</v>
      </c>
      <c r="E58" s="320">
        <f>SUM(E55:E57)</f>
        <v>10225</v>
      </c>
      <c r="F58" s="490">
        <f t="shared" si="6"/>
        <v>11.681709128298868</v>
      </c>
      <c r="G58" s="523">
        <f>SUM(G55:G57)</f>
        <v>-30969</v>
      </c>
      <c r="H58" s="320">
        <f t="shared" si="2"/>
        <v>56561</v>
      </c>
      <c r="I58" s="320">
        <f>SUM(I55:I57)</f>
        <v>1800</v>
      </c>
      <c r="J58" s="659">
        <f t="shared" si="3"/>
        <v>3.182404837255352</v>
      </c>
      <c r="K58" s="320">
        <f>SUM(K55:K57)</f>
        <v>235</v>
      </c>
      <c r="L58" s="323">
        <f t="shared" si="4"/>
        <v>56796</v>
      </c>
    </row>
    <row r="59" spans="1:12" ht="15">
      <c r="A59" s="19" t="s">
        <v>201</v>
      </c>
      <c r="B59" s="21">
        <v>500</v>
      </c>
      <c r="C59" s="321">
        <v>0</v>
      </c>
      <c r="D59" s="321">
        <f t="shared" si="5"/>
        <v>500</v>
      </c>
      <c r="E59" s="321">
        <v>148</v>
      </c>
      <c r="F59" s="480">
        <f t="shared" si="6"/>
        <v>29.599999999999998</v>
      </c>
      <c r="G59" s="626">
        <v>0</v>
      </c>
      <c r="H59" s="3">
        <f t="shared" si="2"/>
        <v>500</v>
      </c>
      <c r="I59" s="20">
        <v>266</v>
      </c>
      <c r="J59" s="655">
        <f t="shared" si="3"/>
        <v>53.2</v>
      </c>
      <c r="K59" s="3">
        <v>0</v>
      </c>
      <c r="L59" s="3">
        <f t="shared" si="4"/>
        <v>500</v>
      </c>
    </row>
    <row r="60" spans="1:12" s="331" customFormat="1" ht="15.75">
      <c r="A60" s="491" t="s">
        <v>202</v>
      </c>
      <c r="B60" s="492">
        <f>SUM(B59:B59)</f>
        <v>500</v>
      </c>
      <c r="C60" s="323">
        <f>SUM(C59)</f>
        <v>0</v>
      </c>
      <c r="D60" s="323">
        <f t="shared" si="5"/>
        <v>500</v>
      </c>
      <c r="E60" s="320">
        <f>SUM(E59)</f>
        <v>148</v>
      </c>
      <c r="F60" s="490">
        <f t="shared" si="6"/>
        <v>29.599999999999998</v>
      </c>
      <c r="G60" s="523">
        <v>0</v>
      </c>
      <c r="H60" s="320">
        <f t="shared" si="2"/>
        <v>500</v>
      </c>
      <c r="I60" s="23">
        <f>SUM(I59:I59)</f>
        <v>266</v>
      </c>
      <c r="J60" s="659">
        <f t="shared" si="3"/>
        <v>53.2</v>
      </c>
      <c r="K60" s="320">
        <f>SUM(K59:K59)</f>
        <v>0</v>
      </c>
      <c r="L60" s="323">
        <f t="shared" si="4"/>
        <v>500</v>
      </c>
    </row>
    <row r="61" spans="1:12" ht="15">
      <c r="A61" s="2" t="s">
        <v>203</v>
      </c>
      <c r="B61" s="21">
        <v>3000</v>
      </c>
      <c r="C61" s="102">
        <v>0</v>
      </c>
      <c r="D61" s="3">
        <f t="shared" si="5"/>
        <v>3000</v>
      </c>
      <c r="E61" s="3">
        <v>908</v>
      </c>
      <c r="F61" s="39">
        <f t="shared" si="6"/>
        <v>30.266666666666666</v>
      </c>
      <c r="G61" s="626">
        <v>0</v>
      </c>
      <c r="H61" s="3">
        <f t="shared" si="2"/>
        <v>3000</v>
      </c>
      <c r="I61" s="683">
        <v>1709</v>
      </c>
      <c r="J61" s="655">
        <f t="shared" si="3"/>
        <v>56.96666666666667</v>
      </c>
      <c r="K61" s="3">
        <v>0</v>
      </c>
      <c r="L61" s="3">
        <f t="shared" si="4"/>
        <v>3000</v>
      </c>
    </row>
    <row r="62" spans="1:12" ht="15">
      <c r="A62" s="2" t="s">
        <v>204</v>
      </c>
      <c r="B62" s="21">
        <v>100</v>
      </c>
      <c r="C62" s="324">
        <v>0</v>
      </c>
      <c r="D62" s="20">
        <f t="shared" si="5"/>
        <v>100</v>
      </c>
      <c r="E62" s="20">
        <v>80</v>
      </c>
      <c r="F62" s="511">
        <f t="shared" si="6"/>
        <v>80</v>
      </c>
      <c r="G62" s="626">
        <v>0</v>
      </c>
      <c r="H62" s="3">
        <f t="shared" si="2"/>
        <v>100</v>
      </c>
      <c r="I62" s="20">
        <v>80</v>
      </c>
      <c r="J62" s="655">
        <f t="shared" si="3"/>
        <v>80</v>
      </c>
      <c r="K62" s="3">
        <v>0</v>
      </c>
      <c r="L62" s="3">
        <f t="shared" si="4"/>
        <v>100</v>
      </c>
    </row>
    <row r="63" spans="1:12" ht="15">
      <c r="A63" s="2" t="s">
        <v>661</v>
      </c>
      <c r="B63" s="21">
        <v>0</v>
      </c>
      <c r="C63" s="324"/>
      <c r="D63" s="20"/>
      <c r="E63" s="20"/>
      <c r="F63" s="511"/>
      <c r="H63" s="3">
        <v>0</v>
      </c>
      <c r="I63" s="128">
        <v>1946</v>
      </c>
      <c r="J63" s="655">
        <v>0</v>
      </c>
      <c r="K63" s="3">
        <v>1946</v>
      </c>
      <c r="L63" s="3">
        <f t="shared" si="4"/>
        <v>1946</v>
      </c>
    </row>
    <row r="64" spans="1:12" s="331" customFormat="1" ht="15.75">
      <c r="A64" s="491" t="s">
        <v>205</v>
      </c>
      <c r="B64" s="492">
        <f>SUM(B61:B63)</f>
        <v>3100</v>
      </c>
      <c r="C64" s="323">
        <f>SUM(C61:C62)</f>
        <v>0</v>
      </c>
      <c r="D64" s="323">
        <f>B64+C64</f>
        <v>3100</v>
      </c>
      <c r="E64" s="320">
        <f>SUM(E61:E62)</f>
        <v>988</v>
      </c>
      <c r="F64" s="490">
        <f>SUM(E64/D64)*100</f>
        <v>31.870967741935484</v>
      </c>
      <c r="G64" s="523">
        <v>0</v>
      </c>
      <c r="H64" s="320">
        <f t="shared" si="2"/>
        <v>3100</v>
      </c>
      <c r="I64" s="103">
        <f>SUM(I61:I63)</f>
        <v>3735</v>
      </c>
      <c r="J64" s="659">
        <f t="shared" si="3"/>
        <v>120.48387096774194</v>
      </c>
      <c r="K64" s="320">
        <f>SUM(K61:K63)</f>
        <v>1946</v>
      </c>
      <c r="L64" s="323">
        <f t="shared" si="4"/>
        <v>5046</v>
      </c>
    </row>
    <row r="65" spans="1:12" s="331" customFormat="1" ht="15.75">
      <c r="A65" s="491" t="s">
        <v>206</v>
      </c>
      <c r="B65" s="492">
        <f>B18+B36+B58+B60+B64</f>
        <v>242570</v>
      </c>
      <c r="C65" s="323">
        <f>C18+C36+C50+C58+C60+C64</f>
        <v>264815</v>
      </c>
      <c r="D65" s="323">
        <f>B65+C65</f>
        <v>507385</v>
      </c>
      <c r="E65" s="320" t="e">
        <f>E18+E36+E50+E54+E58+E60+E64</f>
        <v>#REF!</v>
      </c>
      <c r="F65" s="490" t="e">
        <f>SUM(E65/D65)*100</f>
        <v>#REF!</v>
      </c>
      <c r="G65" s="523">
        <f>G18+G36+G50+G54+G58+G60+G64</f>
        <v>2402160</v>
      </c>
      <c r="H65" s="320">
        <f t="shared" si="2"/>
        <v>2909545</v>
      </c>
      <c r="I65" s="320">
        <f>I18+I36+I50+I54+I58+I60+I64</f>
        <v>923710</v>
      </c>
      <c r="J65" s="659">
        <f t="shared" si="3"/>
        <v>31.74757565186309</v>
      </c>
      <c r="K65" s="320">
        <f>K18+K36+K50+K54+K58+K60+K64</f>
        <v>219013</v>
      </c>
      <c r="L65" s="323">
        <f t="shared" si="4"/>
        <v>3128558</v>
      </c>
    </row>
    <row r="66" ht="15">
      <c r="A66" s="812" t="s">
        <v>827</v>
      </c>
    </row>
  </sheetData>
  <sheetProtection selectLockedCells="1" selectUnlockedCells="1"/>
  <mergeCells count="3">
    <mergeCell ref="A1:L1"/>
    <mergeCell ref="A3:L3"/>
    <mergeCell ref="B5:L5"/>
  </mergeCells>
  <printOptions horizontalCentered="1"/>
  <pageMargins left="0.5513888888888889" right="0.5118055555555555" top="0.6" bottom="0.3541666666666667" header="0.5118055555555555" footer="0.511805555555555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L24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2.75"/>
  <cols>
    <col min="1" max="1" width="47.875" style="0" customWidth="1"/>
    <col min="2" max="2" width="12.375" style="39" customWidth="1"/>
    <col min="3" max="3" width="9.75390625" style="2" hidden="1" customWidth="1"/>
    <col min="4" max="4" width="12.25390625" style="3" hidden="1" customWidth="1"/>
    <col min="5" max="6" width="0" style="3" hidden="1" customWidth="1"/>
    <col min="7" max="7" width="9.875" style="626" hidden="1" customWidth="1"/>
    <col min="8" max="8" width="8.875" style="626" customWidth="1"/>
    <col min="9" max="9" width="0" style="3" hidden="1" customWidth="1"/>
    <col min="10" max="10" width="0" style="655" hidden="1" customWidth="1"/>
    <col min="11" max="11" width="10.25390625" style="3" customWidth="1"/>
    <col min="12" max="12" width="8.875" style="3" customWidth="1"/>
  </cols>
  <sheetData>
    <row r="1" spans="1:12" ht="14.25">
      <c r="A1" s="881" t="s">
        <v>830</v>
      </c>
      <c r="B1" s="881"/>
      <c r="C1" s="874"/>
      <c r="D1" s="874"/>
      <c r="E1" s="875"/>
      <c r="F1" s="875"/>
      <c r="G1" s="875"/>
      <c r="H1" s="875"/>
      <c r="I1" s="875"/>
      <c r="J1" s="875"/>
      <c r="K1" s="875"/>
      <c r="L1" s="875"/>
    </row>
    <row r="3" spans="1:12" ht="15.75">
      <c r="A3" s="876" t="s">
        <v>286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</row>
    <row r="4" ht="15.75">
      <c r="A4" s="5"/>
    </row>
    <row r="5" spans="1:12" ht="15.75">
      <c r="A5" s="2"/>
      <c r="B5" s="882" t="s">
        <v>35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</row>
    <row r="6" spans="1:12" ht="31.5">
      <c r="A6" s="143" t="s">
        <v>190</v>
      </c>
      <c r="B6" s="334" t="s">
        <v>464</v>
      </c>
      <c r="C6" s="737" t="s">
        <v>48</v>
      </c>
      <c r="D6" s="738" t="s">
        <v>191</v>
      </c>
      <c r="E6" s="739" t="s">
        <v>483</v>
      </c>
      <c r="F6" s="739" t="s">
        <v>484</v>
      </c>
      <c r="G6" s="738" t="s">
        <v>366</v>
      </c>
      <c r="H6" s="738" t="s">
        <v>529</v>
      </c>
      <c r="I6" s="739" t="s">
        <v>648</v>
      </c>
      <c r="J6" s="740" t="s">
        <v>484</v>
      </c>
      <c r="K6" s="736" t="s">
        <v>366</v>
      </c>
      <c r="L6" s="736" t="s">
        <v>675</v>
      </c>
    </row>
    <row r="7" spans="1:12" s="139" customFormat="1" ht="15">
      <c r="A7" s="136" t="s">
        <v>320</v>
      </c>
      <c r="B7" s="138" t="s">
        <v>321</v>
      </c>
      <c r="C7" s="335" t="s">
        <v>322</v>
      </c>
      <c r="D7" s="514" t="s">
        <v>322</v>
      </c>
      <c r="E7" s="135" t="s">
        <v>323</v>
      </c>
      <c r="F7" s="135" t="s">
        <v>482</v>
      </c>
      <c r="G7" s="643" t="s">
        <v>322</v>
      </c>
      <c r="H7" s="643" t="s">
        <v>322</v>
      </c>
      <c r="I7" s="135" t="s">
        <v>323</v>
      </c>
      <c r="J7" s="656" t="s">
        <v>482</v>
      </c>
      <c r="K7" s="514" t="s">
        <v>323</v>
      </c>
      <c r="L7" s="514" t="s">
        <v>482</v>
      </c>
    </row>
    <row r="8" spans="1:12" ht="15">
      <c r="A8" s="2" t="s">
        <v>207</v>
      </c>
      <c r="B8" s="3">
        <v>1000</v>
      </c>
      <c r="C8" s="2">
        <v>0</v>
      </c>
      <c r="D8" s="3">
        <f>B8+C8</f>
        <v>1000</v>
      </c>
      <c r="E8" s="3">
        <v>0</v>
      </c>
      <c r="F8" s="3">
        <f>SUM(E8/D8)*100</f>
        <v>0</v>
      </c>
      <c r="G8" s="626">
        <v>0</v>
      </c>
      <c r="H8" s="626">
        <f aca="true" t="shared" si="0" ref="H8:H22">D8+G8</f>
        <v>1000</v>
      </c>
      <c r="I8" s="3">
        <v>481</v>
      </c>
      <c r="J8" s="655">
        <f>SUM(I8/H8)*100</f>
        <v>48.1</v>
      </c>
      <c r="K8" s="3">
        <v>0</v>
      </c>
      <c r="L8" s="3">
        <f>H8+K8</f>
        <v>1000</v>
      </c>
    </row>
    <row r="9" spans="1:12" ht="15">
      <c r="A9" s="11" t="s">
        <v>194</v>
      </c>
      <c r="B9" s="12">
        <f>SUM(B10:B12)</f>
        <v>8000</v>
      </c>
      <c r="C9" s="131">
        <v>0</v>
      </c>
      <c r="D9" s="128">
        <f aca="true" t="shared" si="1" ref="D9:D22">B9+C9</f>
        <v>8000</v>
      </c>
      <c r="E9" s="128" t="e">
        <f>E10+E11+#REF!+E12</f>
        <v>#REF!</v>
      </c>
      <c r="F9" s="128" t="e">
        <f aca="true" t="shared" si="2" ref="F9:F22">SUM(E9/D9)*100</f>
        <v>#REF!</v>
      </c>
      <c r="G9" s="222">
        <f>G10+G11+G12</f>
        <v>4688</v>
      </c>
      <c r="H9" s="222">
        <f t="shared" si="0"/>
        <v>12688</v>
      </c>
      <c r="I9" s="128">
        <f>SUM(I10:I13)</f>
        <v>4901</v>
      </c>
      <c r="J9" s="658">
        <f aca="true" t="shared" si="3" ref="J9:J22">SUM(I9/H9)*100</f>
        <v>38.62704918032787</v>
      </c>
      <c r="K9" s="128">
        <v>0</v>
      </c>
      <c r="L9" s="128">
        <f aca="true" t="shared" si="4" ref="L9:L22">H9+K9</f>
        <v>12688</v>
      </c>
    </row>
    <row r="10" spans="1:12" ht="15">
      <c r="A10" s="2" t="s">
        <v>481</v>
      </c>
      <c r="B10" s="3">
        <v>1000</v>
      </c>
      <c r="C10" s="2">
        <v>0</v>
      </c>
      <c r="D10" s="3">
        <f t="shared" si="1"/>
        <v>1000</v>
      </c>
      <c r="E10" s="3">
        <v>353</v>
      </c>
      <c r="F10" s="3">
        <f t="shared" si="2"/>
        <v>35.3</v>
      </c>
      <c r="G10" s="626">
        <v>0</v>
      </c>
      <c r="H10" s="626">
        <f t="shared" si="0"/>
        <v>1000</v>
      </c>
      <c r="I10" s="3">
        <v>461</v>
      </c>
      <c r="J10" s="655">
        <f t="shared" si="3"/>
        <v>46.1</v>
      </c>
      <c r="K10" s="3">
        <v>0</v>
      </c>
      <c r="L10" s="3">
        <f t="shared" si="4"/>
        <v>1000</v>
      </c>
    </row>
    <row r="11" spans="1:12" ht="15">
      <c r="A11" s="2" t="s">
        <v>208</v>
      </c>
      <c r="B11" s="3">
        <v>5000</v>
      </c>
      <c r="C11" s="2">
        <v>0</v>
      </c>
      <c r="D11" s="3">
        <f t="shared" si="1"/>
        <v>5000</v>
      </c>
      <c r="E11" s="3">
        <v>1358</v>
      </c>
      <c r="F11" s="3">
        <f t="shared" si="2"/>
        <v>27.16</v>
      </c>
      <c r="G11" s="626">
        <v>4688</v>
      </c>
      <c r="H11" s="626">
        <f t="shared" si="0"/>
        <v>9688</v>
      </c>
      <c r="I11" s="20">
        <v>4293</v>
      </c>
      <c r="J11" s="655">
        <f t="shared" si="3"/>
        <v>44.31255161023947</v>
      </c>
      <c r="K11" s="3">
        <v>3500</v>
      </c>
      <c r="L11" s="3">
        <f t="shared" si="4"/>
        <v>13188</v>
      </c>
    </row>
    <row r="12" spans="1:12" ht="15">
      <c r="A12" s="19" t="s">
        <v>209</v>
      </c>
      <c r="B12" s="21">
        <v>2000</v>
      </c>
      <c r="C12" s="19">
        <v>0</v>
      </c>
      <c r="D12" s="128">
        <f t="shared" si="1"/>
        <v>2000</v>
      </c>
      <c r="E12" s="20">
        <v>83</v>
      </c>
      <c r="F12" s="20">
        <f t="shared" si="2"/>
        <v>4.15</v>
      </c>
      <c r="G12" s="626">
        <v>0</v>
      </c>
      <c r="H12" s="626">
        <f t="shared" si="0"/>
        <v>2000</v>
      </c>
      <c r="I12" s="3">
        <v>50</v>
      </c>
      <c r="J12" s="655">
        <f t="shared" si="3"/>
        <v>2.5</v>
      </c>
      <c r="K12" s="3">
        <v>0</v>
      </c>
      <c r="L12" s="3">
        <f t="shared" si="4"/>
        <v>2000</v>
      </c>
    </row>
    <row r="13" spans="1:12" ht="15">
      <c r="A13" s="131" t="s">
        <v>195</v>
      </c>
      <c r="B13" s="222">
        <v>0</v>
      </c>
      <c r="C13" s="131"/>
      <c r="D13" s="128"/>
      <c r="E13" s="128"/>
      <c r="F13" s="128"/>
      <c r="G13" s="222"/>
      <c r="H13" s="222">
        <v>0</v>
      </c>
      <c r="I13" s="128">
        <v>97</v>
      </c>
      <c r="J13" s="658">
        <v>0</v>
      </c>
      <c r="K13" s="128">
        <v>0</v>
      </c>
      <c r="L13" s="128">
        <f t="shared" si="4"/>
        <v>0</v>
      </c>
    </row>
    <row r="14" spans="1:12" ht="15">
      <c r="A14" s="19" t="s">
        <v>662</v>
      </c>
      <c r="B14" s="21">
        <v>0</v>
      </c>
      <c r="C14" s="19"/>
      <c r="D14" s="20"/>
      <c r="E14" s="20"/>
      <c r="F14" s="20"/>
      <c r="G14" s="21"/>
      <c r="H14" s="21">
        <v>0</v>
      </c>
      <c r="I14" s="20">
        <v>4673</v>
      </c>
      <c r="J14" s="655">
        <v>0</v>
      </c>
      <c r="K14" s="3">
        <v>0</v>
      </c>
      <c r="L14" s="3">
        <f t="shared" si="4"/>
        <v>0</v>
      </c>
    </row>
    <row r="15" spans="1:12" ht="15">
      <c r="A15" s="131" t="s">
        <v>526</v>
      </c>
      <c r="B15" s="128">
        <v>0</v>
      </c>
      <c r="D15" s="3">
        <v>0</v>
      </c>
      <c r="E15" s="3">
        <v>53</v>
      </c>
      <c r="F15" s="3">
        <v>0</v>
      </c>
      <c r="G15" s="222">
        <v>0</v>
      </c>
      <c r="H15" s="222">
        <f t="shared" si="0"/>
        <v>0</v>
      </c>
      <c r="I15" s="128">
        <v>152</v>
      </c>
      <c r="J15" s="655">
        <v>0</v>
      </c>
      <c r="K15" s="3">
        <v>140</v>
      </c>
      <c r="L15" s="3">
        <f t="shared" si="4"/>
        <v>140</v>
      </c>
    </row>
    <row r="16" spans="1:12" s="331" customFormat="1" ht="15.75">
      <c r="A16" s="488" t="s">
        <v>196</v>
      </c>
      <c r="B16" s="489">
        <f>SUM(B8+B9)</f>
        <v>9000</v>
      </c>
      <c r="C16" s="238">
        <v>0</v>
      </c>
      <c r="D16" s="323">
        <f t="shared" si="1"/>
        <v>9000</v>
      </c>
      <c r="E16" s="320" t="e">
        <f>#REF!+E8+E9+E15</f>
        <v>#REF!</v>
      </c>
      <c r="F16" s="320" t="e">
        <f t="shared" si="2"/>
        <v>#REF!</v>
      </c>
      <c r="G16" s="522">
        <f>G8+G9+G15</f>
        <v>4688</v>
      </c>
      <c r="H16" s="522">
        <f>D16+G16</f>
        <v>13688</v>
      </c>
      <c r="I16" s="320">
        <f>I8+I9+I15+I14</f>
        <v>10207</v>
      </c>
      <c r="J16" s="688">
        <f t="shared" si="3"/>
        <v>74.56896551724138</v>
      </c>
      <c r="K16" s="323">
        <f>SUM(K8:K15)</f>
        <v>3640</v>
      </c>
      <c r="L16" s="323">
        <f t="shared" si="4"/>
        <v>17328</v>
      </c>
    </row>
    <row r="17" spans="1:12" ht="15">
      <c r="A17" s="2" t="s">
        <v>210</v>
      </c>
      <c r="B17" s="3">
        <v>1000</v>
      </c>
      <c r="C17" s="333">
        <v>0</v>
      </c>
      <c r="D17" s="20">
        <f t="shared" si="1"/>
        <v>1000</v>
      </c>
      <c r="E17" s="20">
        <v>191</v>
      </c>
      <c r="F17" s="20">
        <f t="shared" si="2"/>
        <v>19.1</v>
      </c>
      <c r="G17" s="626">
        <v>0</v>
      </c>
      <c r="H17" s="626">
        <f t="shared" si="0"/>
        <v>1000</v>
      </c>
      <c r="I17" s="20">
        <v>257</v>
      </c>
      <c r="J17" s="655">
        <f t="shared" si="3"/>
        <v>25.7</v>
      </c>
      <c r="K17" s="3">
        <v>0</v>
      </c>
      <c r="L17" s="3">
        <f t="shared" si="4"/>
        <v>1000</v>
      </c>
    </row>
    <row r="18" spans="1:12" ht="15">
      <c r="A18" s="2" t="s">
        <v>681</v>
      </c>
      <c r="B18" s="3">
        <v>0</v>
      </c>
      <c r="C18" s="333"/>
      <c r="D18" s="20"/>
      <c r="E18" s="20"/>
      <c r="F18" s="20"/>
      <c r="H18" s="626">
        <v>0</v>
      </c>
      <c r="I18" s="128"/>
      <c r="K18" s="128">
        <v>11764</v>
      </c>
      <c r="L18" s="128">
        <f t="shared" si="4"/>
        <v>11764</v>
      </c>
    </row>
    <row r="19" spans="1:12" s="331" customFormat="1" ht="15.75">
      <c r="A19" s="491" t="s">
        <v>106</v>
      </c>
      <c r="B19" s="492">
        <f>SUM(B17:B17)</f>
        <v>1000</v>
      </c>
      <c r="C19" s="238">
        <v>0</v>
      </c>
      <c r="D19" s="323">
        <f t="shared" si="1"/>
        <v>1000</v>
      </c>
      <c r="E19" s="320">
        <f>SUM(E17:E17)</f>
        <v>191</v>
      </c>
      <c r="F19" s="320">
        <f t="shared" si="2"/>
        <v>19.1</v>
      </c>
      <c r="G19" s="522">
        <f>SUM(G17:G17)</f>
        <v>0</v>
      </c>
      <c r="H19" s="522">
        <f t="shared" si="0"/>
        <v>1000</v>
      </c>
      <c r="I19" s="320">
        <f>SUM(I17:I17)</f>
        <v>257</v>
      </c>
      <c r="J19" s="688">
        <f t="shared" si="3"/>
        <v>25.7</v>
      </c>
      <c r="K19" s="320">
        <f>SUM(K17:K18)</f>
        <v>11764</v>
      </c>
      <c r="L19" s="323">
        <f t="shared" si="4"/>
        <v>12764</v>
      </c>
    </row>
    <row r="20" spans="1:12" s="139" customFormat="1" ht="15">
      <c r="A20" s="685" t="s">
        <v>469</v>
      </c>
      <c r="B20" s="686">
        <v>0</v>
      </c>
      <c r="C20" s="687"/>
      <c r="D20" s="322"/>
      <c r="E20" s="322"/>
      <c r="F20" s="322"/>
      <c r="G20" s="632"/>
      <c r="H20" s="632">
        <v>0</v>
      </c>
      <c r="I20" s="102">
        <v>241</v>
      </c>
      <c r="J20" s="655">
        <v>0</v>
      </c>
      <c r="K20" s="321">
        <v>0</v>
      </c>
      <c r="L20" s="321">
        <f t="shared" si="4"/>
        <v>0</v>
      </c>
    </row>
    <row r="21" spans="1:12" s="331" customFormat="1" ht="15.75">
      <c r="A21" s="491" t="s">
        <v>527</v>
      </c>
      <c r="B21" s="492">
        <v>0</v>
      </c>
      <c r="C21" s="238"/>
      <c r="D21" s="323">
        <v>0</v>
      </c>
      <c r="E21" s="320" t="e">
        <f>SUM(#REF!)</f>
        <v>#REF!</v>
      </c>
      <c r="F21" s="320" t="e">
        <f>SUM(#REF!)</f>
        <v>#REF!</v>
      </c>
      <c r="G21" s="522">
        <v>0</v>
      </c>
      <c r="H21" s="522">
        <f t="shared" si="0"/>
        <v>0</v>
      </c>
      <c r="I21" s="320">
        <f>SUM(I20)</f>
        <v>241</v>
      </c>
      <c r="J21" s="688">
        <v>0</v>
      </c>
      <c r="K21" s="23">
        <f>SUM(K20)</f>
        <v>0</v>
      </c>
      <c r="L21" s="681">
        <f t="shared" si="4"/>
        <v>0</v>
      </c>
    </row>
    <row r="22" spans="1:12" s="331" customFormat="1" ht="15.75">
      <c r="A22" s="491" t="s">
        <v>206</v>
      </c>
      <c r="B22" s="492">
        <f>B16+B19</f>
        <v>10000</v>
      </c>
      <c r="C22" s="238">
        <v>0</v>
      </c>
      <c r="D22" s="323">
        <f t="shared" si="1"/>
        <v>10000</v>
      </c>
      <c r="E22" s="320" t="e">
        <f>E16+E19+E21</f>
        <v>#REF!</v>
      </c>
      <c r="F22" s="320" t="e">
        <f t="shared" si="2"/>
        <v>#REF!</v>
      </c>
      <c r="G22" s="522">
        <f>G16+G19+G21</f>
        <v>4688</v>
      </c>
      <c r="H22" s="522">
        <f t="shared" si="0"/>
        <v>14688</v>
      </c>
      <c r="I22" s="320">
        <f>I16+I19+I21</f>
        <v>10705</v>
      </c>
      <c r="J22" s="688">
        <f t="shared" si="3"/>
        <v>72.88262527233115</v>
      </c>
      <c r="K22" s="320">
        <f>K16+K19+K21</f>
        <v>15404</v>
      </c>
      <c r="L22" s="323">
        <f t="shared" si="4"/>
        <v>30092</v>
      </c>
    </row>
    <row r="24" ht="15">
      <c r="A24" s="812" t="s">
        <v>827</v>
      </c>
    </row>
  </sheetData>
  <sheetProtection selectLockedCells="1" selectUnlockedCells="1"/>
  <mergeCells count="3">
    <mergeCell ref="B5:L5"/>
    <mergeCell ref="A3:L3"/>
    <mergeCell ref="A1:L1"/>
  </mergeCells>
  <printOptions horizontalCentered="1"/>
  <pageMargins left="0.5513888888888889" right="0.5118055555555555" top="0.6" bottom="0.3541666666666667" header="0.5118055555555555" footer="0.511805555555555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/>
  <dimension ref="A1:L106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2.75"/>
  <cols>
    <col min="1" max="1" width="64.875" style="40" customWidth="1"/>
    <col min="2" max="2" width="13.625" style="41" customWidth="1"/>
    <col min="3" max="3" width="9.375" style="41" hidden="1" customWidth="1"/>
    <col min="4" max="4" width="12.25390625" style="41" hidden="1" customWidth="1"/>
    <col min="5" max="6" width="9.125" style="41" hidden="1" customWidth="1"/>
    <col min="7" max="7" width="10.625" style="47" hidden="1" customWidth="1"/>
    <col min="8" max="8" width="10.875" style="41" customWidth="1"/>
    <col min="9" max="9" width="9.125" style="41" hidden="1" customWidth="1"/>
    <col min="10" max="10" width="9.125" style="689" hidden="1" customWidth="1"/>
    <col min="11" max="11" width="10.75390625" style="41" customWidth="1"/>
    <col min="12" max="12" width="11.00390625" style="41" customWidth="1"/>
    <col min="13" max="16384" width="9.125" style="40" customWidth="1"/>
  </cols>
  <sheetData>
    <row r="1" spans="1:12" ht="17.25">
      <c r="A1" s="884" t="s">
        <v>831</v>
      </c>
      <c r="B1" s="884"/>
      <c r="C1" s="874"/>
      <c r="D1" s="874"/>
      <c r="E1" s="875"/>
      <c r="F1" s="875"/>
      <c r="G1" s="875"/>
      <c r="H1" s="875"/>
      <c r="I1" s="875"/>
      <c r="J1" s="875"/>
      <c r="K1" s="875"/>
      <c r="L1" s="875"/>
    </row>
    <row r="3" spans="1:12" ht="15">
      <c r="A3" s="885" t="s">
        <v>287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</row>
    <row r="4" ht="15">
      <c r="A4" s="478"/>
    </row>
    <row r="5" spans="2:12" ht="15">
      <c r="B5" s="886" t="s">
        <v>35</v>
      </c>
      <c r="C5" s="883"/>
      <c r="D5" s="883"/>
      <c r="E5" s="872"/>
      <c r="F5" s="872"/>
      <c r="G5" s="872"/>
      <c r="H5" s="872"/>
      <c r="I5" s="872"/>
      <c r="J5" s="872"/>
      <c r="K5" s="872"/>
      <c r="L5" s="872"/>
    </row>
    <row r="6" spans="1:12" ht="31.5">
      <c r="A6" s="144" t="s">
        <v>190</v>
      </c>
      <c r="B6" s="334" t="s">
        <v>464</v>
      </c>
      <c r="C6" s="336" t="s">
        <v>366</v>
      </c>
      <c r="D6" s="329" t="s">
        <v>191</v>
      </c>
      <c r="E6" s="133" t="s">
        <v>483</v>
      </c>
      <c r="F6" s="133" t="s">
        <v>484</v>
      </c>
      <c r="G6" s="617" t="s">
        <v>366</v>
      </c>
      <c r="H6" s="329" t="s">
        <v>529</v>
      </c>
      <c r="I6" s="133" t="s">
        <v>648</v>
      </c>
      <c r="J6" s="690" t="s">
        <v>484</v>
      </c>
      <c r="K6" s="751" t="s">
        <v>366</v>
      </c>
      <c r="L6" s="751" t="s">
        <v>675</v>
      </c>
    </row>
    <row r="7" spans="1:12" ht="15">
      <c r="A7" s="145" t="s">
        <v>324</v>
      </c>
      <c r="B7" s="138" t="s">
        <v>321</v>
      </c>
      <c r="C7" s="337" t="s">
        <v>322</v>
      </c>
      <c r="D7" s="337" t="s">
        <v>322</v>
      </c>
      <c r="E7" s="135" t="s">
        <v>323</v>
      </c>
      <c r="F7" s="135" t="s">
        <v>482</v>
      </c>
      <c r="G7" s="618" t="s">
        <v>322</v>
      </c>
      <c r="H7" s="337" t="s">
        <v>322</v>
      </c>
      <c r="I7" s="135" t="s">
        <v>323</v>
      </c>
      <c r="J7" s="656" t="s">
        <v>482</v>
      </c>
      <c r="K7" s="337" t="s">
        <v>323</v>
      </c>
      <c r="L7" s="337" t="s">
        <v>482</v>
      </c>
    </row>
    <row r="8" spans="1:12" ht="14.25">
      <c r="A8" s="40" t="s">
        <v>211</v>
      </c>
      <c r="B8" s="41">
        <v>28000</v>
      </c>
      <c r="C8" s="41">
        <v>0</v>
      </c>
      <c r="D8" s="41">
        <f>B8+C8</f>
        <v>28000</v>
      </c>
      <c r="E8" s="41">
        <v>8642</v>
      </c>
      <c r="F8" s="41">
        <f>SUM(E8/D8)*100</f>
        <v>30.864285714285717</v>
      </c>
      <c r="G8" s="47">
        <v>0</v>
      </c>
      <c r="H8" s="41">
        <f>D8+G8</f>
        <v>28000</v>
      </c>
      <c r="I8" s="41">
        <v>8095</v>
      </c>
      <c r="J8" s="689">
        <f>SUM(I8/H8)*100</f>
        <v>28.910714285714285</v>
      </c>
      <c r="K8" s="47">
        <v>2067</v>
      </c>
      <c r="L8" s="41">
        <f>H8+K8</f>
        <v>30067</v>
      </c>
    </row>
    <row r="9" spans="1:12" ht="14.25">
      <c r="A9" s="40" t="s">
        <v>212</v>
      </c>
      <c r="B9" s="41">
        <v>485</v>
      </c>
      <c r="C9" s="41">
        <v>0</v>
      </c>
      <c r="D9" s="41">
        <f aca="true" t="shared" si="0" ref="D9:D105">B9+C9</f>
        <v>485</v>
      </c>
      <c r="E9" s="41">
        <v>10</v>
      </c>
      <c r="F9" s="41">
        <f aca="true" t="shared" si="1" ref="F9:F105">SUM(E9/D9)*100</f>
        <v>2.0618556701030926</v>
      </c>
      <c r="G9" s="47">
        <v>-80</v>
      </c>
      <c r="H9" s="41">
        <f aca="true" t="shared" si="2" ref="H9:H95">D9+G9</f>
        <v>405</v>
      </c>
      <c r="I9" s="45">
        <v>43</v>
      </c>
      <c r="J9" s="689">
        <f aca="true" t="shared" si="3" ref="J9:J75">SUM(I9/H9)*100</f>
        <v>10.617283950617285</v>
      </c>
      <c r="K9" s="41">
        <v>0</v>
      </c>
      <c r="L9" s="41">
        <f aca="true" t="shared" si="4" ref="L9:L72">H9+K9</f>
        <v>405</v>
      </c>
    </row>
    <row r="10" spans="1:12" ht="14.25">
      <c r="A10" s="42" t="s">
        <v>213</v>
      </c>
      <c r="B10" s="43">
        <f>SUM(B11:B13)</f>
        <v>10375</v>
      </c>
      <c r="C10" s="107">
        <v>0</v>
      </c>
      <c r="D10" s="107">
        <f t="shared" si="0"/>
        <v>10375</v>
      </c>
      <c r="E10" s="107" t="e">
        <f>E11+E12+E13+E14+E15+#REF!+#REF!</f>
        <v>#REF!</v>
      </c>
      <c r="F10" s="107" t="e">
        <f t="shared" si="1"/>
        <v>#REF!</v>
      </c>
      <c r="G10" s="619">
        <f>SUM(G11:G20)</f>
        <v>86473</v>
      </c>
      <c r="H10" s="107">
        <f t="shared" si="2"/>
        <v>96848</v>
      </c>
      <c r="I10" s="41">
        <v>28151</v>
      </c>
      <c r="J10" s="691">
        <f t="shared" si="3"/>
        <v>29.067198083594914</v>
      </c>
      <c r="K10" s="107">
        <f>SUM(K11:K23)</f>
        <v>-921</v>
      </c>
      <c r="L10" s="107">
        <f t="shared" si="4"/>
        <v>95927</v>
      </c>
    </row>
    <row r="11" spans="1:12" ht="14.25">
      <c r="A11" s="40" t="s">
        <v>214</v>
      </c>
      <c r="B11" s="41">
        <v>2200</v>
      </c>
      <c r="C11" s="41">
        <v>0</v>
      </c>
      <c r="D11" s="41">
        <f t="shared" si="0"/>
        <v>2200</v>
      </c>
      <c r="E11" s="41">
        <v>298</v>
      </c>
      <c r="F11" s="41">
        <f t="shared" si="1"/>
        <v>13.545454545454547</v>
      </c>
      <c r="G11" s="47">
        <v>0</v>
      </c>
      <c r="H11" s="41">
        <f t="shared" si="2"/>
        <v>2200</v>
      </c>
      <c r="I11" s="694">
        <v>598</v>
      </c>
      <c r="J11" s="689">
        <f t="shared" si="3"/>
        <v>27.18181818181818</v>
      </c>
      <c r="K11" s="41">
        <v>0</v>
      </c>
      <c r="L11" s="41">
        <f t="shared" si="4"/>
        <v>2200</v>
      </c>
    </row>
    <row r="12" spans="1:12" ht="14.25">
      <c r="A12" s="44" t="s">
        <v>215</v>
      </c>
      <c r="B12" s="45">
        <v>6175</v>
      </c>
      <c r="C12" s="41">
        <v>0</v>
      </c>
      <c r="D12" s="41">
        <f t="shared" si="0"/>
        <v>6175</v>
      </c>
      <c r="E12" s="41">
        <v>75</v>
      </c>
      <c r="F12" s="41">
        <f t="shared" si="1"/>
        <v>1.214574898785425</v>
      </c>
      <c r="G12" s="47">
        <v>0</v>
      </c>
      <c r="H12" s="41">
        <f t="shared" si="2"/>
        <v>6175</v>
      </c>
      <c r="I12" s="45">
        <v>1668</v>
      </c>
      <c r="J12" s="689">
        <f t="shared" si="3"/>
        <v>27.012145748987855</v>
      </c>
      <c r="K12" s="47">
        <v>-139</v>
      </c>
      <c r="L12" s="41">
        <f t="shared" si="4"/>
        <v>6036</v>
      </c>
    </row>
    <row r="13" spans="1:12" ht="14.25">
      <c r="A13" s="44" t="s">
        <v>216</v>
      </c>
      <c r="B13" s="45">
        <v>2000</v>
      </c>
      <c r="C13" s="45">
        <v>0</v>
      </c>
      <c r="D13" s="45">
        <f t="shared" si="0"/>
        <v>2000</v>
      </c>
      <c r="E13" s="45">
        <v>1372</v>
      </c>
      <c r="F13" s="45">
        <f t="shared" si="1"/>
        <v>68.60000000000001</v>
      </c>
      <c r="G13" s="47">
        <v>448</v>
      </c>
      <c r="H13" s="41">
        <f t="shared" si="2"/>
        <v>2448</v>
      </c>
      <c r="I13" s="45">
        <v>3529</v>
      </c>
      <c r="J13" s="689">
        <f t="shared" si="3"/>
        <v>144.15849673202615</v>
      </c>
      <c r="K13" s="47">
        <v>1945</v>
      </c>
      <c r="L13" s="41">
        <f t="shared" si="4"/>
        <v>4393</v>
      </c>
    </row>
    <row r="14" spans="1:12" ht="14.25">
      <c r="A14" s="44" t="s">
        <v>487</v>
      </c>
      <c r="B14" s="45">
        <v>0</v>
      </c>
      <c r="C14" s="45"/>
      <c r="D14" s="45">
        <v>0</v>
      </c>
      <c r="E14" s="45">
        <v>20</v>
      </c>
      <c r="F14" s="45">
        <v>0</v>
      </c>
      <c r="G14" s="47">
        <v>234</v>
      </c>
      <c r="H14" s="41">
        <f t="shared" si="2"/>
        <v>234</v>
      </c>
      <c r="I14" s="45">
        <v>196</v>
      </c>
      <c r="J14" s="689">
        <f t="shared" si="3"/>
        <v>83.76068376068376</v>
      </c>
      <c r="K14" s="41">
        <v>0</v>
      </c>
      <c r="L14" s="41">
        <f t="shared" si="4"/>
        <v>234</v>
      </c>
    </row>
    <row r="15" spans="1:12" ht="14.25">
      <c r="A15" s="44" t="s">
        <v>488</v>
      </c>
      <c r="B15" s="45">
        <v>0</v>
      </c>
      <c r="C15" s="45"/>
      <c r="D15" s="45">
        <v>0</v>
      </c>
      <c r="E15" s="45">
        <v>1016</v>
      </c>
      <c r="F15" s="45">
        <v>0</v>
      </c>
      <c r="G15" s="47">
        <v>12974</v>
      </c>
      <c r="H15" s="41">
        <f t="shared" si="2"/>
        <v>12974</v>
      </c>
      <c r="I15" s="45">
        <v>1016</v>
      </c>
      <c r="J15" s="689">
        <f t="shared" si="3"/>
        <v>7.831046708802219</v>
      </c>
      <c r="K15" s="41">
        <v>0</v>
      </c>
      <c r="L15" s="41">
        <f t="shared" si="4"/>
        <v>12974</v>
      </c>
    </row>
    <row r="16" spans="1:12" ht="14.25">
      <c r="A16" s="44" t="s">
        <v>565</v>
      </c>
      <c r="B16" s="45">
        <v>0</v>
      </c>
      <c r="C16" s="45"/>
      <c r="D16" s="45">
        <v>0</v>
      </c>
      <c r="E16" s="45"/>
      <c r="F16" s="45"/>
      <c r="G16" s="620">
        <v>3375</v>
      </c>
      <c r="H16" s="41">
        <f t="shared" si="2"/>
        <v>3375</v>
      </c>
      <c r="I16" s="45">
        <v>0</v>
      </c>
      <c r="J16" s="689">
        <f t="shared" si="3"/>
        <v>0</v>
      </c>
      <c r="K16" s="41">
        <v>-3375</v>
      </c>
      <c r="L16" s="41">
        <f t="shared" si="4"/>
        <v>0</v>
      </c>
    </row>
    <row r="17" spans="1:12" ht="14.25">
      <c r="A17" s="44" t="s">
        <v>566</v>
      </c>
      <c r="B17" s="45">
        <v>0</v>
      </c>
      <c r="C17" s="45"/>
      <c r="D17" s="45">
        <v>0</v>
      </c>
      <c r="E17" s="45"/>
      <c r="F17" s="45"/>
      <c r="G17" s="620">
        <v>15821</v>
      </c>
      <c r="H17" s="41">
        <f t="shared" si="2"/>
        <v>15821</v>
      </c>
      <c r="I17" s="45">
        <v>15822</v>
      </c>
      <c r="J17" s="689">
        <f t="shared" si="3"/>
        <v>100.00632071297642</v>
      </c>
      <c r="K17" s="41">
        <v>0</v>
      </c>
      <c r="L17" s="41">
        <f t="shared" si="4"/>
        <v>15821</v>
      </c>
    </row>
    <row r="18" spans="1:12" ht="14.25">
      <c r="A18" s="44" t="s">
        <v>560</v>
      </c>
      <c r="B18" s="45">
        <v>0</v>
      </c>
      <c r="C18" s="45"/>
      <c r="D18" s="45">
        <v>0</v>
      </c>
      <c r="E18" s="45"/>
      <c r="F18" s="45"/>
      <c r="G18" s="620">
        <v>7056</v>
      </c>
      <c r="H18" s="41">
        <f t="shared" si="2"/>
        <v>7056</v>
      </c>
      <c r="I18" s="45">
        <v>0</v>
      </c>
      <c r="J18" s="689">
        <f t="shared" si="3"/>
        <v>0</v>
      </c>
      <c r="K18" s="41">
        <v>0</v>
      </c>
      <c r="L18" s="41">
        <f t="shared" si="4"/>
        <v>7056</v>
      </c>
    </row>
    <row r="19" spans="1:12" ht="14.25">
      <c r="A19" s="44" t="s">
        <v>562</v>
      </c>
      <c r="B19" s="45">
        <v>0</v>
      </c>
      <c r="C19" s="45"/>
      <c r="D19" s="45">
        <v>0</v>
      </c>
      <c r="E19" s="45"/>
      <c r="F19" s="45"/>
      <c r="G19" s="620">
        <v>41498</v>
      </c>
      <c r="H19" s="41">
        <f t="shared" si="2"/>
        <v>41498</v>
      </c>
      <c r="I19" s="45">
        <v>29</v>
      </c>
      <c r="J19" s="689">
        <f t="shared" si="3"/>
        <v>0.06988288592221312</v>
      </c>
      <c r="K19" s="41">
        <v>0</v>
      </c>
      <c r="L19" s="41">
        <f t="shared" si="4"/>
        <v>41498</v>
      </c>
    </row>
    <row r="20" spans="1:12" ht="14.25">
      <c r="A20" s="44" t="s">
        <v>564</v>
      </c>
      <c r="B20" s="45">
        <v>0</v>
      </c>
      <c r="C20" s="45"/>
      <c r="D20" s="45">
        <v>0</v>
      </c>
      <c r="E20" s="45"/>
      <c r="F20" s="45"/>
      <c r="G20" s="620">
        <v>5067</v>
      </c>
      <c r="H20" s="45">
        <f t="shared" si="2"/>
        <v>5067</v>
      </c>
      <c r="I20" s="41">
        <v>5067</v>
      </c>
      <c r="J20" s="689">
        <f t="shared" si="3"/>
        <v>100</v>
      </c>
      <c r="K20" s="41">
        <v>0</v>
      </c>
      <c r="L20" s="41">
        <f t="shared" si="4"/>
        <v>5067</v>
      </c>
    </row>
    <row r="21" spans="1:12" ht="14.25">
      <c r="A21" s="44" t="s">
        <v>663</v>
      </c>
      <c r="B21" s="45">
        <v>0</v>
      </c>
      <c r="C21" s="45"/>
      <c r="D21" s="45"/>
      <c r="E21" s="45"/>
      <c r="F21" s="45"/>
      <c r="G21" s="620"/>
      <c r="H21" s="45">
        <v>0</v>
      </c>
      <c r="I21" s="41">
        <v>161</v>
      </c>
      <c r="J21" s="689">
        <v>0</v>
      </c>
      <c r="K21" s="41">
        <v>162</v>
      </c>
      <c r="L21" s="41">
        <f t="shared" si="4"/>
        <v>162</v>
      </c>
    </row>
    <row r="22" spans="1:12" ht="14.25">
      <c r="A22" s="44" t="s">
        <v>664</v>
      </c>
      <c r="B22" s="45">
        <v>0</v>
      </c>
      <c r="C22" s="45"/>
      <c r="D22" s="45"/>
      <c r="E22" s="45"/>
      <c r="F22" s="45"/>
      <c r="G22" s="620"/>
      <c r="H22" s="45">
        <v>0</v>
      </c>
      <c r="I22" s="41">
        <v>35</v>
      </c>
      <c r="J22" s="689">
        <v>0</v>
      </c>
      <c r="K22" s="41">
        <v>0</v>
      </c>
      <c r="L22" s="41">
        <f t="shared" si="4"/>
        <v>0</v>
      </c>
    </row>
    <row r="23" spans="1:12" ht="14.25">
      <c r="A23" s="106" t="s">
        <v>665</v>
      </c>
      <c r="B23" s="107">
        <v>0</v>
      </c>
      <c r="C23" s="107"/>
      <c r="D23" s="107"/>
      <c r="E23" s="107"/>
      <c r="F23" s="107"/>
      <c r="G23" s="619"/>
      <c r="H23" s="107">
        <v>0</v>
      </c>
      <c r="I23" s="41">
        <v>30</v>
      </c>
      <c r="J23" s="691">
        <v>0</v>
      </c>
      <c r="K23" s="107">
        <v>486</v>
      </c>
      <c r="L23" s="107">
        <f t="shared" si="4"/>
        <v>486</v>
      </c>
    </row>
    <row r="24" spans="1:12" ht="14.25">
      <c r="A24" s="46" t="s">
        <v>217</v>
      </c>
      <c r="B24" s="41">
        <v>2500</v>
      </c>
      <c r="C24" s="41">
        <v>0</v>
      </c>
      <c r="D24" s="41">
        <f t="shared" si="0"/>
        <v>2500</v>
      </c>
      <c r="E24" s="41">
        <v>219</v>
      </c>
      <c r="F24" s="41">
        <f t="shared" si="1"/>
        <v>8.76</v>
      </c>
      <c r="G24" s="47">
        <v>0</v>
      </c>
      <c r="H24" s="41">
        <f t="shared" si="2"/>
        <v>2500</v>
      </c>
      <c r="I24" s="694">
        <v>1788</v>
      </c>
      <c r="J24" s="689">
        <f t="shared" si="3"/>
        <v>71.52</v>
      </c>
      <c r="K24" s="41">
        <v>0</v>
      </c>
      <c r="L24" s="41">
        <f t="shared" si="4"/>
        <v>2500</v>
      </c>
    </row>
    <row r="25" spans="1:12" ht="14.25">
      <c r="A25" s="46" t="s">
        <v>218</v>
      </c>
      <c r="B25" s="41">
        <v>50000</v>
      </c>
      <c r="C25" s="41">
        <v>0</v>
      </c>
      <c r="D25" s="41">
        <f t="shared" si="0"/>
        <v>50000</v>
      </c>
      <c r="E25" s="41">
        <v>12083</v>
      </c>
      <c r="F25" s="41">
        <f t="shared" si="1"/>
        <v>24.166</v>
      </c>
      <c r="G25" s="47">
        <v>0</v>
      </c>
      <c r="H25" s="41">
        <f t="shared" si="2"/>
        <v>50000</v>
      </c>
      <c r="I25" s="45">
        <v>16038</v>
      </c>
      <c r="J25" s="689">
        <f t="shared" si="3"/>
        <v>32.076</v>
      </c>
      <c r="K25" s="41">
        <v>0</v>
      </c>
      <c r="L25" s="41">
        <f t="shared" si="4"/>
        <v>50000</v>
      </c>
    </row>
    <row r="26" spans="1:12" ht="14.25">
      <c r="A26" s="46" t="s">
        <v>219</v>
      </c>
      <c r="B26" s="41">
        <v>300</v>
      </c>
      <c r="C26" s="41">
        <v>0</v>
      </c>
      <c r="D26" s="41">
        <f t="shared" si="0"/>
        <v>300</v>
      </c>
      <c r="E26" s="41">
        <v>0</v>
      </c>
      <c r="F26" s="41">
        <f t="shared" si="1"/>
        <v>0</v>
      </c>
      <c r="G26" s="47">
        <v>0</v>
      </c>
      <c r="H26" s="41">
        <f t="shared" si="2"/>
        <v>300</v>
      </c>
      <c r="I26" s="45">
        <v>0</v>
      </c>
      <c r="J26" s="689">
        <f t="shared" si="3"/>
        <v>0</v>
      </c>
      <c r="K26" s="41">
        <v>0</v>
      </c>
      <c r="L26" s="41">
        <f t="shared" si="4"/>
        <v>300</v>
      </c>
    </row>
    <row r="27" spans="1:12" ht="14.25">
      <c r="A27" s="46" t="s">
        <v>220</v>
      </c>
      <c r="B27" s="41">
        <v>5093</v>
      </c>
      <c r="C27" s="41">
        <v>0</v>
      </c>
      <c r="D27" s="41">
        <f t="shared" si="0"/>
        <v>5093</v>
      </c>
      <c r="E27" s="41">
        <v>1728</v>
      </c>
      <c r="F27" s="41">
        <f t="shared" si="1"/>
        <v>33.92892204987238</v>
      </c>
      <c r="G27" s="47">
        <v>0</v>
      </c>
      <c r="H27" s="41">
        <f t="shared" si="2"/>
        <v>5093</v>
      </c>
      <c r="I27" s="45">
        <v>3045</v>
      </c>
      <c r="J27" s="689">
        <f t="shared" si="3"/>
        <v>59.7879442371883</v>
      </c>
      <c r="K27" s="41">
        <v>0</v>
      </c>
      <c r="L27" s="41">
        <f t="shared" si="4"/>
        <v>5093</v>
      </c>
    </row>
    <row r="28" spans="1:12" ht="14.25">
      <c r="A28" s="46" t="s">
        <v>221</v>
      </c>
      <c r="B28" s="41">
        <v>6000</v>
      </c>
      <c r="C28" s="41">
        <v>0</v>
      </c>
      <c r="D28" s="41">
        <f t="shared" si="0"/>
        <v>6000</v>
      </c>
      <c r="E28" s="41">
        <v>2245</v>
      </c>
      <c r="F28" s="41">
        <f t="shared" si="1"/>
        <v>37.416666666666664</v>
      </c>
      <c r="G28" s="47">
        <v>0</v>
      </c>
      <c r="H28" s="41">
        <f t="shared" si="2"/>
        <v>6000</v>
      </c>
      <c r="I28" s="45">
        <v>4449</v>
      </c>
      <c r="J28" s="689">
        <f t="shared" si="3"/>
        <v>74.15</v>
      </c>
      <c r="K28" s="41">
        <v>0</v>
      </c>
      <c r="L28" s="41">
        <f t="shared" si="4"/>
        <v>6000</v>
      </c>
    </row>
    <row r="29" spans="1:12" ht="14.25">
      <c r="A29" s="46" t="s">
        <v>384</v>
      </c>
      <c r="B29" s="41">
        <v>14320</v>
      </c>
      <c r="C29" s="41">
        <v>0</v>
      </c>
      <c r="D29" s="41">
        <f t="shared" si="0"/>
        <v>14320</v>
      </c>
      <c r="E29" s="41">
        <v>62</v>
      </c>
      <c r="F29" s="41">
        <f t="shared" si="1"/>
        <v>0.43296089385474856</v>
      </c>
      <c r="G29" s="47">
        <v>3588</v>
      </c>
      <c r="H29" s="41">
        <f t="shared" si="2"/>
        <v>17908</v>
      </c>
      <c r="I29" s="45">
        <v>5730</v>
      </c>
      <c r="J29" s="689">
        <f t="shared" si="3"/>
        <v>31.996872905963812</v>
      </c>
      <c r="K29" s="41">
        <v>0</v>
      </c>
      <c r="L29" s="41">
        <f t="shared" si="4"/>
        <v>17908</v>
      </c>
    </row>
    <row r="30" spans="1:12" ht="14.25">
      <c r="A30" s="46" t="s">
        <v>445</v>
      </c>
      <c r="B30" s="41">
        <v>25158</v>
      </c>
      <c r="C30" s="41">
        <v>0</v>
      </c>
      <c r="D30" s="41">
        <f t="shared" si="0"/>
        <v>25158</v>
      </c>
      <c r="E30" s="41">
        <v>3676</v>
      </c>
      <c r="F30" s="41">
        <f t="shared" si="1"/>
        <v>14.61165434454249</v>
      </c>
      <c r="G30" s="47">
        <v>341</v>
      </c>
      <c r="H30" s="41">
        <f t="shared" si="2"/>
        <v>25499</v>
      </c>
      <c r="I30" s="45">
        <v>7918</v>
      </c>
      <c r="J30" s="689">
        <f t="shared" si="3"/>
        <v>31.052198125416687</v>
      </c>
      <c r="K30" s="41">
        <v>0</v>
      </c>
      <c r="L30" s="41">
        <f t="shared" si="4"/>
        <v>25499</v>
      </c>
    </row>
    <row r="31" spans="1:12" ht="14.25">
      <c r="A31" s="46" t="s">
        <v>383</v>
      </c>
      <c r="B31" s="41">
        <v>53413</v>
      </c>
      <c r="C31" s="41">
        <v>0</v>
      </c>
      <c r="D31" s="41">
        <f t="shared" si="0"/>
        <v>53413</v>
      </c>
      <c r="E31" s="41">
        <v>16131</v>
      </c>
      <c r="F31" s="41">
        <f t="shared" si="1"/>
        <v>30.200512983730555</v>
      </c>
      <c r="G31" s="47">
        <v>4180</v>
      </c>
      <c r="H31" s="41">
        <f t="shared" si="2"/>
        <v>57593</v>
      </c>
      <c r="I31" s="45">
        <v>33386</v>
      </c>
      <c r="J31" s="689">
        <f t="shared" si="3"/>
        <v>57.96885038112271</v>
      </c>
      <c r="K31" s="41">
        <v>6488</v>
      </c>
      <c r="L31" s="41">
        <f t="shared" si="4"/>
        <v>64081</v>
      </c>
    </row>
    <row r="32" spans="1:12" ht="14.25">
      <c r="A32" s="46" t="s">
        <v>222</v>
      </c>
      <c r="B32" s="41">
        <v>22031</v>
      </c>
      <c r="C32" s="41">
        <v>0</v>
      </c>
      <c r="D32" s="41">
        <f t="shared" si="0"/>
        <v>22031</v>
      </c>
      <c r="E32" s="41">
        <v>11279</v>
      </c>
      <c r="F32" s="41">
        <f t="shared" si="1"/>
        <v>51.19604194090146</v>
      </c>
      <c r="G32" s="47">
        <v>-4153</v>
      </c>
      <c r="H32" s="41">
        <f t="shared" si="2"/>
        <v>17878</v>
      </c>
      <c r="I32" s="45">
        <v>14017</v>
      </c>
      <c r="J32" s="689">
        <f t="shared" si="3"/>
        <v>78.40362456650632</v>
      </c>
      <c r="K32" s="41">
        <v>188</v>
      </c>
      <c r="L32" s="41">
        <f t="shared" si="4"/>
        <v>18066</v>
      </c>
    </row>
    <row r="33" spans="1:12" ht="14.25">
      <c r="A33" s="46" t="s">
        <v>441</v>
      </c>
      <c r="B33" s="41">
        <v>5948</v>
      </c>
      <c r="C33" s="107">
        <v>0</v>
      </c>
      <c r="D33" s="45">
        <f t="shared" si="0"/>
        <v>5948</v>
      </c>
      <c r="E33" s="45">
        <v>3191</v>
      </c>
      <c r="F33" s="45">
        <f t="shared" si="1"/>
        <v>53.648285137861464</v>
      </c>
      <c r="G33" s="47">
        <v>-1600</v>
      </c>
      <c r="H33" s="41">
        <f t="shared" si="2"/>
        <v>4348</v>
      </c>
      <c r="I33" s="45">
        <v>3787</v>
      </c>
      <c r="J33" s="689">
        <f t="shared" si="3"/>
        <v>87.09751609935601</v>
      </c>
      <c r="K33" s="41">
        <v>35</v>
      </c>
      <c r="L33" s="41">
        <f t="shared" si="4"/>
        <v>4383</v>
      </c>
    </row>
    <row r="34" spans="1:12" ht="14.25">
      <c r="A34" s="46" t="s">
        <v>563</v>
      </c>
      <c r="B34" s="41">
        <v>0</v>
      </c>
      <c r="C34" s="107"/>
      <c r="D34" s="45">
        <v>0</v>
      </c>
      <c r="E34" s="45">
        <v>17600</v>
      </c>
      <c r="F34" s="45">
        <v>0</v>
      </c>
      <c r="G34" s="47">
        <v>57543</v>
      </c>
      <c r="H34" s="41">
        <f t="shared" si="2"/>
        <v>57543</v>
      </c>
      <c r="I34" s="45">
        <f>8502+653+505</f>
        <v>9660</v>
      </c>
      <c r="J34" s="689">
        <f t="shared" si="3"/>
        <v>16.78744591001512</v>
      </c>
      <c r="K34" s="41">
        <v>117632</v>
      </c>
      <c r="L34" s="41">
        <f t="shared" si="4"/>
        <v>175175</v>
      </c>
    </row>
    <row r="35" spans="1:12" ht="14.25">
      <c r="A35" s="46" t="s">
        <v>489</v>
      </c>
      <c r="B35" s="41">
        <v>0</v>
      </c>
      <c r="C35" s="107"/>
      <c r="D35" s="45">
        <v>0</v>
      </c>
      <c r="E35" s="45">
        <v>19327</v>
      </c>
      <c r="F35" s="45">
        <v>0</v>
      </c>
      <c r="G35" s="47">
        <v>20354</v>
      </c>
      <c r="H35" s="41">
        <f t="shared" si="2"/>
        <v>20354</v>
      </c>
      <c r="I35" s="45">
        <v>19327</v>
      </c>
      <c r="J35" s="689">
        <f t="shared" si="3"/>
        <v>94.9543087353837</v>
      </c>
      <c r="K35" s="41">
        <v>0</v>
      </c>
      <c r="L35" s="41">
        <f t="shared" si="4"/>
        <v>20354</v>
      </c>
    </row>
    <row r="36" spans="1:12" ht="14.25">
      <c r="A36" s="46" t="s">
        <v>490</v>
      </c>
      <c r="B36" s="41">
        <v>0</v>
      </c>
      <c r="C36" s="107"/>
      <c r="D36" s="45">
        <v>0</v>
      </c>
      <c r="E36" s="45">
        <v>2501</v>
      </c>
      <c r="F36" s="45">
        <v>0</v>
      </c>
      <c r="G36" s="47">
        <v>2748</v>
      </c>
      <c r="H36" s="41">
        <f t="shared" si="2"/>
        <v>2748</v>
      </c>
      <c r="I36" s="45">
        <v>2501</v>
      </c>
      <c r="J36" s="689">
        <f t="shared" si="3"/>
        <v>91.01164483260553</v>
      </c>
      <c r="K36" s="41">
        <v>0</v>
      </c>
      <c r="L36" s="41">
        <f t="shared" si="4"/>
        <v>2748</v>
      </c>
    </row>
    <row r="37" spans="1:12" ht="14.25">
      <c r="A37" s="46" t="s">
        <v>666</v>
      </c>
      <c r="B37" s="41">
        <v>0</v>
      </c>
      <c r="C37" s="107"/>
      <c r="D37" s="45"/>
      <c r="E37" s="45"/>
      <c r="F37" s="45"/>
      <c r="H37" s="41">
        <v>0</v>
      </c>
      <c r="I37" s="45">
        <v>581</v>
      </c>
      <c r="J37" s="689">
        <v>0</v>
      </c>
      <c r="K37" s="41">
        <v>0</v>
      </c>
      <c r="L37" s="41">
        <f t="shared" si="4"/>
        <v>0</v>
      </c>
    </row>
    <row r="38" spans="1:12" ht="14.25">
      <c r="A38" s="46" t="s">
        <v>491</v>
      </c>
      <c r="B38" s="41">
        <v>0</v>
      </c>
      <c r="C38" s="107"/>
      <c r="D38" s="45">
        <v>0</v>
      </c>
      <c r="E38" s="45">
        <v>10</v>
      </c>
      <c r="F38" s="45">
        <v>0</v>
      </c>
      <c r="G38" s="47">
        <v>2680</v>
      </c>
      <c r="H38" s="41">
        <f t="shared" si="2"/>
        <v>2680</v>
      </c>
      <c r="I38" s="45">
        <v>667</v>
      </c>
      <c r="J38" s="689">
        <f t="shared" si="3"/>
        <v>24.888059701492537</v>
      </c>
      <c r="K38" s="41">
        <v>0</v>
      </c>
      <c r="L38" s="41">
        <f t="shared" si="4"/>
        <v>2680</v>
      </c>
    </row>
    <row r="39" spans="1:12" ht="14.25">
      <c r="A39" s="46" t="s">
        <v>492</v>
      </c>
      <c r="B39" s="41">
        <v>0</v>
      </c>
      <c r="C39" s="107"/>
      <c r="D39" s="45">
        <v>0</v>
      </c>
      <c r="E39" s="45">
        <v>633</v>
      </c>
      <c r="F39" s="45">
        <v>0</v>
      </c>
      <c r="G39" s="47">
        <v>396</v>
      </c>
      <c r="H39" s="41">
        <f t="shared" si="2"/>
        <v>396</v>
      </c>
      <c r="I39" s="45">
        <v>632</v>
      </c>
      <c r="J39" s="689">
        <f t="shared" si="3"/>
        <v>159.5959595959596</v>
      </c>
      <c r="K39" s="41">
        <v>0</v>
      </c>
      <c r="L39" s="41">
        <f t="shared" si="4"/>
        <v>396</v>
      </c>
    </row>
    <row r="40" spans="1:12" ht="14.25">
      <c r="A40" s="46" t="s">
        <v>493</v>
      </c>
      <c r="B40" s="41">
        <v>0</v>
      </c>
      <c r="C40" s="107"/>
      <c r="D40" s="45">
        <v>0</v>
      </c>
      <c r="E40" s="45">
        <v>85</v>
      </c>
      <c r="F40" s="45">
        <v>0</v>
      </c>
      <c r="G40" s="47">
        <v>107</v>
      </c>
      <c r="H40" s="41">
        <f t="shared" si="2"/>
        <v>107</v>
      </c>
      <c r="I40" s="45">
        <v>85</v>
      </c>
      <c r="J40" s="689">
        <f t="shared" si="3"/>
        <v>79.43925233644859</v>
      </c>
      <c r="K40" s="41">
        <v>0</v>
      </c>
      <c r="L40" s="41">
        <f t="shared" si="4"/>
        <v>107</v>
      </c>
    </row>
    <row r="41" spans="1:12" ht="14.25">
      <c r="A41" s="46" t="s">
        <v>494</v>
      </c>
      <c r="B41" s="41">
        <v>0</v>
      </c>
      <c r="C41" s="107"/>
      <c r="D41" s="45">
        <v>0</v>
      </c>
      <c r="E41" s="45">
        <v>5265</v>
      </c>
      <c r="F41" s="45">
        <v>0</v>
      </c>
      <c r="G41" s="47">
        <v>246720</v>
      </c>
      <c r="H41" s="41">
        <f t="shared" si="2"/>
        <v>246720</v>
      </c>
      <c r="I41" s="45">
        <v>70965</v>
      </c>
      <c r="J41" s="689">
        <f t="shared" si="3"/>
        <v>28.76337548638132</v>
      </c>
      <c r="K41" s="41">
        <v>0</v>
      </c>
      <c r="L41" s="41">
        <f t="shared" si="4"/>
        <v>246720</v>
      </c>
    </row>
    <row r="42" spans="1:12" ht="14.25">
      <c r="A42" s="46" t="s">
        <v>495</v>
      </c>
      <c r="B42" s="41">
        <v>0</v>
      </c>
      <c r="C42" s="45"/>
      <c r="D42" s="45">
        <v>0</v>
      </c>
      <c r="E42" s="45">
        <v>711</v>
      </c>
      <c r="F42" s="45">
        <v>0</v>
      </c>
      <c r="G42" s="47">
        <v>33307</v>
      </c>
      <c r="H42" s="41">
        <f t="shared" si="2"/>
        <v>33307</v>
      </c>
      <c r="I42" s="45">
        <v>9623</v>
      </c>
      <c r="J42" s="689">
        <f t="shared" si="3"/>
        <v>28.891824541387695</v>
      </c>
      <c r="K42" s="41">
        <v>0</v>
      </c>
      <c r="L42" s="41">
        <f t="shared" si="4"/>
        <v>33307</v>
      </c>
    </row>
    <row r="43" spans="1:12" ht="14.25">
      <c r="A43" s="46" t="s">
        <v>496</v>
      </c>
      <c r="B43" s="45">
        <v>0</v>
      </c>
      <c r="C43" s="45"/>
      <c r="D43" s="45">
        <v>0</v>
      </c>
      <c r="E43" s="45">
        <v>109</v>
      </c>
      <c r="F43" s="45">
        <v>0</v>
      </c>
      <c r="G43" s="47">
        <v>43849</v>
      </c>
      <c r="H43" s="41">
        <f t="shared" si="2"/>
        <v>43849</v>
      </c>
      <c r="I43" s="45">
        <v>28375</v>
      </c>
      <c r="J43" s="689">
        <f t="shared" si="3"/>
        <v>64.71071176081553</v>
      </c>
      <c r="K43" s="41">
        <v>0</v>
      </c>
      <c r="L43" s="41">
        <f t="shared" si="4"/>
        <v>43849</v>
      </c>
    </row>
    <row r="44" spans="1:12" ht="14.25">
      <c r="A44" s="46" t="s">
        <v>540</v>
      </c>
      <c r="B44" s="45">
        <v>0</v>
      </c>
      <c r="C44" s="45"/>
      <c r="D44" s="45">
        <v>0</v>
      </c>
      <c r="E44" s="45"/>
      <c r="F44" s="45"/>
      <c r="G44" s="47">
        <v>2112</v>
      </c>
      <c r="H44" s="41">
        <f t="shared" si="2"/>
        <v>2112</v>
      </c>
      <c r="I44" s="45">
        <v>1110</v>
      </c>
      <c r="J44" s="689">
        <f t="shared" si="3"/>
        <v>52.55681818181818</v>
      </c>
      <c r="K44" s="41">
        <v>0</v>
      </c>
      <c r="L44" s="41">
        <f t="shared" si="4"/>
        <v>2112</v>
      </c>
    </row>
    <row r="45" spans="1:12" ht="14.25">
      <c r="A45" s="46" t="s">
        <v>542</v>
      </c>
      <c r="B45" s="45">
        <v>0</v>
      </c>
      <c r="C45" s="45"/>
      <c r="D45" s="45">
        <v>0</v>
      </c>
      <c r="E45" s="45"/>
      <c r="F45" s="45"/>
      <c r="G45" s="47">
        <v>285</v>
      </c>
      <c r="H45" s="41">
        <f t="shared" si="2"/>
        <v>285</v>
      </c>
      <c r="I45" s="45">
        <v>151</v>
      </c>
      <c r="J45" s="689">
        <f t="shared" si="3"/>
        <v>52.98245614035088</v>
      </c>
      <c r="K45" s="41">
        <v>0</v>
      </c>
      <c r="L45" s="41">
        <f t="shared" si="4"/>
        <v>285</v>
      </c>
    </row>
    <row r="46" spans="1:12" ht="14.25">
      <c r="A46" s="46" t="s">
        <v>543</v>
      </c>
      <c r="B46" s="45">
        <v>0</v>
      </c>
      <c r="C46" s="45"/>
      <c r="D46" s="45">
        <v>0</v>
      </c>
      <c r="E46" s="45"/>
      <c r="F46" s="45"/>
      <c r="G46" s="47">
        <v>1318</v>
      </c>
      <c r="H46" s="41">
        <f t="shared" si="2"/>
        <v>1318</v>
      </c>
      <c r="I46" s="45">
        <v>500</v>
      </c>
      <c r="J46" s="689">
        <f t="shared" si="3"/>
        <v>37.93626707132019</v>
      </c>
      <c r="K46" s="41">
        <v>0</v>
      </c>
      <c r="L46" s="41">
        <f t="shared" si="4"/>
        <v>1318</v>
      </c>
    </row>
    <row r="47" spans="1:12" ht="14.25">
      <c r="A47" s="46" t="s">
        <v>541</v>
      </c>
      <c r="B47" s="45">
        <v>0</v>
      </c>
      <c r="C47" s="45"/>
      <c r="D47" s="45">
        <v>0</v>
      </c>
      <c r="E47" s="45"/>
      <c r="F47" s="45"/>
      <c r="G47" s="47">
        <v>2209</v>
      </c>
      <c r="H47" s="41">
        <f t="shared" si="2"/>
        <v>2209</v>
      </c>
      <c r="I47" s="45">
        <v>4697</v>
      </c>
      <c r="J47" s="689">
        <f t="shared" si="3"/>
        <v>212.63014938886374</v>
      </c>
      <c r="K47" s="41">
        <v>0</v>
      </c>
      <c r="L47" s="41">
        <f t="shared" si="4"/>
        <v>2209</v>
      </c>
    </row>
    <row r="48" spans="1:12" ht="14.25">
      <c r="A48" s="46" t="s">
        <v>544</v>
      </c>
      <c r="B48" s="45">
        <v>0</v>
      </c>
      <c r="C48" s="45"/>
      <c r="D48" s="45">
        <v>0</v>
      </c>
      <c r="E48" s="45"/>
      <c r="F48" s="45"/>
      <c r="G48" s="47">
        <v>298</v>
      </c>
      <c r="H48" s="41">
        <f t="shared" si="2"/>
        <v>298</v>
      </c>
      <c r="I48" s="45">
        <v>634</v>
      </c>
      <c r="J48" s="689">
        <f t="shared" si="3"/>
        <v>212.75167785234902</v>
      </c>
      <c r="K48" s="41">
        <v>0</v>
      </c>
      <c r="L48" s="41">
        <f t="shared" si="4"/>
        <v>298</v>
      </c>
    </row>
    <row r="49" spans="1:12" ht="14.25">
      <c r="A49" s="46" t="s">
        <v>497</v>
      </c>
      <c r="B49" s="45">
        <v>0</v>
      </c>
      <c r="C49" s="107"/>
      <c r="D49" s="107">
        <v>0</v>
      </c>
      <c r="E49" s="107">
        <v>230</v>
      </c>
      <c r="F49" s="107"/>
      <c r="G49" s="47">
        <v>416</v>
      </c>
      <c r="H49" s="41">
        <f t="shared" si="2"/>
        <v>416</v>
      </c>
      <c r="I49" s="107">
        <v>257</v>
      </c>
      <c r="J49" s="689">
        <f t="shared" si="3"/>
        <v>61.77884615384615</v>
      </c>
      <c r="K49" s="41">
        <v>0</v>
      </c>
      <c r="L49" s="41">
        <f t="shared" si="4"/>
        <v>416</v>
      </c>
    </row>
    <row r="50" spans="1:12" s="437" customFormat="1" ht="15">
      <c r="A50" s="435" t="s">
        <v>150</v>
      </c>
      <c r="B50" s="493">
        <f>SUM((B8:B10),SUM(B24:B33))</f>
        <v>223623</v>
      </c>
      <c r="C50" s="339">
        <v>0</v>
      </c>
      <c r="D50" s="339">
        <f t="shared" si="0"/>
        <v>223623</v>
      </c>
      <c r="E50" s="339" t="e">
        <f>E8+E9+E10+E24+E25+E26+E27+E28+E29+E30+E31+E32+E33+E34+E35+E36+#REF!+E38+E39+E40+E41+E42+E43+E49</f>
        <v>#REF!</v>
      </c>
      <c r="F50" s="339" t="e">
        <f t="shared" si="1"/>
        <v>#REF!</v>
      </c>
      <c r="G50" s="621">
        <v>503091</v>
      </c>
      <c r="H50" s="339">
        <f t="shared" si="2"/>
        <v>726714</v>
      </c>
      <c r="I50" s="495">
        <v>276212</v>
      </c>
      <c r="J50" s="692">
        <f t="shared" si="3"/>
        <v>38.00834991482206</v>
      </c>
      <c r="K50" s="339">
        <f>K8+K9+K10+K24+K25+K26+K27+K28+K29+K30+K31+K32+K33+K34+K35+K36+K37+K38+K39+K40+K41+K42+K43+K44+K45+K46+K47+K48+K49</f>
        <v>125489</v>
      </c>
      <c r="L50" s="339">
        <f t="shared" si="4"/>
        <v>852203</v>
      </c>
    </row>
    <row r="51" spans="1:12" ht="14.25">
      <c r="A51" s="46" t="s">
        <v>223</v>
      </c>
      <c r="B51" s="47">
        <v>30000</v>
      </c>
      <c r="C51" s="41">
        <v>0</v>
      </c>
      <c r="D51" s="41">
        <f t="shared" si="0"/>
        <v>30000</v>
      </c>
      <c r="E51" s="41">
        <v>250</v>
      </c>
      <c r="F51" s="41">
        <f t="shared" si="1"/>
        <v>0.8333333333333334</v>
      </c>
      <c r="G51" s="47">
        <v>-10</v>
      </c>
      <c r="H51" s="41">
        <f t="shared" si="2"/>
        <v>29990</v>
      </c>
      <c r="I51" s="694">
        <v>8969</v>
      </c>
      <c r="J51" s="689">
        <f t="shared" si="3"/>
        <v>29.906635545181725</v>
      </c>
      <c r="K51" s="41">
        <v>348</v>
      </c>
      <c r="L51" s="41">
        <f t="shared" si="4"/>
        <v>30338</v>
      </c>
    </row>
    <row r="52" spans="1:12" ht="14.25">
      <c r="A52" s="46" t="s">
        <v>224</v>
      </c>
      <c r="B52" s="41">
        <v>450</v>
      </c>
      <c r="C52" s="41">
        <v>0</v>
      </c>
      <c r="D52" s="41">
        <f t="shared" si="0"/>
        <v>450</v>
      </c>
      <c r="E52" s="41">
        <v>0</v>
      </c>
      <c r="F52" s="41">
        <f t="shared" si="1"/>
        <v>0</v>
      </c>
      <c r="G52" s="47">
        <v>0</v>
      </c>
      <c r="H52" s="41">
        <f t="shared" si="2"/>
        <v>450</v>
      </c>
      <c r="I52" s="45">
        <v>450</v>
      </c>
      <c r="J52" s="689">
        <f t="shared" si="3"/>
        <v>100</v>
      </c>
      <c r="K52" s="41">
        <v>0</v>
      </c>
      <c r="L52" s="41">
        <f t="shared" si="4"/>
        <v>450</v>
      </c>
    </row>
    <row r="53" spans="1:12" ht="14.25">
      <c r="A53" s="46" t="s">
        <v>225</v>
      </c>
      <c r="B53" s="41">
        <v>450</v>
      </c>
      <c r="C53" s="41">
        <v>0</v>
      </c>
      <c r="D53" s="41">
        <f t="shared" si="0"/>
        <v>450</v>
      </c>
      <c r="E53" s="41">
        <v>450</v>
      </c>
      <c r="F53" s="41">
        <f t="shared" si="1"/>
        <v>100</v>
      </c>
      <c r="G53" s="47">
        <v>0</v>
      </c>
      <c r="H53" s="41">
        <f t="shared" si="2"/>
        <v>450</v>
      </c>
      <c r="I53" s="45">
        <v>450</v>
      </c>
      <c r="J53" s="689">
        <f t="shared" si="3"/>
        <v>100</v>
      </c>
      <c r="K53" s="41">
        <v>200</v>
      </c>
      <c r="L53" s="41">
        <f t="shared" si="4"/>
        <v>650</v>
      </c>
    </row>
    <row r="54" spans="1:12" ht="14.25">
      <c r="A54" s="46" t="s">
        <v>226</v>
      </c>
      <c r="B54" s="41">
        <v>76154</v>
      </c>
      <c r="C54" s="41">
        <v>0</v>
      </c>
      <c r="D54" s="41">
        <f t="shared" si="0"/>
        <v>76154</v>
      </c>
      <c r="E54" s="41">
        <v>10553</v>
      </c>
      <c r="F54" s="41">
        <f t="shared" si="1"/>
        <v>13.857446752632823</v>
      </c>
      <c r="G54" s="47">
        <v>8900</v>
      </c>
      <c r="H54" s="41">
        <f t="shared" si="2"/>
        <v>85054</v>
      </c>
      <c r="I54" s="45">
        <v>24091</v>
      </c>
      <c r="J54" s="689">
        <f t="shared" si="3"/>
        <v>28.324358642744606</v>
      </c>
      <c r="K54" s="41">
        <v>0</v>
      </c>
      <c r="L54" s="41">
        <f t="shared" si="4"/>
        <v>85054</v>
      </c>
    </row>
    <row r="55" spans="1:12" ht="14.25">
      <c r="A55" s="46" t="s">
        <v>303</v>
      </c>
      <c r="B55" s="41">
        <v>6320</v>
      </c>
      <c r="C55" s="41">
        <v>0</v>
      </c>
      <c r="D55" s="41">
        <f t="shared" si="0"/>
        <v>6320</v>
      </c>
      <c r="E55" s="41">
        <v>1580</v>
      </c>
      <c r="F55" s="41">
        <f t="shared" si="1"/>
        <v>25</v>
      </c>
      <c r="G55" s="47">
        <v>2489</v>
      </c>
      <c r="H55" s="41">
        <f t="shared" si="2"/>
        <v>8809</v>
      </c>
      <c r="I55" s="45">
        <v>3160</v>
      </c>
      <c r="J55" s="689">
        <f t="shared" si="3"/>
        <v>35.87240322397548</v>
      </c>
      <c r="K55" s="41">
        <v>-2498</v>
      </c>
      <c r="L55" s="41">
        <f t="shared" si="4"/>
        <v>6311</v>
      </c>
    </row>
    <row r="56" spans="1:12" ht="14.25">
      <c r="A56" s="46" t="s">
        <v>446</v>
      </c>
      <c r="B56" s="41">
        <v>41000</v>
      </c>
      <c r="C56" s="41">
        <v>0</v>
      </c>
      <c r="D56" s="41">
        <f t="shared" si="0"/>
        <v>41000</v>
      </c>
      <c r="E56" s="41">
        <v>10250</v>
      </c>
      <c r="F56" s="41">
        <f t="shared" si="1"/>
        <v>25</v>
      </c>
      <c r="G56" s="47">
        <v>-2993</v>
      </c>
      <c r="H56" s="41">
        <f t="shared" si="2"/>
        <v>38007</v>
      </c>
      <c r="I56" s="45">
        <v>28943</v>
      </c>
      <c r="J56" s="689">
        <f t="shared" si="3"/>
        <v>76.15176151761518</v>
      </c>
      <c r="K56" s="41">
        <v>2498</v>
      </c>
      <c r="L56" s="41">
        <f t="shared" si="4"/>
        <v>40505</v>
      </c>
    </row>
    <row r="57" spans="1:12" ht="14.25">
      <c r="A57" s="46" t="s">
        <v>227</v>
      </c>
      <c r="B57" s="41">
        <v>25000</v>
      </c>
      <c r="C57" s="41">
        <v>0</v>
      </c>
      <c r="D57" s="41">
        <f t="shared" si="0"/>
        <v>25000</v>
      </c>
      <c r="E57" s="41">
        <v>0</v>
      </c>
      <c r="F57" s="41">
        <f t="shared" si="1"/>
        <v>0</v>
      </c>
      <c r="G57" s="47">
        <v>0</v>
      </c>
      <c r="H57" s="41">
        <f t="shared" si="2"/>
        <v>25000</v>
      </c>
      <c r="I57" s="45">
        <v>0</v>
      </c>
      <c r="J57" s="689">
        <f t="shared" si="3"/>
        <v>0</v>
      </c>
      <c r="K57" s="41">
        <v>0</v>
      </c>
      <c r="L57" s="41">
        <f t="shared" si="4"/>
        <v>25000</v>
      </c>
    </row>
    <row r="58" spans="1:12" ht="14.25">
      <c r="A58" s="46" t="s">
        <v>228</v>
      </c>
      <c r="B58" s="41">
        <v>160</v>
      </c>
      <c r="C58" s="41">
        <v>0</v>
      </c>
      <c r="D58" s="41">
        <f t="shared" si="0"/>
        <v>160</v>
      </c>
      <c r="E58" s="41">
        <v>78</v>
      </c>
      <c r="F58" s="41">
        <f t="shared" si="1"/>
        <v>48.75</v>
      </c>
      <c r="G58" s="47">
        <v>0</v>
      </c>
      <c r="H58" s="41">
        <f t="shared" si="2"/>
        <v>160</v>
      </c>
      <c r="I58" s="45">
        <v>133</v>
      </c>
      <c r="J58" s="689">
        <f t="shared" si="3"/>
        <v>83.125</v>
      </c>
      <c r="K58" s="41">
        <v>0</v>
      </c>
      <c r="L58" s="41">
        <f t="shared" si="4"/>
        <v>160</v>
      </c>
    </row>
    <row r="59" spans="1:12" ht="14.25">
      <c r="A59" s="46" t="s">
        <v>229</v>
      </c>
      <c r="B59" s="47">
        <v>545</v>
      </c>
      <c r="C59" s="41">
        <v>0</v>
      </c>
      <c r="D59" s="41">
        <f t="shared" si="0"/>
        <v>545</v>
      </c>
      <c r="E59" s="41">
        <v>0</v>
      </c>
      <c r="F59" s="41">
        <f t="shared" si="1"/>
        <v>0</v>
      </c>
      <c r="G59" s="47">
        <v>0</v>
      </c>
      <c r="H59" s="41">
        <f t="shared" si="2"/>
        <v>545</v>
      </c>
      <c r="I59" s="45">
        <v>344</v>
      </c>
      <c r="J59" s="689">
        <f t="shared" si="3"/>
        <v>63.11926605504588</v>
      </c>
      <c r="K59" s="41">
        <v>0</v>
      </c>
      <c r="L59" s="41">
        <f t="shared" si="4"/>
        <v>545</v>
      </c>
    </row>
    <row r="60" spans="1:12" ht="14.25">
      <c r="A60" s="46" t="s">
        <v>381</v>
      </c>
      <c r="B60" s="47">
        <v>344</v>
      </c>
      <c r="C60" s="41">
        <v>0</v>
      </c>
      <c r="D60" s="41">
        <f t="shared" si="0"/>
        <v>344</v>
      </c>
      <c r="E60" s="41">
        <v>344</v>
      </c>
      <c r="F60" s="41">
        <f t="shared" si="1"/>
        <v>100</v>
      </c>
      <c r="G60" s="47">
        <v>0</v>
      </c>
      <c r="H60" s="41">
        <f t="shared" si="2"/>
        <v>344</v>
      </c>
      <c r="I60" s="45">
        <v>0</v>
      </c>
      <c r="J60" s="689">
        <f t="shared" si="3"/>
        <v>0</v>
      </c>
      <c r="K60" s="41">
        <v>0</v>
      </c>
      <c r="L60" s="41">
        <f t="shared" si="4"/>
        <v>344</v>
      </c>
    </row>
    <row r="61" spans="1:12" ht="14.25">
      <c r="A61" s="46" t="s">
        <v>246</v>
      </c>
      <c r="B61" s="47">
        <v>425</v>
      </c>
      <c r="C61" s="41">
        <v>0</v>
      </c>
      <c r="D61" s="41">
        <f t="shared" si="0"/>
        <v>425</v>
      </c>
      <c r="E61" s="41">
        <v>0</v>
      </c>
      <c r="F61" s="41">
        <f t="shared" si="1"/>
        <v>0</v>
      </c>
      <c r="G61" s="47">
        <v>165</v>
      </c>
      <c r="H61" s="41">
        <f t="shared" si="2"/>
        <v>590</v>
      </c>
      <c r="I61" s="45">
        <v>190</v>
      </c>
      <c r="J61" s="689">
        <f t="shared" si="3"/>
        <v>32.20338983050847</v>
      </c>
      <c r="K61" s="41">
        <v>0</v>
      </c>
      <c r="L61" s="41">
        <f t="shared" si="4"/>
        <v>590</v>
      </c>
    </row>
    <row r="62" spans="1:12" ht="14.25">
      <c r="A62" s="46" t="s">
        <v>247</v>
      </c>
      <c r="B62" s="41">
        <v>1615</v>
      </c>
      <c r="C62" s="41">
        <v>0</v>
      </c>
      <c r="D62" s="41">
        <f t="shared" si="0"/>
        <v>1615</v>
      </c>
      <c r="E62" s="41">
        <v>0</v>
      </c>
      <c r="F62" s="41">
        <f t="shared" si="1"/>
        <v>0</v>
      </c>
      <c r="G62" s="47">
        <v>4457</v>
      </c>
      <c r="H62" s="41">
        <f t="shared" si="2"/>
        <v>6072</v>
      </c>
      <c r="I62" s="45">
        <v>0</v>
      </c>
      <c r="J62" s="689">
        <f t="shared" si="3"/>
        <v>0</v>
      </c>
      <c r="K62" s="41">
        <v>-93</v>
      </c>
      <c r="L62" s="41">
        <f t="shared" si="4"/>
        <v>5979</v>
      </c>
    </row>
    <row r="63" spans="1:12" ht="14.25">
      <c r="A63" s="46" t="s">
        <v>230</v>
      </c>
      <c r="B63" s="41">
        <v>3755</v>
      </c>
      <c r="C63" s="41">
        <v>0</v>
      </c>
      <c r="D63" s="41">
        <f t="shared" si="0"/>
        <v>3755</v>
      </c>
      <c r="E63" s="41">
        <v>939</v>
      </c>
      <c r="F63" s="41">
        <f t="shared" si="1"/>
        <v>25.00665778961385</v>
      </c>
      <c r="G63" s="47">
        <v>0</v>
      </c>
      <c r="H63" s="41">
        <f t="shared" si="2"/>
        <v>3755</v>
      </c>
      <c r="I63" s="45">
        <v>1878</v>
      </c>
      <c r="J63" s="689">
        <f t="shared" si="3"/>
        <v>50.0133155792277</v>
      </c>
      <c r="K63" s="41">
        <v>0</v>
      </c>
      <c r="L63" s="41">
        <f t="shared" si="4"/>
        <v>3755</v>
      </c>
    </row>
    <row r="64" spans="1:12" ht="14.25">
      <c r="A64" s="46" t="s">
        <v>231</v>
      </c>
      <c r="B64" s="41">
        <v>3264</v>
      </c>
      <c r="C64" s="107">
        <v>0</v>
      </c>
      <c r="D64" s="45">
        <f t="shared" si="0"/>
        <v>3264</v>
      </c>
      <c r="E64" s="45">
        <v>1857</v>
      </c>
      <c r="F64" s="45">
        <f t="shared" si="1"/>
        <v>56.89338235294118</v>
      </c>
      <c r="G64" s="47">
        <v>4035</v>
      </c>
      <c r="H64" s="41">
        <f t="shared" si="2"/>
        <v>7299</v>
      </c>
      <c r="I64" s="45">
        <f>2673+493</f>
        <v>3166</v>
      </c>
      <c r="J64" s="689">
        <f t="shared" si="3"/>
        <v>43.375804904781475</v>
      </c>
      <c r="K64" s="41">
        <v>0</v>
      </c>
      <c r="L64" s="41">
        <f t="shared" si="4"/>
        <v>7299</v>
      </c>
    </row>
    <row r="65" spans="1:12" ht="14.25">
      <c r="A65" s="46" t="s">
        <v>498</v>
      </c>
      <c r="B65" s="41">
        <v>0</v>
      </c>
      <c r="C65" s="107"/>
      <c r="D65" s="45">
        <v>0</v>
      </c>
      <c r="E65" s="107">
        <v>5500</v>
      </c>
      <c r="F65" s="107">
        <v>0</v>
      </c>
      <c r="G65" s="47">
        <v>5500</v>
      </c>
      <c r="H65" s="41">
        <f t="shared" si="2"/>
        <v>5500</v>
      </c>
      <c r="I65" s="45">
        <v>5500</v>
      </c>
      <c r="J65" s="689">
        <f t="shared" si="3"/>
        <v>100</v>
      </c>
      <c r="K65" s="41">
        <v>0</v>
      </c>
      <c r="L65" s="41">
        <f t="shared" si="4"/>
        <v>5500</v>
      </c>
    </row>
    <row r="66" spans="1:12" ht="14.25">
      <c r="A66" s="46" t="s">
        <v>567</v>
      </c>
      <c r="B66" s="41">
        <v>0</v>
      </c>
      <c r="C66" s="107"/>
      <c r="D66" s="45">
        <v>0</v>
      </c>
      <c r="E66" s="107"/>
      <c r="F66" s="107"/>
      <c r="G66" s="47">
        <v>30</v>
      </c>
      <c r="H66" s="41">
        <f t="shared" si="2"/>
        <v>30</v>
      </c>
      <c r="I66" s="45">
        <v>0</v>
      </c>
      <c r="J66" s="689">
        <f t="shared" si="3"/>
        <v>0</v>
      </c>
      <c r="K66" s="41">
        <v>0</v>
      </c>
      <c r="L66" s="41">
        <f t="shared" si="4"/>
        <v>30</v>
      </c>
    </row>
    <row r="67" spans="1:12" ht="14.25">
      <c r="A67" s="46" t="s">
        <v>568</v>
      </c>
      <c r="B67" s="41">
        <v>0</v>
      </c>
      <c r="C67" s="107"/>
      <c r="D67" s="107">
        <v>0</v>
      </c>
      <c r="E67" s="107"/>
      <c r="F67" s="107"/>
      <c r="G67" s="47">
        <v>1069</v>
      </c>
      <c r="H67" s="41">
        <f t="shared" si="2"/>
        <v>1069</v>
      </c>
      <c r="I67" s="45">
        <v>80</v>
      </c>
      <c r="J67" s="689">
        <f t="shared" si="3"/>
        <v>7.483629560336763</v>
      </c>
      <c r="K67" s="41">
        <v>0</v>
      </c>
      <c r="L67" s="41">
        <f t="shared" si="4"/>
        <v>1069</v>
      </c>
    </row>
    <row r="68" spans="1:12" ht="14.25">
      <c r="A68" s="46" t="s">
        <v>667</v>
      </c>
      <c r="B68" s="41">
        <v>0</v>
      </c>
      <c r="C68" s="107"/>
      <c r="D68" s="107"/>
      <c r="E68" s="107"/>
      <c r="F68" s="107"/>
      <c r="H68" s="41">
        <v>0</v>
      </c>
      <c r="I68" s="45">
        <v>10</v>
      </c>
      <c r="J68" s="689">
        <v>0</v>
      </c>
      <c r="K68" s="41">
        <v>10</v>
      </c>
      <c r="L68" s="41">
        <f t="shared" si="4"/>
        <v>10</v>
      </c>
    </row>
    <row r="69" spans="1:12" ht="14.25">
      <c r="A69" s="46" t="s">
        <v>668</v>
      </c>
      <c r="B69" s="41">
        <v>0</v>
      </c>
      <c r="C69" s="107"/>
      <c r="D69" s="107"/>
      <c r="E69" s="107"/>
      <c r="F69" s="107"/>
      <c r="H69" s="41">
        <v>0</v>
      </c>
      <c r="I69" s="45">
        <v>30</v>
      </c>
      <c r="J69" s="689">
        <v>0</v>
      </c>
      <c r="K69" s="41">
        <v>30</v>
      </c>
      <c r="L69" s="41">
        <f t="shared" si="4"/>
        <v>30</v>
      </c>
    </row>
    <row r="70" spans="1:12" ht="14.25">
      <c r="A70" s="46" t="s">
        <v>669</v>
      </c>
      <c r="B70" s="41">
        <v>0</v>
      </c>
      <c r="C70" s="107"/>
      <c r="D70" s="107"/>
      <c r="E70" s="107"/>
      <c r="F70" s="107"/>
      <c r="H70" s="41">
        <v>0</v>
      </c>
      <c r="I70" s="107">
        <v>9</v>
      </c>
      <c r="J70" s="689">
        <v>0</v>
      </c>
      <c r="K70" s="41">
        <v>9</v>
      </c>
      <c r="L70" s="41">
        <f t="shared" si="4"/>
        <v>9</v>
      </c>
    </row>
    <row r="71" spans="1:12" ht="14.25">
      <c r="A71" s="46" t="s">
        <v>684</v>
      </c>
      <c r="B71" s="41">
        <v>0</v>
      </c>
      <c r="C71" s="107"/>
      <c r="D71" s="107"/>
      <c r="E71" s="107"/>
      <c r="F71" s="107"/>
      <c r="H71" s="41">
        <v>0</v>
      </c>
      <c r="I71" s="45"/>
      <c r="K71" s="41">
        <v>200</v>
      </c>
      <c r="L71" s="41">
        <f t="shared" si="4"/>
        <v>200</v>
      </c>
    </row>
    <row r="72" spans="1:12" ht="14.25">
      <c r="A72" s="46" t="s">
        <v>685</v>
      </c>
      <c r="B72" s="41">
        <v>0</v>
      </c>
      <c r="C72" s="107"/>
      <c r="D72" s="107"/>
      <c r="E72" s="107"/>
      <c r="F72" s="107"/>
      <c r="H72" s="41">
        <v>0</v>
      </c>
      <c r="I72" s="45"/>
      <c r="K72" s="41">
        <v>190</v>
      </c>
      <c r="L72" s="41">
        <f t="shared" si="4"/>
        <v>190</v>
      </c>
    </row>
    <row r="73" spans="1:12" ht="14.25">
      <c r="A73" s="46" t="s">
        <v>686</v>
      </c>
      <c r="B73" s="41">
        <v>0</v>
      </c>
      <c r="C73" s="107"/>
      <c r="D73" s="107"/>
      <c r="E73" s="107"/>
      <c r="F73" s="107"/>
      <c r="H73" s="41">
        <v>0</v>
      </c>
      <c r="I73" s="45"/>
      <c r="K73" s="41">
        <v>200</v>
      </c>
      <c r="L73" s="41">
        <f aca="true" t="shared" si="5" ref="L73:L105">H73+K73</f>
        <v>200</v>
      </c>
    </row>
    <row r="74" spans="1:12" s="437" customFormat="1" ht="15">
      <c r="A74" s="435" t="s">
        <v>155</v>
      </c>
      <c r="B74" s="493">
        <f>SUM(B51:B73)</f>
        <v>189482</v>
      </c>
      <c r="C74" s="339">
        <v>0</v>
      </c>
      <c r="D74" s="339">
        <f t="shared" si="0"/>
        <v>189482</v>
      </c>
      <c r="E74" s="339">
        <f>SUM(E51:E65)</f>
        <v>31801</v>
      </c>
      <c r="F74" s="339">
        <f t="shared" si="1"/>
        <v>16.783124518423914</v>
      </c>
      <c r="G74" s="621">
        <f>SUM(G51:G67)</f>
        <v>23642</v>
      </c>
      <c r="H74" s="339">
        <f t="shared" si="2"/>
        <v>213124</v>
      </c>
      <c r="I74" s="495">
        <f>SUM(I51:I70)</f>
        <v>77403</v>
      </c>
      <c r="J74" s="692">
        <f t="shared" si="3"/>
        <v>36.31829357557103</v>
      </c>
      <c r="K74" s="339">
        <f>SUM(K51:K73)</f>
        <v>1094</v>
      </c>
      <c r="L74" s="339">
        <f t="shared" si="5"/>
        <v>214218</v>
      </c>
    </row>
    <row r="75" spans="1:12" ht="14.25">
      <c r="A75" s="48" t="s">
        <v>232</v>
      </c>
      <c r="B75" s="41">
        <v>9998</v>
      </c>
      <c r="C75" s="41">
        <v>0</v>
      </c>
      <c r="D75" s="41">
        <f t="shared" si="0"/>
        <v>9998</v>
      </c>
      <c r="E75" s="41">
        <v>0</v>
      </c>
      <c r="F75" s="41">
        <f t="shared" si="1"/>
        <v>0</v>
      </c>
      <c r="G75" s="47">
        <v>0</v>
      </c>
      <c r="H75" s="41">
        <f t="shared" si="2"/>
        <v>9998</v>
      </c>
      <c r="I75" s="694">
        <v>10607</v>
      </c>
      <c r="J75" s="689">
        <f t="shared" si="3"/>
        <v>106.09121824364874</v>
      </c>
      <c r="K75" s="41">
        <v>179</v>
      </c>
      <c r="L75" s="41">
        <f t="shared" si="5"/>
        <v>10177</v>
      </c>
    </row>
    <row r="76" spans="1:12" ht="14.25">
      <c r="A76" s="46" t="s">
        <v>233</v>
      </c>
      <c r="B76" s="41">
        <v>1360</v>
      </c>
      <c r="C76" s="41">
        <v>0</v>
      </c>
      <c r="D76" s="41">
        <f t="shared" si="0"/>
        <v>1360</v>
      </c>
      <c r="E76" s="41">
        <v>0</v>
      </c>
      <c r="F76" s="41">
        <f t="shared" si="1"/>
        <v>0</v>
      </c>
      <c r="G76" s="47">
        <v>0</v>
      </c>
      <c r="H76" s="41">
        <f t="shared" si="2"/>
        <v>1360</v>
      </c>
      <c r="I76" s="45">
        <v>252</v>
      </c>
      <c r="J76" s="689">
        <f aca="true" t="shared" si="6" ref="J76:J105">SUM(I76/H76)*100</f>
        <v>18.529411764705884</v>
      </c>
      <c r="K76" s="41">
        <v>0</v>
      </c>
      <c r="L76" s="41">
        <f t="shared" si="5"/>
        <v>1360</v>
      </c>
    </row>
    <row r="77" spans="1:12" ht="14.25">
      <c r="A77" s="46" t="s">
        <v>234</v>
      </c>
      <c r="B77" s="41">
        <v>112</v>
      </c>
      <c r="C77" s="41">
        <v>0</v>
      </c>
      <c r="D77" s="41">
        <f t="shared" si="0"/>
        <v>112</v>
      </c>
      <c r="E77" s="41">
        <v>0</v>
      </c>
      <c r="F77" s="41">
        <f t="shared" si="1"/>
        <v>0</v>
      </c>
      <c r="G77" s="47">
        <v>0</v>
      </c>
      <c r="H77" s="41">
        <f t="shared" si="2"/>
        <v>112</v>
      </c>
      <c r="I77" s="45">
        <v>0</v>
      </c>
      <c r="J77" s="689">
        <f t="shared" si="6"/>
        <v>0</v>
      </c>
      <c r="K77" s="41">
        <v>0</v>
      </c>
      <c r="L77" s="41">
        <f t="shared" si="5"/>
        <v>112</v>
      </c>
    </row>
    <row r="78" spans="1:12" ht="14.25">
      <c r="A78" s="46" t="s">
        <v>235</v>
      </c>
      <c r="B78" s="41">
        <v>2039</v>
      </c>
      <c r="C78" s="41">
        <v>0</v>
      </c>
      <c r="D78" s="41">
        <f t="shared" si="0"/>
        <v>2039</v>
      </c>
      <c r="E78" s="41">
        <v>0</v>
      </c>
      <c r="F78" s="41">
        <f t="shared" si="1"/>
        <v>0</v>
      </c>
      <c r="G78" s="47">
        <v>0</v>
      </c>
      <c r="H78" s="41">
        <f t="shared" si="2"/>
        <v>2039</v>
      </c>
      <c r="I78" s="45">
        <v>517</v>
      </c>
      <c r="J78" s="689">
        <f t="shared" si="6"/>
        <v>25.355566454144192</v>
      </c>
      <c r="K78" s="41">
        <v>0</v>
      </c>
      <c r="L78" s="41">
        <f t="shared" si="5"/>
        <v>2039</v>
      </c>
    </row>
    <row r="79" spans="1:12" ht="14.25">
      <c r="A79" s="46" t="s">
        <v>236</v>
      </c>
      <c r="B79" s="41">
        <v>959</v>
      </c>
      <c r="C79" s="41">
        <v>0</v>
      </c>
      <c r="D79" s="41">
        <f t="shared" si="0"/>
        <v>959</v>
      </c>
      <c r="E79" s="41">
        <v>0</v>
      </c>
      <c r="F79" s="41">
        <f t="shared" si="1"/>
        <v>0</v>
      </c>
      <c r="G79" s="47">
        <v>0</v>
      </c>
      <c r="H79" s="41">
        <f t="shared" si="2"/>
        <v>959</v>
      </c>
      <c r="I79" s="45">
        <v>179</v>
      </c>
      <c r="J79" s="689">
        <f t="shared" si="6"/>
        <v>18.665276329509904</v>
      </c>
      <c r="K79" s="41">
        <v>0</v>
      </c>
      <c r="L79" s="41">
        <f t="shared" si="5"/>
        <v>959</v>
      </c>
    </row>
    <row r="80" spans="1:12" ht="14.25">
      <c r="A80" s="46" t="s">
        <v>237</v>
      </c>
      <c r="B80" s="41">
        <v>21820</v>
      </c>
      <c r="C80" s="41">
        <v>0</v>
      </c>
      <c r="D80" s="41">
        <f t="shared" si="0"/>
        <v>21820</v>
      </c>
      <c r="E80" s="41">
        <v>0</v>
      </c>
      <c r="F80" s="41">
        <f t="shared" si="1"/>
        <v>0</v>
      </c>
      <c r="G80" s="47">
        <v>0</v>
      </c>
      <c r="H80" s="41">
        <f t="shared" si="2"/>
        <v>21820</v>
      </c>
      <c r="I80" s="45">
        <v>7436</v>
      </c>
      <c r="J80" s="689">
        <f t="shared" si="6"/>
        <v>34.0788267644363</v>
      </c>
      <c r="K80" s="41">
        <v>128240</v>
      </c>
      <c r="L80" s="41">
        <f t="shared" si="5"/>
        <v>150060</v>
      </c>
    </row>
    <row r="81" spans="1:12" ht="14.25">
      <c r="A81" s="46" t="s">
        <v>238</v>
      </c>
      <c r="B81" s="41">
        <v>2896</v>
      </c>
      <c r="C81" s="41">
        <v>0</v>
      </c>
      <c r="D81" s="41">
        <f t="shared" si="0"/>
        <v>2896</v>
      </c>
      <c r="E81" s="41">
        <v>0</v>
      </c>
      <c r="F81" s="41">
        <f t="shared" si="1"/>
        <v>0</v>
      </c>
      <c r="G81" s="47">
        <v>0</v>
      </c>
      <c r="H81" s="41">
        <f t="shared" si="2"/>
        <v>2896</v>
      </c>
      <c r="I81" s="45">
        <v>0</v>
      </c>
      <c r="J81" s="689">
        <f t="shared" si="6"/>
        <v>0</v>
      </c>
      <c r="K81" s="41">
        <v>0</v>
      </c>
      <c r="L81" s="41">
        <f t="shared" si="5"/>
        <v>2896</v>
      </c>
    </row>
    <row r="82" spans="1:12" ht="14.25">
      <c r="A82" s="46" t="s">
        <v>382</v>
      </c>
      <c r="B82" s="41">
        <v>1253</v>
      </c>
      <c r="C82" s="41">
        <v>0</v>
      </c>
      <c r="D82" s="41">
        <f t="shared" si="0"/>
        <v>1253</v>
      </c>
      <c r="E82" s="41">
        <v>0</v>
      </c>
      <c r="F82" s="41">
        <f t="shared" si="1"/>
        <v>0</v>
      </c>
      <c r="G82" s="47">
        <v>0</v>
      </c>
      <c r="H82" s="41">
        <f t="shared" si="2"/>
        <v>1253</v>
      </c>
      <c r="I82" s="45">
        <v>0</v>
      </c>
      <c r="J82" s="689">
        <f t="shared" si="6"/>
        <v>0</v>
      </c>
      <c r="K82" s="41">
        <v>0</v>
      </c>
      <c r="L82" s="41">
        <f t="shared" si="5"/>
        <v>1253</v>
      </c>
    </row>
    <row r="83" spans="1:12" ht="14.25">
      <c r="A83" s="46" t="s">
        <v>239</v>
      </c>
      <c r="B83" s="41">
        <v>3174</v>
      </c>
      <c r="C83" s="41">
        <v>0</v>
      </c>
      <c r="D83" s="41">
        <f t="shared" si="0"/>
        <v>3174</v>
      </c>
      <c r="E83" s="41">
        <v>657</v>
      </c>
      <c r="F83" s="41">
        <f t="shared" si="1"/>
        <v>20.69943289224953</v>
      </c>
      <c r="G83" s="47">
        <v>16</v>
      </c>
      <c r="H83" s="41">
        <f t="shared" si="2"/>
        <v>3190</v>
      </c>
      <c r="I83" s="45">
        <v>1806</v>
      </c>
      <c r="J83" s="689">
        <f t="shared" si="6"/>
        <v>56.61442006269593</v>
      </c>
      <c r="K83" s="41">
        <v>200</v>
      </c>
      <c r="L83" s="41">
        <f t="shared" si="5"/>
        <v>3390</v>
      </c>
    </row>
    <row r="84" spans="1:12" ht="14.25">
      <c r="A84" s="46" t="s">
        <v>240</v>
      </c>
      <c r="B84" s="41">
        <v>1400</v>
      </c>
      <c r="C84" s="41">
        <v>0</v>
      </c>
      <c r="D84" s="41">
        <f t="shared" si="0"/>
        <v>1400</v>
      </c>
      <c r="E84" s="41">
        <v>0</v>
      </c>
      <c r="F84" s="41">
        <f t="shared" si="1"/>
        <v>0</v>
      </c>
      <c r="G84" s="47">
        <v>0</v>
      </c>
      <c r="H84" s="41">
        <f t="shared" si="2"/>
        <v>1400</v>
      </c>
      <c r="I84" s="45">
        <v>700</v>
      </c>
      <c r="J84" s="689">
        <f t="shared" si="6"/>
        <v>50</v>
      </c>
      <c r="K84" s="41">
        <v>0</v>
      </c>
      <c r="L84" s="41">
        <f t="shared" si="5"/>
        <v>1400</v>
      </c>
    </row>
    <row r="85" spans="1:12" ht="14.25">
      <c r="A85" s="46" t="s">
        <v>241</v>
      </c>
      <c r="B85" s="47">
        <v>874</v>
      </c>
      <c r="C85" s="107">
        <v>0</v>
      </c>
      <c r="D85" s="45">
        <f t="shared" si="0"/>
        <v>874</v>
      </c>
      <c r="E85" s="107">
        <v>0</v>
      </c>
      <c r="F85" s="107">
        <f t="shared" si="1"/>
        <v>0</v>
      </c>
      <c r="G85" s="47">
        <v>0</v>
      </c>
      <c r="H85" s="41">
        <f t="shared" si="2"/>
        <v>874</v>
      </c>
      <c r="I85" s="45">
        <v>341</v>
      </c>
      <c r="J85" s="689">
        <f t="shared" si="6"/>
        <v>39.016018306636155</v>
      </c>
      <c r="K85" s="41">
        <v>0</v>
      </c>
      <c r="L85" s="41">
        <f t="shared" si="5"/>
        <v>874</v>
      </c>
    </row>
    <row r="86" spans="1:12" ht="14.25">
      <c r="A86" s="46" t="s">
        <v>569</v>
      </c>
      <c r="B86" s="47">
        <v>0</v>
      </c>
      <c r="C86" s="107"/>
      <c r="D86" s="45">
        <v>0</v>
      </c>
      <c r="E86" s="107"/>
      <c r="F86" s="107"/>
      <c r="G86" s="47">
        <v>14134</v>
      </c>
      <c r="H86" s="41">
        <v>14134</v>
      </c>
      <c r="I86" s="45">
        <v>14134</v>
      </c>
      <c r="J86" s="689">
        <f t="shared" si="6"/>
        <v>100</v>
      </c>
      <c r="K86" s="41">
        <v>0</v>
      </c>
      <c r="L86" s="41">
        <f t="shared" si="5"/>
        <v>14134</v>
      </c>
    </row>
    <row r="87" spans="1:12" ht="14.25">
      <c r="A87" s="46" t="s">
        <v>570</v>
      </c>
      <c r="B87" s="47">
        <v>0</v>
      </c>
      <c r="C87" s="107"/>
      <c r="D87" s="45">
        <v>0</v>
      </c>
      <c r="E87" s="107"/>
      <c r="F87" s="107"/>
      <c r="G87" s="47">
        <v>900</v>
      </c>
      <c r="H87" s="41">
        <v>900</v>
      </c>
      <c r="I87" s="620">
        <v>263</v>
      </c>
      <c r="J87" s="689">
        <f t="shared" si="6"/>
        <v>29.22222222222222</v>
      </c>
      <c r="K87" s="41">
        <v>0</v>
      </c>
      <c r="L87" s="41">
        <f t="shared" si="5"/>
        <v>900</v>
      </c>
    </row>
    <row r="88" spans="1:12" ht="14.25">
      <c r="A88" s="46" t="s">
        <v>571</v>
      </c>
      <c r="B88" s="47">
        <v>0</v>
      </c>
      <c r="C88" s="107"/>
      <c r="D88" s="45">
        <v>0</v>
      </c>
      <c r="E88" s="107"/>
      <c r="F88" s="107"/>
      <c r="G88" s="47">
        <v>250</v>
      </c>
      <c r="H88" s="41">
        <v>250</v>
      </c>
      <c r="I88" s="45">
        <v>0</v>
      </c>
      <c r="J88" s="689">
        <f t="shared" si="6"/>
        <v>0</v>
      </c>
      <c r="K88" s="41">
        <v>0</v>
      </c>
      <c r="L88" s="41">
        <f t="shared" si="5"/>
        <v>250</v>
      </c>
    </row>
    <row r="89" spans="1:12" ht="14.25">
      <c r="A89" s="46" t="s">
        <v>572</v>
      </c>
      <c r="B89" s="47">
        <v>0</v>
      </c>
      <c r="C89" s="107"/>
      <c r="D89" s="107">
        <v>0</v>
      </c>
      <c r="E89" s="107"/>
      <c r="F89" s="107"/>
      <c r="G89" s="47">
        <v>194</v>
      </c>
      <c r="H89" s="41">
        <v>194</v>
      </c>
      <c r="I89" s="45">
        <v>194</v>
      </c>
      <c r="J89" s="689">
        <f t="shared" si="6"/>
        <v>100</v>
      </c>
      <c r="K89" s="41">
        <v>0</v>
      </c>
      <c r="L89" s="41">
        <f t="shared" si="5"/>
        <v>194</v>
      </c>
    </row>
    <row r="90" spans="1:12" ht="14.25">
      <c r="A90" s="46" t="s">
        <v>670</v>
      </c>
      <c r="B90" s="47">
        <v>0</v>
      </c>
      <c r="C90" s="107"/>
      <c r="D90" s="107"/>
      <c r="E90" s="107"/>
      <c r="F90" s="107"/>
      <c r="H90" s="41">
        <v>0</v>
      </c>
      <c r="I90" s="107">
        <v>140</v>
      </c>
      <c r="J90" s="689">
        <v>0</v>
      </c>
      <c r="K90" s="41">
        <v>139</v>
      </c>
      <c r="L90" s="41">
        <f t="shared" si="5"/>
        <v>139</v>
      </c>
    </row>
    <row r="91" spans="1:12" s="437" customFormat="1" ht="15">
      <c r="A91" s="435" t="s">
        <v>242</v>
      </c>
      <c r="B91" s="494">
        <f>SUM(B75:B90)</f>
        <v>45885</v>
      </c>
      <c r="C91" s="339">
        <v>0</v>
      </c>
      <c r="D91" s="339">
        <f t="shared" si="0"/>
        <v>45885</v>
      </c>
      <c r="E91" s="339">
        <f>SUM(E75:E85)</f>
        <v>657</v>
      </c>
      <c r="F91" s="339">
        <f t="shared" si="1"/>
        <v>1.4318404707420727</v>
      </c>
      <c r="G91" s="621">
        <f>SUM(G75:G89)</f>
        <v>15494</v>
      </c>
      <c r="H91" s="339">
        <f t="shared" si="2"/>
        <v>61379</v>
      </c>
      <c r="I91" s="495">
        <f>SUM(I75:I90)</f>
        <v>36569</v>
      </c>
      <c r="J91" s="692">
        <f t="shared" si="6"/>
        <v>59.57900910734942</v>
      </c>
      <c r="K91" s="339">
        <f>SUM(K75:K90)</f>
        <v>128758</v>
      </c>
      <c r="L91" s="339">
        <f t="shared" si="5"/>
        <v>190137</v>
      </c>
    </row>
    <row r="92" spans="1:12" s="437" customFormat="1" ht="15">
      <c r="A92" s="435" t="s">
        <v>243</v>
      </c>
      <c r="B92" s="436">
        <v>37937</v>
      </c>
      <c r="C92" s="339">
        <v>3493</v>
      </c>
      <c r="D92" s="339">
        <f t="shared" si="0"/>
        <v>41430</v>
      </c>
      <c r="E92" s="339">
        <v>12287</v>
      </c>
      <c r="F92" s="339">
        <f t="shared" si="1"/>
        <v>29.657253198165577</v>
      </c>
      <c r="G92" s="621">
        <v>1039</v>
      </c>
      <c r="H92" s="339">
        <f t="shared" si="2"/>
        <v>42469</v>
      </c>
      <c r="I92" s="339">
        <v>17240</v>
      </c>
      <c r="J92" s="692">
        <f t="shared" si="6"/>
        <v>40.594315853916974</v>
      </c>
      <c r="K92" s="339">
        <v>4296</v>
      </c>
      <c r="L92" s="339">
        <f t="shared" si="5"/>
        <v>46765</v>
      </c>
    </row>
    <row r="93" spans="1:12" ht="15">
      <c r="A93" s="104"/>
      <c r="B93" s="105"/>
      <c r="L93" s="41">
        <f t="shared" si="5"/>
        <v>0</v>
      </c>
    </row>
    <row r="94" spans="1:12" ht="14.25">
      <c r="A94" s="40" t="s">
        <v>249</v>
      </c>
      <c r="B94" s="41">
        <v>44483</v>
      </c>
      <c r="C94" s="41">
        <v>0</v>
      </c>
      <c r="D94" s="41">
        <f t="shared" si="0"/>
        <v>44483</v>
      </c>
      <c r="E94" s="41">
        <v>7859</v>
      </c>
      <c r="F94" s="41">
        <f t="shared" si="1"/>
        <v>17.667423510104985</v>
      </c>
      <c r="G94" s="47">
        <v>-153</v>
      </c>
      <c r="H94" s="41">
        <f t="shared" si="2"/>
        <v>44330</v>
      </c>
      <c r="I94" s="41">
        <v>21277</v>
      </c>
      <c r="J94" s="689">
        <f t="shared" si="6"/>
        <v>47.99684186780961</v>
      </c>
      <c r="K94" s="41">
        <v>0</v>
      </c>
      <c r="L94" s="41">
        <f t="shared" si="5"/>
        <v>44330</v>
      </c>
    </row>
    <row r="95" spans="1:12" ht="14.25">
      <c r="A95" s="40" t="s">
        <v>442</v>
      </c>
      <c r="B95" s="41">
        <v>12011</v>
      </c>
      <c r="C95" s="41">
        <v>0</v>
      </c>
      <c r="D95" s="41">
        <f t="shared" si="0"/>
        <v>12011</v>
      </c>
      <c r="E95" s="41">
        <v>2175</v>
      </c>
      <c r="F95" s="41">
        <f t="shared" si="1"/>
        <v>18.10840063275331</v>
      </c>
      <c r="G95" s="47">
        <v>-41</v>
      </c>
      <c r="H95" s="41">
        <f t="shared" si="2"/>
        <v>11970</v>
      </c>
      <c r="I95" s="45">
        <v>5415</v>
      </c>
      <c r="J95" s="689">
        <f t="shared" si="6"/>
        <v>45.23809523809524</v>
      </c>
      <c r="K95" s="41">
        <v>0</v>
      </c>
      <c r="L95" s="41">
        <f t="shared" si="5"/>
        <v>11970</v>
      </c>
    </row>
    <row r="96" spans="1:12" ht="14.25">
      <c r="A96" s="40" t="s">
        <v>153</v>
      </c>
      <c r="B96" s="107">
        <v>36737</v>
      </c>
      <c r="C96" s="107">
        <v>0</v>
      </c>
      <c r="D96" s="107">
        <f t="shared" si="0"/>
        <v>36737</v>
      </c>
      <c r="E96" s="107">
        <v>9640</v>
      </c>
      <c r="F96" s="107">
        <f t="shared" si="1"/>
        <v>26.240574897242563</v>
      </c>
      <c r="G96" s="619">
        <v>45124</v>
      </c>
      <c r="H96" s="107">
        <f aca="true" t="shared" si="7" ref="H96:H105">D96+G96</f>
        <v>81861</v>
      </c>
      <c r="I96" s="41">
        <v>23438</v>
      </c>
      <c r="J96" s="691">
        <f t="shared" si="6"/>
        <v>28.631460646706003</v>
      </c>
      <c r="K96" s="107">
        <v>-7654</v>
      </c>
      <c r="L96" s="107">
        <f t="shared" si="5"/>
        <v>74207</v>
      </c>
    </row>
    <row r="97" spans="1:12" ht="14.25">
      <c r="A97" s="52" t="s">
        <v>64</v>
      </c>
      <c r="B97" s="41">
        <f>SUM(B94:B96)</f>
        <v>93231</v>
      </c>
      <c r="C97" s="41">
        <v>0</v>
      </c>
      <c r="D97" s="41">
        <f t="shared" si="0"/>
        <v>93231</v>
      </c>
      <c r="E97" s="41">
        <f>SUM(E94:E96)</f>
        <v>19674</v>
      </c>
      <c r="F97" s="41">
        <f t="shared" si="1"/>
        <v>21.102423013804422</v>
      </c>
      <c r="G97" s="47">
        <f>SUM(G94:G96)</f>
        <v>44930</v>
      </c>
      <c r="H97" s="41">
        <f t="shared" si="7"/>
        <v>138161</v>
      </c>
      <c r="I97" s="694">
        <f>SUM(I94:I96)</f>
        <v>50130</v>
      </c>
      <c r="J97" s="689">
        <f t="shared" si="6"/>
        <v>36.28375590796245</v>
      </c>
      <c r="K97" s="41">
        <f>SUM(K94:K96)</f>
        <v>-7654</v>
      </c>
      <c r="L97" s="41">
        <f t="shared" si="5"/>
        <v>130507</v>
      </c>
    </row>
    <row r="98" spans="1:12" ht="14.25">
      <c r="A98" s="44" t="s">
        <v>304</v>
      </c>
      <c r="B98" s="41">
        <f>SUM(B99:B100)</f>
        <v>52500</v>
      </c>
      <c r="C98" s="41">
        <v>0</v>
      </c>
      <c r="D98" s="41">
        <f t="shared" si="0"/>
        <v>52500</v>
      </c>
      <c r="E98" s="41">
        <f>E99+E100</f>
        <v>3999</v>
      </c>
      <c r="F98" s="41">
        <f t="shared" si="1"/>
        <v>7.617142857142857</v>
      </c>
      <c r="G98" s="47">
        <v>0</v>
      </c>
      <c r="H98" s="41">
        <f t="shared" si="7"/>
        <v>52500</v>
      </c>
      <c r="I98" s="45">
        <v>17185</v>
      </c>
      <c r="J98" s="689">
        <f t="shared" si="6"/>
        <v>32.733333333333334</v>
      </c>
      <c r="K98" s="41">
        <v>0</v>
      </c>
      <c r="L98" s="41">
        <f t="shared" si="5"/>
        <v>52500</v>
      </c>
    </row>
    <row r="99" spans="1:12" ht="14.25">
      <c r="A99" s="44" t="s">
        <v>305</v>
      </c>
      <c r="B99" s="41">
        <v>6000</v>
      </c>
      <c r="C99" s="41">
        <v>0</v>
      </c>
      <c r="D99" s="41">
        <f t="shared" si="0"/>
        <v>6000</v>
      </c>
      <c r="E99" s="41">
        <v>661</v>
      </c>
      <c r="F99" s="41">
        <f t="shared" si="1"/>
        <v>11.016666666666666</v>
      </c>
      <c r="G99" s="47">
        <v>0</v>
      </c>
      <c r="H99" s="41">
        <f t="shared" si="7"/>
        <v>6000</v>
      </c>
      <c r="I99" s="45">
        <v>1351</v>
      </c>
      <c r="J99" s="689">
        <f t="shared" si="6"/>
        <v>22.516666666666666</v>
      </c>
      <c r="K99" s="41">
        <v>0</v>
      </c>
      <c r="L99" s="41">
        <f t="shared" si="5"/>
        <v>6000</v>
      </c>
    </row>
    <row r="100" spans="1:12" ht="14.25">
      <c r="A100" s="44" t="s">
        <v>306</v>
      </c>
      <c r="B100" s="41">
        <v>46500</v>
      </c>
      <c r="C100" s="41">
        <v>0</v>
      </c>
      <c r="D100" s="41">
        <f t="shared" si="0"/>
        <v>46500</v>
      </c>
      <c r="E100" s="41">
        <v>3338</v>
      </c>
      <c r="F100" s="41">
        <f t="shared" si="1"/>
        <v>7.178494623655913</v>
      </c>
      <c r="G100" s="47">
        <v>0</v>
      </c>
      <c r="H100" s="41">
        <f t="shared" si="7"/>
        <v>46500</v>
      </c>
      <c r="I100" s="45">
        <v>15834</v>
      </c>
      <c r="J100" s="689">
        <f t="shared" si="6"/>
        <v>34.05161290322581</v>
      </c>
      <c r="K100" s="41">
        <v>0</v>
      </c>
      <c r="L100" s="41">
        <f t="shared" si="5"/>
        <v>46500</v>
      </c>
    </row>
    <row r="101" spans="1:12" ht="14.25">
      <c r="A101" s="40" t="s">
        <v>307</v>
      </c>
      <c r="B101" s="41">
        <v>3000</v>
      </c>
      <c r="C101" s="41">
        <v>0</v>
      </c>
      <c r="D101" s="41">
        <f t="shared" si="0"/>
        <v>3000</v>
      </c>
      <c r="E101" s="41">
        <v>1831</v>
      </c>
      <c r="F101" s="41">
        <f t="shared" si="1"/>
        <v>61.03333333333333</v>
      </c>
      <c r="G101" s="47">
        <v>0</v>
      </c>
      <c r="H101" s="41">
        <f t="shared" si="7"/>
        <v>3000</v>
      </c>
      <c r="I101" s="45">
        <v>1989</v>
      </c>
      <c r="J101" s="689">
        <f t="shared" si="6"/>
        <v>66.3</v>
      </c>
      <c r="K101" s="41">
        <v>3000</v>
      </c>
      <c r="L101" s="41">
        <f t="shared" si="5"/>
        <v>6000</v>
      </c>
    </row>
    <row r="102" spans="1:12" ht="14.25">
      <c r="A102" s="44" t="s">
        <v>252</v>
      </c>
      <c r="B102" s="45">
        <v>4500</v>
      </c>
      <c r="C102" s="45">
        <v>0</v>
      </c>
      <c r="D102" s="45">
        <f t="shared" si="0"/>
        <v>4500</v>
      </c>
      <c r="E102" s="45">
        <v>40548</v>
      </c>
      <c r="F102" s="45">
        <f t="shared" si="1"/>
        <v>901.0666666666667</v>
      </c>
      <c r="G102" s="47">
        <v>0</v>
      </c>
      <c r="H102" s="41">
        <f t="shared" si="7"/>
        <v>4500</v>
      </c>
      <c r="I102" s="45">
        <v>45773</v>
      </c>
      <c r="J102" s="689">
        <f t="shared" si="6"/>
        <v>1017.1777777777777</v>
      </c>
      <c r="K102" s="41">
        <v>4500</v>
      </c>
      <c r="L102" s="41">
        <f t="shared" si="5"/>
        <v>9000</v>
      </c>
    </row>
    <row r="103" spans="1:12" ht="14.25">
      <c r="A103" s="106" t="s">
        <v>499</v>
      </c>
      <c r="B103" s="41">
        <v>0</v>
      </c>
      <c r="C103" s="107"/>
      <c r="D103" s="107">
        <v>0</v>
      </c>
      <c r="E103" s="107">
        <v>6805</v>
      </c>
      <c r="F103" s="107">
        <v>0</v>
      </c>
      <c r="G103" s="47">
        <v>7028</v>
      </c>
      <c r="H103" s="41">
        <f t="shared" si="7"/>
        <v>7028</v>
      </c>
      <c r="I103" s="107">
        <v>6805</v>
      </c>
      <c r="J103" s="689">
        <f t="shared" si="6"/>
        <v>96.82697780307342</v>
      </c>
      <c r="K103" s="41">
        <v>0</v>
      </c>
      <c r="L103" s="41">
        <f t="shared" si="5"/>
        <v>7028</v>
      </c>
    </row>
    <row r="104" spans="1:12" s="437" customFormat="1" ht="15">
      <c r="A104" s="437" t="s">
        <v>308</v>
      </c>
      <c r="B104" s="493">
        <f>SUM(B97+B98+B101+B102)</f>
        <v>153231</v>
      </c>
      <c r="C104" s="339">
        <v>0</v>
      </c>
      <c r="D104" s="339">
        <f t="shared" si="0"/>
        <v>153231</v>
      </c>
      <c r="E104" s="339">
        <f>E97+E98+E101+E102+E103</f>
        <v>72857</v>
      </c>
      <c r="F104" s="339">
        <f t="shared" si="1"/>
        <v>47.54716734864355</v>
      </c>
      <c r="G104" s="621">
        <f>SUM(G97:G103)</f>
        <v>51958</v>
      </c>
      <c r="H104" s="339">
        <f t="shared" si="7"/>
        <v>205189</v>
      </c>
      <c r="I104" s="495">
        <v>121882</v>
      </c>
      <c r="J104" s="692">
        <f t="shared" si="6"/>
        <v>59.39987036342104</v>
      </c>
      <c r="K104" s="339">
        <f>K97+K98+K101+K102+K103</f>
        <v>-154</v>
      </c>
      <c r="L104" s="339">
        <f>H104+K104</f>
        <v>205035</v>
      </c>
    </row>
    <row r="105" spans="1:12" s="437" customFormat="1" ht="15">
      <c r="A105" s="496" t="s">
        <v>244</v>
      </c>
      <c r="B105" s="493">
        <f>SUM(B50+B74+B91+B92+B104)</f>
        <v>650158</v>
      </c>
      <c r="C105" s="339">
        <f>C50+C74+C91+C92+C104</f>
        <v>3493</v>
      </c>
      <c r="D105" s="339">
        <f t="shared" si="0"/>
        <v>653651</v>
      </c>
      <c r="E105" s="339" t="e">
        <f>E50+E74+E91+E92+E104</f>
        <v>#REF!</v>
      </c>
      <c r="F105" s="339" t="e">
        <f t="shared" si="1"/>
        <v>#REF!</v>
      </c>
      <c r="G105" s="621">
        <f>G50+G74+G91+G92+G104</f>
        <v>595224</v>
      </c>
      <c r="H105" s="339">
        <f t="shared" si="7"/>
        <v>1248875</v>
      </c>
      <c r="I105" s="339">
        <f>I50+I74+I91+I92+I104</f>
        <v>529306</v>
      </c>
      <c r="J105" s="692">
        <f t="shared" si="6"/>
        <v>42.382624361925735</v>
      </c>
      <c r="K105" s="339">
        <f>K50+K74+K91+K92+K104</f>
        <v>259483</v>
      </c>
      <c r="L105" s="339">
        <f t="shared" si="5"/>
        <v>1508358</v>
      </c>
    </row>
    <row r="106" ht="14.25">
      <c r="A106" s="812" t="s">
        <v>827</v>
      </c>
    </row>
  </sheetData>
  <sheetProtection selectLockedCells="1" selectUnlockedCells="1"/>
  <mergeCells count="3">
    <mergeCell ref="A1:L1"/>
    <mergeCell ref="A3:L3"/>
    <mergeCell ref="B5:L5"/>
  </mergeCells>
  <printOptions horizontalCentered="1"/>
  <pageMargins left="0.7875" right="0.39375" top="0.32013888888888886" bottom="0.4" header="0.3" footer="0.39"/>
  <pageSetup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L30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2.75"/>
  <cols>
    <col min="1" max="1" width="52.875" style="40" customWidth="1"/>
    <col min="2" max="2" width="12.75390625" style="41" customWidth="1"/>
    <col min="3" max="3" width="9.125" style="41" hidden="1" customWidth="1"/>
    <col min="4" max="4" width="12.25390625" style="40" hidden="1" customWidth="1"/>
    <col min="5" max="6" width="9.125" style="41" hidden="1" customWidth="1"/>
    <col min="7" max="7" width="10.625" style="47" hidden="1" customWidth="1"/>
    <col min="8" max="8" width="9.125" style="41" customWidth="1"/>
    <col min="9" max="9" width="9.125" style="41" hidden="1" customWidth="1"/>
    <col min="10" max="10" width="9.125" style="689" hidden="1" customWidth="1"/>
    <col min="11" max="12" width="9.125" style="41" customWidth="1"/>
    <col min="13" max="16384" width="9.125" style="40" customWidth="1"/>
  </cols>
  <sheetData>
    <row r="1" spans="1:12" ht="17.25">
      <c r="A1" s="884" t="s">
        <v>832</v>
      </c>
      <c r="B1" s="884"/>
      <c r="C1" s="884"/>
      <c r="D1" s="874"/>
      <c r="E1" s="875"/>
      <c r="F1" s="875"/>
      <c r="G1" s="875"/>
      <c r="H1" s="875"/>
      <c r="I1" s="875"/>
      <c r="J1" s="875"/>
      <c r="K1" s="875"/>
      <c r="L1" s="875"/>
    </row>
    <row r="3" spans="1:12" ht="15">
      <c r="A3" s="885" t="s">
        <v>288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</row>
    <row r="4" ht="15">
      <c r="A4" s="478"/>
    </row>
    <row r="5" spans="2:12" ht="15">
      <c r="B5" s="886" t="s">
        <v>35</v>
      </c>
      <c r="C5" s="883"/>
      <c r="D5" s="883"/>
      <c r="E5" s="883"/>
      <c r="F5" s="883"/>
      <c r="G5" s="872"/>
      <c r="H5" s="872"/>
      <c r="I5" s="872"/>
      <c r="J5" s="872"/>
      <c r="K5" s="872"/>
      <c r="L5" s="872"/>
    </row>
    <row r="6" spans="1:12" ht="31.5">
      <c r="A6" s="33" t="s">
        <v>190</v>
      </c>
      <c r="B6" s="340" t="s">
        <v>464</v>
      </c>
      <c r="C6" s="741" t="s">
        <v>366</v>
      </c>
      <c r="D6" s="742" t="s">
        <v>191</v>
      </c>
      <c r="E6" s="743" t="s">
        <v>483</v>
      </c>
      <c r="F6" s="743" t="s">
        <v>484</v>
      </c>
      <c r="G6" s="744" t="s">
        <v>366</v>
      </c>
      <c r="H6" s="334" t="s">
        <v>529</v>
      </c>
      <c r="I6" s="743" t="s">
        <v>648</v>
      </c>
      <c r="J6" s="745" t="s">
        <v>484</v>
      </c>
      <c r="K6" s="751" t="s">
        <v>366</v>
      </c>
      <c r="L6" s="751" t="s">
        <v>675</v>
      </c>
    </row>
    <row r="7" spans="1:12" s="148" customFormat="1" ht="15">
      <c r="A7" s="146" t="s">
        <v>320</v>
      </c>
      <c r="B7" s="147" t="s">
        <v>321</v>
      </c>
      <c r="C7" s="476" t="s">
        <v>322</v>
      </c>
      <c r="D7" s="145" t="s">
        <v>322</v>
      </c>
      <c r="E7" s="135" t="s">
        <v>323</v>
      </c>
      <c r="F7" s="135" t="s">
        <v>482</v>
      </c>
      <c r="G7" s="622" t="s">
        <v>323</v>
      </c>
      <c r="H7" s="135" t="s">
        <v>322</v>
      </c>
      <c r="I7" s="135" t="s">
        <v>323</v>
      </c>
      <c r="J7" s="656" t="s">
        <v>482</v>
      </c>
      <c r="K7" s="476" t="s">
        <v>323</v>
      </c>
      <c r="L7" s="476" t="s">
        <v>482</v>
      </c>
    </row>
    <row r="8" spans="1:12" ht="14.25">
      <c r="A8" s="44" t="s">
        <v>439</v>
      </c>
      <c r="B8" s="45">
        <v>2500</v>
      </c>
      <c r="C8" s="41">
        <v>0</v>
      </c>
      <c r="D8" s="41">
        <f>B8+C8</f>
        <v>2500</v>
      </c>
      <c r="E8" s="41">
        <v>1062</v>
      </c>
      <c r="F8" s="41">
        <f>SUM(E8/D8)*100</f>
        <v>42.480000000000004</v>
      </c>
      <c r="G8" s="47">
        <v>0</v>
      </c>
      <c r="H8" s="527">
        <f aca="true" t="shared" si="0" ref="H8:H28">D8+G8</f>
        <v>2500</v>
      </c>
      <c r="I8" s="41">
        <v>1062</v>
      </c>
      <c r="J8" s="689">
        <f>SUM(I8/H8)*100</f>
        <v>42.480000000000004</v>
      </c>
      <c r="K8" s="41">
        <v>0</v>
      </c>
      <c r="L8" s="41">
        <f>H8+K8</f>
        <v>2500</v>
      </c>
    </row>
    <row r="9" spans="1:12" ht="14.25">
      <c r="A9" s="46" t="s">
        <v>245</v>
      </c>
      <c r="B9" s="45">
        <v>500</v>
      </c>
      <c r="C9" s="107">
        <v>0</v>
      </c>
      <c r="D9" s="45">
        <f aca="true" t="shared" si="1" ref="D9:D28">B9+C9</f>
        <v>500</v>
      </c>
      <c r="E9" s="45">
        <v>18</v>
      </c>
      <c r="F9" s="45">
        <f aca="true" t="shared" si="2" ref="F9:F28">SUM(E9/D9)*100</f>
        <v>3.5999999999999996</v>
      </c>
      <c r="G9" s="47">
        <v>0</v>
      </c>
      <c r="H9" s="527">
        <f t="shared" si="0"/>
        <v>500</v>
      </c>
      <c r="I9" s="45">
        <v>394</v>
      </c>
      <c r="J9" s="689">
        <f aca="true" t="shared" si="3" ref="J9:J28">SUM(I9/H9)*100</f>
        <v>78.8</v>
      </c>
      <c r="K9" s="41">
        <v>0</v>
      </c>
      <c r="L9" s="41">
        <f aca="true" t="shared" si="4" ref="L9:L28">H9+K9</f>
        <v>500</v>
      </c>
    </row>
    <row r="10" spans="1:12" ht="14.25">
      <c r="A10" s="46" t="s">
        <v>222</v>
      </c>
      <c r="B10" s="45">
        <v>0</v>
      </c>
      <c r="C10" s="107"/>
      <c r="D10" s="45"/>
      <c r="E10" s="45"/>
      <c r="F10" s="45"/>
      <c r="H10" s="527">
        <v>0</v>
      </c>
      <c r="I10" s="45"/>
      <c r="K10" s="41">
        <v>5869</v>
      </c>
      <c r="L10" s="47">
        <f t="shared" si="4"/>
        <v>5869</v>
      </c>
    </row>
    <row r="11" spans="1:12" ht="14.25">
      <c r="A11" s="46" t="s">
        <v>682</v>
      </c>
      <c r="B11" s="45">
        <v>0</v>
      </c>
      <c r="C11" s="107"/>
      <c r="D11" s="45"/>
      <c r="E11" s="45"/>
      <c r="F11" s="45"/>
      <c r="H11" s="527">
        <v>0</v>
      </c>
      <c r="I11" s="45"/>
      <c r="K11" s="41">
        <v>1516</v>
      </c>
      <c r="L11" s="47">
        <f t="shared" si="4"/>
        <v>1516</v>
      </c>
    </row>
    <row r="12" spans="1:12" ht="14.25">
      <c r="A12" s="46" t="s">
        <v>683</v>
      </c>
      <c r="B12" s="45">
        <v>0</v>
      </c>
      <c r="C12" s="107"/>
      <c r="D12" s="45"/>
      <c r="E12" s="45"/>
      <c r="F12" s="45"/>
      <c r="H12" s="527">
        <v>0</v>
      </c>
      <c r="I12" s="45"/>
      <c r="K12" s="45">
        <v>4379</v>
      </c>
      <c r="L12" s="45">
        <f t="shared" si="4"/>
        <v>4379</v>
      </c>
    </row>
    <row r="13" spans="1:12" ht="14.25">
      <c r="A13" s="46" t="s">
        <v>497</v>
      </c>
      <c r="B13" s="45">
        <v>0</v>
      </c>
      <c r="C13" s="107"/>
      <c r="D13" s="45"/>
      <c r="E13" s="45"/>
      <c r="F13" s="45"/>
      <c r="H13" s="527">
        <v>0</v>
      </c>
      <c r="I13" s="107">
        <v>382</v>
      </c>
      <c r="J13" s="691">
        <v>0</v>
      </c>
      <c r="K13" s="107">
        <v>468</v>
      </c>
      <c r="L13" s="107">
        <f t="shared" si="4"/>
        <v>468</v>
      </c>
    </row>
    <row r="14" spans="1:12" s="437" customFormat="1" ht="15">
      <c r="A14" s="435" t="s">
        <v>150</v>
      </c>
      <c r="B14" s="493">
        <f>SUM((B8:B8),SUM(B9:B9))</f>
        <v>3000</v>
      </c>
      <c r="C14" s="339">
        <v>0</v>
      </c>
      <c r="D14" s="339">
        <f t="shared" si="1"/>
        <v>3000</v>
      </c>
      <c r="E14" s="497">
        <f>SUM(E8:E9)</f>
        <v>1080</v>
      </c>
      <c r="F14" s="497">
        <f t="shared" si="2"/>
        <v>36</v>
      </c>
      <c r="G14" s="621">
        <f>SUM(G8:G9)</f>
        <v>0</v>
      </c>
      <c r="H14" s="339">
        <f t="shared" si="0"/>
        <v>3000</v>
      </c>
      <c r="I14" s="495">
        <f>SUM(I8:I13)</f>
        <v>1838</v>
      </c>
      <c r="J14" s="692">
        <f t="shared" si="3"/>
        <v>61.266666666666666</v>
      </c>
      <c r="K14" s="495">
        <f>SUM(K10:K13)</f>
        <v>12232</v>
      </c>
      <c r="L14" s="495">
        <f t="shared" si="4"/>
        <v>15232</v>
      </c>
    </row>
    <row r="15" spans="1:12" s="437" customFormat="1" ht="15">
      <c r="A15" s="435" t="s">
        <v>243</v>
      </c>
      <c r="B15" s="494">
        <v>14967</v>
      </c>
      <c r="C15" s="339">
        <v>20216</v>
      </c>
      <c r="D15" s="339">
        <f t="shared" si="1"/>
        <v>35183</v>
      </c>
      <c r="E15" s="339">
        <v>26974</v>
      </c>
      <c r="F15" s="339">
        <f t="shared" si="2"/>
        <v>76.66770883665407</v>
      </c>
      <c r="G15" s="623">
        <v>21245</v>
      </c>
      <c r="H15" s="495">
        <f t="shared" si="0"/>
        <v>56428</v>
      </c>
      <c r="I15" s="339">
        <v>44831</v>
      </c>
      <c r="J15" s="692">
        <f t="shared" si="3"/>
        <v>79.44814631034238</v>
      </c>
      <c r="K15" s="339">
        <v>14651</v>
      </c>
      <c r="L15" s="339">
        <f t="shared" si="4"/>
        <v>71079</v>
      </c>
    </row>
    <row r="16" spans="1:12" s="148" customFormat="1" ht="14.25">
      <c r="A16" s="507" t="s">
        <v>510</v>
      </c>
      <c r="B16" s="508">
        <v>0</v>
      </c>
      <c r="C16" s="509"/>
      <c r="D16" s="509">
        <v>0</v>
      </c>
      <c r="E16" s="509">
        <v>574</v>
      </c>
      <c r="F16" s="509">
        <v>0</v>
      </c>
      <c r="G16" s="624">
        <v>406</v>
      </c>
      <c r="H16" s="526">
        <f t="shared" si="0"/>
        <v>406</v>
      </c>
      <c r="I16" s="527">
        <v>574</v>
      </c>
      <c r="J16" s="693">
        <f t="shared" si="3"/>
        <v>141.3793103448276</v>
      </c>
      <c r="K16" s="527">
        <v>0</v>
      </c>
      <c r="L16" s="527">
        <f t="shared" si="4"/>
        <v>406</v>
      </c>
    </row>
    <row r="17" spans="1:12" s="437" customFormat="1" ht="15">
      <c r="A17" s="505" t="s">
        <v>511</v>
      </c>
      <c r="B17" s="506">
        <f>SUM(B16)</f>
        <v>0</v>
      </c>
      <c r="C17" s="497"/>
      <c r="D17" s="497">
        <f>SUM(D16)</f>
        <v>0</v>
      </c>
      <c r="E17" s="497">
        <f>SUM(E16)</f>
        <v>574</v>
      </c>
      <c r="F17" s="497">
        <f>SUM(F16)</f>
        <v>0</v>
      </c>
      <c r="G17" s="621">
        <f>SUM(G16)</f>
        <v>406</v>
      </c>
      <c r="H17" s="339">
        <f t="shared" si="0"/>
        <v>406</v>
      </c>
      <c r="I17" s="339">
        <f>SUM(I16)</f>
        <v>574</v>
      </c>
      <c r="J17" s="692">
        <f t="shared" si="3"/>
        <v>141.3793103448276</v>
      </c>
      <c r="K17" s="339">
        <f>SUM(K16)</f>
        <v>0</v>
      </c>
      <c r="L17" s="339">
        <f t="shared" si="4"/>
        <v>406</v>
      </c>
    </row>
    <row r="18" spans="1:8" ht="15">
      <c r="A18" s="51" t="s">
        <v>248</v>
      </c>
      <c r="D18" s="41"/>
      <c r="H18" s="527"/>
    </row>
    <row r="19" spans="1:12" ht="14.25">
      <c r="A19" s="40" t="s">
        <v>249</v>
      </c>
      <c r="B19" s="41">
        <v>196706</v>
      </c>
      <c r="C19" s="41">
        <v>0</v>
      </c>
      <c r="D19" s="41">
        <f t="shared" si="1"/>
        <v>196706</v>
      </c>
      <c r="E19" s="41">
        <v>66540</v>
      </c>
      <c r="F19" s="41">
        <f t="shared" si="2"/>
        <v>33.82713287850904</v>
      </c>
      <c r="G19" s="47">
        <v>23037</v>
      </c>
      <c r="H19" s="527">
        <f t="shared" si="0"/>
        <v>219743</v>
      </c>
      <c r="I19" s="41">
        <v>104849</v>
      </c>
      <c r="J19" s="689">
        <f t="shared" si="3"/>
        <v>47.714375429478984</v>
      </c>
      <c r="K19" s="41">
        <v>683</v>
      </c>
      <c r="L19" s="47">
        <f t="shared" si="4"/>
        <v>220426</v>
      </c>
    </row>
    <row r="20" spans="1:12" ht="14.25">
      <c r="A20" s="40" t="s">
        <v>443</v>
      </c>
      <c r="B20" s="41">
        <v>53125</v>
      </c>
      <c r="C20" s="41">
        <v>0</v>
      </c>
      <c r="D20" s="41">
        <f t="shared" si="1"/>
        <v>53125</v>
      </c>
      <c r="E20" s="41">
        <v>17550</v>
      </c>
      <c r="F20" s="41">
        <f t="shared" si="2"/>
        <v>33.035294117647055</v>
      </c>
      <c r="G20" s="47">
        <v>6152</v>
      </c>
      <c r="H20" s="527">
        <f t="shared" si="0"/>
        <v>59277</v>
      </c>
      <c r="I20" s="45">
        <v>27380</v>
      </c>
      <c r="J20" s="689">
        <f t="shared" si="3"/>
        <v>46.18992189213355</v>
      </c>
      <c r="K20" s="41">
        <v>184</v>
      </c>
      <c r="L20" s="47">
        <f t="shared" si="4"/>
        <v>59461</v>
      </c>
    </row>
    <row r="21" spans="1:12" ht="14.25">
      <c r="A21" s="40" t="s">
        <v>153</v>
      </c>
      <c r="B21" s="41">
        <v>82131</v>
      </c>
      <c r="C21" s="41">
        <v>0</v>
      </c>
      <c r="D21" s="41">
        <f t="shared" si="1"/>
        <v>82131</v>
      </c>
      <c r="E21" s="41">
        <v>25316</v>
      </c>
      <c r="F21" s="41">
        <f t="shared" si="2"/>
        <v>30.8239276278141</v>
      </c>
      <c r="G21" s="47">
        <v>13042</v>
      </c>
      <c r="H21" s="527">
        <f t="shared" si="0"/>
        <v>95173</v>
      </c>
      <c r="I21" s="45">
        <v>47747</v>
      </c>
      <c r="J21" s="689">
        <f t="shared" si="3"/>
        <v>50.168640265621555</v>
      </c>
      <c r="K21" s="41">
        <v>3426</v>
      </c>
      <c r="L21" s="41">
        <f t="shared" si="4"/>
        <v>98599</v>
      </c>
    </row>
    <row r="22" spans="1:12" ht="14.25">
      <c r="A22" s="40" t="s">
        <v>250</v>
      </c>
      <c r="B22" s="107">
        <v>5000</v>
      </c>
      <c r="C22" s="107">
        <v>0</v>
      </c>
      <c r="D22" s="107">
        <f t="shared" si="1"/>
        <v>5000</v>
      </c>
      <c r="E22" s="107">
        <v>537</v>
      </c>
      <c r="F22" s="107">
        <f t="shared" si="2"/>
        <v>10.74</v>
      </c>
      <c r="G22" s="619">
        <v>0</v>
      </c>
      <c r="H22" s="509">
        <f t="shared" si="0"/>
        <v>5000</v>
      </c>
      <c r="I22" s="107">
        <v>1085</v>
      </c>
      <c r="J22" s="691">
        <f t="shared" si="3"/>
        <v>21.7</v>
      </c>
      <c r="K22" s="107">
        <v>0</v>
      </c>
      <c r="L22" s="107">
        <f t="shared" si="4"/>
        <v>5000</v>
      </c>
    </row>
    <row r="23" spans="1:12" ht="14.25">
      <c r="A23" s="52" t="s">
        <v>64</v>
      </c>
      <c r="B23" s="41">
        <f>SUM(B19:B22)</f>
        <v>336962</v>
      </c>
      <c r="C23" s="41">
        <v>0</v>
      </c>
      <c r="D23" s="41">
        <f t="shared" si="1"/>
        <v>336962</v>
      </c>
      <c r="E23" s="41">
        <f>SUM(E19:E22)</f>
        <v>109943</v>
      </c>
      <c r="F23" s="41">
        <f t="shared" si="2"/>
        <v>32.62771469779975</v>
      </c>
      <c r="G23" s="47">
        <f>SUM(G19:G22)</f>
        <v>42231</v>
      </c>
      <c r="H23" s="527">
        <f t="shared" si="0"/>
        <v>379193</v>
      </c>
      <c r="I23" s="41">
        <f>SUM(I19:I22)</f>
        <v>181061</v>
      </c>
      <c r="J23" s="689">
        <f t="shared" si="3"/>
        <v>47.7490354516038</v>
      </c>
      <c r="K23" s="41">
        <f>SUM(K19:K22)</f>
        <v>4293</v>
      </c>
      <c r="L23" s="41">
        <f t="shared" si="4"/>
        <v>383486</v>
      </c>
    </row>
    <row r="24" spans="1:12" ht="14.25">
      <c r="A24" s="40" t="s">
        <v>251</v>
      </c>
      <c r="B24" s="41">
        <v>500</v>
      </c>
      <c r="C24" s="41">
        <v>0</v>
      </c>
      <c r="D24" s="41">
        <f t="shared" si="1"/>
        <v>500</v>
      </c>
      <c r="E24" s="41">
        <v>40</v>
      </c>
      <c r="F24" s="41">
        <f t="shared" si="2"/>
        <v>8</v>
      </c>
      <c r="G24" s="47">
        <v>0</v>
      </c>
      <c r="H24" s="527">
        <f t="shared" si="0"/>
        <v>500</v>
      </c>
      <c r="I24" s="45">
        <v>148</v>
      </c>
      <c r="J24" s="689">
        <f t="shared" si="3"/>
        <v>29.599999999999998</v>
      </c>
      <c r="K24" s="41">
        <v>0</v>
      </c>
      <c r="L24" s="41">
        <f t="shared" si="4"/>
        <v>500</v>
      </c>
    </row>
    <row r="25" spans="1:12" ht="14.25">
      <c r="A25" s="40" t="s">
        <v>252</v>
      </c>
      <c r="B25" s="41">
        <v>10750</v>
      </c>
      <c r="C25" s="107">
        <v>0</v>
      </c>
      <c r="D25" s="107">
        <f t="shared" si="1"/>
        <v>10750</v>
      </c>
      <c r="E25" s="107">
        <v>2013</v>
      </c>
      <c r="F25" s="107">
        <f t="shared" si="2"/>
        <v>18.725581395348836</v>
      </c>
      <c r="G25" s="47">
        <v>0</v>
      </c>
      <c r="H25" s="527">
        <f t="shared" si="0"/>
        <v>10750</v>
      </c>
      <c r="I25" s="41">
        <v>4420</v>
      </c>
      <c r="J25" s="691">
        <f t="shared" si="3"/>
        <v>41.116279069767444</v>
      </c>
      <c r="K25" s="41">
        <v>0</v>
      </c>
      <c r="L25" s="41">
        <f t="shared" si="4"/>
        <v>10750</v>
      </c>
    </row>
    <row r="26" spans="1:12" ht="14.25">
      <c r="A26" s="50" t="s">
        <v>253</v>
      </c>
      <c r="B26" s="49">
        <f>SUM(B24:B25)</f>
        <v>11250</v>
      </c>
      <c r="C26" s="338">
        <v>0</v>
      </c>
      <c r="D26" s="338">
        <f t="shared" si="1"/>
        <v>11250</v>
      </c>
      <c r="E26" s="338">
        <f>SUM(E24:E25)</f>
        <v>2053</v>
      </c>
      <c r="F26" s="338">
        <f t="shared" si="2"/>
        <v>18.24888888888889</v>
      </c>
      <c r="G26" s="625">
        <v>0</v>
      </c>
      <c r="H26" s="526">
        <f t="shared" si="0"/>
        <v>11250</v>
      </c>
      <c r="I26" s="338">
        <f>SUM(I24:I25)</f>
        <v>4568</v>
      </c>
      <c r="J26" s="693">
        <f t="shared" si="3"/>
        <v>40.60444444444444</v>
      </c>
      <c r="K26" s="338">
        <f>SUM(K24:K25)</f>
        <v>0</v>
      </c>
      <c r="L26" s="338">
        <f t="shared" si="4"/>
        <v>11250</v>
      </c>
    </row>
    <row r="27" spans="1:12" s="437" customFormat="1" ht="15">
      <c r="A27" s="496" t="s">
        <v>254</v>
      </c>
      <c r="B27" s="493">
        <f>B23+B26</f>
        <v>348212</v>
      </c>
      <c r="C27" s="339">
        <v>0</v>
      </c>
      <c r="D27" s="339">
        <f>B27+C27</f>
        <v>348212</v>
      </c>
      <c r="E27" s="339">
        <f>E23+E26</f>
        <v>111996</v>
      </c>
      <c r="F27" s="339">
        <f t="shared" si="2"/>
        <v>32.163164968467484</v>
      </c>
      <c r="G27" s="623">
        <f>G23+G26</f>
        <v>42231</v>
      </c>
      <c r="H27" s="495">
        <f t="shared" si="0"/>
        <v>390443</v>
      </c>
      <c r="I27" s="495">
        <f>I23+I26</f>
        <v>185629</v>
      </c>
      <c r="J27" s="692">
        <f t="shared" si="3"/>
        <v>47.54317531624335</v>
      </c>
      <c r="K27" s="495">
        <f>K23+K26</f>
        <v>4293</v>
      </c>
      <c r="L27" s="339">
        <f t="shared" si="4"/>
        <v>394736</v>
      </c>
    </row>
    <row r="28" spans="1:12" s="437" customFormat="1" ht="15">
      <c r="A28" s="496" t="s">
        <v>244</v>
      </c>
      <c r="B28" s="493">
        <f>SUM(B14+B15+B27)</f>
        <v>366179</v>
      </c>
      <c r="C28" s="339">
        <f>C14+C15+C27</f>
        <v>20216</v>
      </c>
      <c r="D28" s="339">
        <f t="shared" si="1"/>
        <v>386395</v>
      </c>
      <c r="E28" s="339">
        <f>E14+E15+E17+E27</f>
        <v>140624</v>
      </c>
      <c r="F28" s="339">
        <f t="shared" si="2"/>
        <v>36.393845676056884</v>
      </c>
      <c r="G28" s="621">
        <f>G14+G15+G17+G27</f>
        <v>63882</v>
      </c>
      <c r="H28" s="339">
        <f t="shared" si="0"/>
        <v>450277</v>
      </c>
      <c r="I28" s="339">
        <f>I14+I15+I17+I27</f>
        <v>232872</v>
      </c>
      <c r="J28" s="692">
        <f t="shared" si="3"/>
        <v>51.71749833991076</v>
      </c>
      <c r="K28" s="339">
        <f>K14+K15+K17+K27</f>
        <v>31176</v>
      </c>
      <c r="L28" s="339">
        <f t="shared" si="4"/>
        <v>481453</v>
      </c>
    </row>
    <row r="30" ht="14.25">
      <c r="A30" s="812" t="s">
        <v>827</v>
      </c>
    </row>
  </sheetData>
  <sheetProtection selectLockedCells="1" selectUnlockedCells="1"/>
  <mergeCells count="3">
    <mergeCell ref="A1:L1"/>
    <mergeCell ref="A3:L3"/>
    <mergeCell ref="B5:L5"/>
  </mergeCells>
  <printOptions horizontalCentered="1"/>
  <pageMargins left="0.7875" right="0.39375" top="0.32013888888888886" bottom="0.4" header="0.5118055555555555" footer="0.511805555555555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75" zoomScaleSheetLayoutView="75" workbookViewId="0" topLeftCell="A1">
      <selection activeCell="J3" sqref="J3"/>
    </sheetView>
  </sheetViews>
  <sheetFormatPr defaultColWidth="9.00390625" defaultRowHeight="12.75"/>
  <cols>
    <col min="1" max="1" width="20.25390625" style="53" customWidth="1"/>
    <col min="2" max="2" width="18.00390625" style="53" customWidth="1"/>
    <col min="3" max="3" width="10.375" style="53" bestFit="1" customWidth="1"/>
    <col min="4" max="4" width="7.875" style="53" bestFit="1" customWidth="1"/>
    <col min="5" max="5" width="9.875" style="53" customWidth="1"/>
    <col min="6" max="6" width="10.25390625" style="53" bestFit="1" customWidth="1"/>
    <col min="7" max="7" width="9.375" style="53" customWidth="1"/>
    <col min="8" max="8" width="9.00390625" style="53" customWidth="1"/>
    <col min="9" max="9" width="9.375" style="53" customWidth="1"/>
    <col min="10" max="10" width="9.25390625" style="53" bestFit="1" customWidth="1"/>
    <col min="11" max="14" width="9.375" style="53" customWidth="1"/>
    <col min="15" max="15" width="10.25390625" style="53" bestFit="1" customWidth="1"/>
    <col min="16" max="16" width="9.75390625" style="53" customWidth="1"/>
    <col min="17" max="16384" width="9.125" style="53" customWidth="1"/>
  </cols>
  <sheetData>
    <row r="1" spans="7:17" ht="12.75"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54"/>
    </row>
    <row r="2" spans="7:17" s="82" customFormat="1" ht="14.25">
      <c r="G2" s="474"/>
      <c r="H2" s="474"/>
      <c r="I2" s="474"/>
      <c r="J2" s="836" t="s">
        <v>0</v>
      </c>
      <c r="K2" s="836"/>
      <c r="L2" s="836"/>
      <c r="M2" s="836"/>
      <c r="N2" s="836"/>
      <c r="O2" s="836"/>
      <c r="P2" s="836"/>
      <c r="Q2" s="475"/>
    </row>
    <row r="4" spans="1:16" ht="15.75">
      <c r="A4" s="892" t="s">
        <v>289</v>
      </c>
      <c r="B4" s="892"/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</row>
    <row r="5" spans="1:16" ht="15.75">
      <c r="A5" s="55"/>
      <c r="B5" s="55"/>
      <c r="C5" s="891" t="s">
        <v>727</v>
      </c>
      <c r="D5" s="892"/>
      <c r="E5" s="892"/>
      <c r="F5" s="892"/>
      <c r="G5" s="892"/>
      <c r="H5" s="892"/>
      <c r="I5" s="892"/>
      <c r="J5" s="892"/>
      <c r="K5" s="892"/>
      <c r="L5" s="892"/>
      <c r="M5" s="55"/>
      <c r="N5" s="55"/>
      <c r="O5" s="55"/>
      <c r="P5" s="55"/>
    </row>
    <row r="6" spans="1:16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2.75">
      <c r="A7" s="57"/>
      <c r="B7" s="57"/>
      <c r="C7" s="57"/>
      <c r="D7" s="57"/>
      <c r="E7" s="57"/>
      <c r="F7" s="57"/>
      <c r="G7" s="57"/>
      <c r="I7" s="57"/>
      <c r="J7" s="57"/>
      <c r="K7" s="806" t="s">
        <v>35</v>
      </c>
      <c r="L7" s="806"/>
      <c r="M7" s="806"/>
      <c r="N7" s="806"/>
      <c r="O7" s="806"/>
      <c r="P7" s="806"/>
    </row>
    <row r="8" spans="1:16" ht="12.75">
      <c r="A8" s="58"/>
      <c r="B8" s="59"/>
      <c r="C8" s="798" t="s">
        <v>279</v>
      </c>
      <c r="D8" s="798"/>
      <c r="E8" s="798"/>
      <c r="F8" s="798"/>
      <c r="G8" s="835" t="s">
        <v>280</v>
      </c>
      <c r="H8" s="835" t="s">
        <v>290</v>
      </c>
      <c r="I8" s="835" t="s">
        <v>291</v>
      </c>
      <c r="J8" s="835" t="s">
        <v>292</v>
      </c>
      <c r="K8" s="835" t="s">
        <v>293</v>
      </c>
      <c r="L8" s="835" t="s">
        <v>294</v>
      </c>
      <c r="M8" s="835" t="s">
        <v>295</v>
      </c>
      <c r="N8" s="835" t="s">
        <v>296</v>
      </c>
      <c r="O8" s="835" t="s">
        <v>297</v>
      </c>
      <c r="P8" s="835" t="s">
        <v>122</v>
      </c>
    </row>
    <row r="9" spans="1:16" ht="12.75">
      <c r="A9" s="60" t="s">
        <v>255</v>
      </c>
      <c r="B9" s="61"/>
      <c r="C9" s="62" t="s">
        <v>256</v>
      </c>
      <c r="D9" s="62" t="s">
        <v>257</v>
      </c>
      <c r="E9" s="63" t="s">
        <v>258</v>
      </c>
      <c r="F9" s="62" t="s">
        <v>259</v>
      </c>
      <c r="G9" s="835"/>
      <c r="H9" s="835"/>
      <c r="I9" s="835"/>
      <c r="J9" s="835"/>
      <c r="K9" s="835"/>
      <c r="L9" s="835"/>
      <c r="M9" s="835"/>
      <c r="N9" s="835"/>
      <c r="O9" s="835"/>
      <c r="P9" s="835"/>
    </row>
    <row r="10" spans="1:16" ht="12" customHeight="1">
      <c r="A10" s="64" t="s">
        <v>260</v>
      </c>
      <c r="B10" s="65"/>
      <c r="C10" s="66">
        <v>126496</v>
      </c>
      <c r="D10" s="66">
        <v>0</v>
      </c>
      <c r="E10" s="66">
        <v>126496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f>SUM(G10:O10)</f>
        <v>0</v>
      </c>
    </row>
    <row r="11" spans="1:16" ht="12" customHeight="1">
      <c r="A11" s="67" t="s">
        <v>261</v>
      </c>
      <c r="B11" s="68"/>
      <c r="C11" s="69">
        <v>20508</v>
      </c>
      <c r="D11" s="69">
        <v>0</v>
      </c>
      <c r="E11" s="69">
        <v>20508</v>
      </c>
      <c r="F11" s="66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6">
        <f>SUM(G11:O11)</f>
        <v>0</v>
      </c>
    </row>
    <row r="12" spans="1:16" ht="12" customHeight="1">
      <c r="A12" s="67" t="s">
        <v>298</v>
      </c>
      <c r="B12" s="68"/>
      <c r="C12" s="69">
        <v>98001</v>
      </c>
      <c r="D12" s="69">
        <v>0</v>
      </c>
      <c r="E12" s="69">
        <v>0</v>
      </c>
      <c r="F12" s="66">
        <v>98001</v>
      </c>
      <c r="G12" s="69">
        <v>0</v>
      </c>
      <c r="H12" s="69">
        <v>10121</v>
      </c>
      <c r="I12" s="69">
        <v>13520</v>
      </c>
      <c r="J12" s="69">
        <v>13520</v>
      </c>
      <c r="K12" s="69">
        <v>13520</v>
      </c>
      <c r="L12" s="69">
        <v>13520</v>
      </c>
      <c r="M12" s="69">
        <v>13520</v>
      </c>
      <c r="N12" s="69">
        <v>13520</v>
      </c>
      <c r="O12" s="69">
        <v>6760</v>
      </c>
      <c r="P12" s="66">
        <f>SUM(G12:O12)</f>
        <v>98001</v>
      </c>
    </row>
    <row r="13" spans="1:16" ht="12.75">
      <c r="A13" s="70" t="s">
        <v>262</v>
      </c>
      <c r="B13" s="71"/>
      <c r="C13" s="72">
        <f aca="true" t="shared" si="0" ref="C13:P13">SUM(C10:C12)</f>
        <v>245005</v>
      </c>
      <c r="D13" s="72">
        <f t="shared" si="0"/>
        <v>0</v>
      </c>
      <c r="E13" s="72">
        <f t="shared" si="0"/>
        <v>147004</v>
      </c>
      <c r="F13" s="72">
        <f t="shared" si="0"/>
        <v>98001</v>
      </c>
      <c r="G13" s="72">
        <f t="shared" si="0"/>
        <v>0</v>
      </c>
      <c r="H13" s="72">
        <f t="shared" si="0"/>
        <v>10121</v>
      </c>
      <c r="I13" s="72">
        <f t="shared" si="0"/>
        <v>13520</v>
      </c>
      <c r="J13" s="72">
        <f t="shared" si="0"/>
        <v>13520</v>
      </c>
      <c r="K13" s="72">
        <f t="shared" si="0"/>
        <v>13520</v>
      </c>
      <c r="L13" s="72">
        <f t="shared" si="0"/>
        <v>13520</v>
      </c>
      <c r="M13" s="72">
        <f t="shared" si="0"/>
        <v>13520</v>
      </c>
      <c r="N13" s="72">
        <f t="shared" si="0"/>
        <v>13520</v>
      </c>
      <c r="O13" s="72">
        <f t="shared" si="0"/>
        <v>6760</v>
      </c>
      <c r="P13" s="72">
        <f t="shared" si="0"/>
        <v>98001</v>
      </c>
    </row>
    <row r="14" spans="1:16" ht="12.75">
      <c r="A14" s="73" t="s">
        <v>263</v>
      </c>
      <c r="B14" s="74"/>
      <c r="C14" s="75">
        <v>625000</v>
      </c>
      <c r="D14" s="76">
        <v>0</v>
      </c>
      <c r="E14" s="75">
        <v>184982</v>
      </c>
      <c r="F14" s="66">
        <f>SUM(C14+D14-E14)</f>
        <v>440018</v>
      </c>
      <c r="G14" s="75">
        <v>110104</v>
      </c>
      <c r="H14" s="75">
        <v>110104</v>
      </c>
      <c r="I14" s="75">
        <v>110104</v>
      </c>
      <c r="J14" s="75">
        <v>109706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f>SUM(G14:O14)</f>
        <v>440018</v>
      </c>
    </row>
    <row r="15" spans="1:16" ht="12.75">
      <c r="A15" s="73" t="s">
        <v>264</v>
      </c>
      <c r="B15" s="74"/>
      <c r="C15" s="75">
        <v>895000</v>
      </c>
      <c r="D15" s="76">
        <v>0</v>
      </c>
      <c r="E15" s="75">
        <v>895000</v>
      </c>
      <c r="F15" s="77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f>SUM(G15:O15)</f>
        <v>0</v>
      </c>
    </row>
    <row r="16" spans="1:16" s="82" customFormat="1" ht="12.75">
      <c r="A16" s="78" t="s">
        <v>265</v>
      </c>
      <c r="B16" s="79"/>
      <c r="C16" s="80">
        <f>SUM(C13:C15)</f>
        <v>1765005</v>
      </c>
      <c r="D16" s="81">
        <f>SUM(D13:D14)</f>
        <v>0</v>
      </c>
      <c r="E16" s="80">
        <f>SUM(E13:E15)</f>
        <v>1226986</v>
      </c>
      <c r="F16" s="81">
        <f>SUM(C16-E16)</f>
        <v>538019</v>
      </c>
      <c r="G16" s="80">
        <f aca="true" t="shared" si="1" ref="G16:P16">SUM(G13:G15)</f>
        <v>110104</v>
      </c>
      <c r="H16" s="80">
        <f t="shared" si="1"/>
        <v>120225</v>
      </c>
      <c r="I16" s="80">
        <f t="shared" si="1"/>
        <v>123624</v>
      </c>
      <c r="J16" s="80">
        <f t="shared" si="1"/>
        <v>123226</v>
      </c>
      <c r="K16" s="80">
        <f t="shared" si="1"/>
        <v>13520</v>
      </c>
      <c r="L16" s="80">
        <f t="shared" si="1"/>
        <v>13520</v>
      </c>
      <c r="M16" s="80">
        <f t="shared" si="1"/>
        <v>13520</v>
      </c>
      <c r="N16" s="80">
        <f t="shared" si="1"/>
        <v>13520</v>
      </c>
      <c r="O16" s="80">
        <f t="shared" si="1"/>
        <v>6760</v>
      </c>
      <c r="P16" s="80">
        <f t="shared" si="1"/>
        <v>538019</v>
      </c>
    </row>
    <row r="17" spans="1:16" s="82" customFormat="1" ht="25.5">
      <c r="A17" s="78" t="s">
        <v>299</v>
      </c>
      <c r="B17" s="79"/>
      <c r="C17" s="80"/>
      <c r="D17" s="81"/>
      <c r="E17" s="83">
        <v>52500</v>
      </c>
      <c r="F17" s="81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s="82" customFormat="1" ht="12.75">
      <c r="A18" s="84"/>
      <c r="B18" s="84"/>
      <c r="C18" s="85"/>
      <c r="D18" s="86"/>
      <c r="E18" s="87"/>
      <c r="F18" s="86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s="82" customFormat="1" ht="12.75" customHeight="1" hidden="1">
      <c r="A19" s="893" t="s">
        <v>674</v>
      </c>
      <c r="B19" s="893"/>
      <c r="C19" s="893"/>
      <c r="D19" s="893"/>
      <c r="E19" s="893"/>
      <c r="F19" s="893"/>
      <c r="G19" s="893"/>
      <c r="H19" s="893"/>
      <c r="I19" s="893"/>
      <c r="J19" s="893"/>
      <c r="K19" s="893"/>
      <c r="L19" s="893"/>
      <c r="M19" s="893"/>
      <c r="N19" s="893"/>
      <c r="O19" s="893"/>
      <c r="P19" s="893"/>
    </row>
    <row r="20" spans="1:16" s="82" customFormat="1" ht="14.25" customHeight="1" hidden="1">
      <c r="A20" s="861" t="s">
        <v>673</v>
      </c>
      <c r="B20" s="830"/>
      <c r="C20" s="831">
        <v>788330</v>
      </c>
      <c r="D20" s="832"/>
      <c r="E20" s="833"/>
      <c r="F20" s="86"/>
      <c r="G20" s="85"/>
      <c r="H20" s="85"/>
      <c r="I20" s="85"/>
      <c r="J20" s="85"/>
      <c r="K20" s="85"/>
      <c r="L20" s="85"/>
      <c r="M20" s="85"/>
      <c r="N20" s="85"/>
      <c r="O20" s="85"/>
      <c r="P20" s="85"/>
    </row>
    <row r="21" spans="1:16" s="82" customFormat="1" ht="12.75">
      <c r="A21" s="84"/>
      <c r="B21" s="84"/>
      <c r="C21" s="85"/>
      <c r="D21" s="86"/>
      <c r="E21" s="87"/>
      <c r="F21" s="86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1:16" ht="18" customHeight="1">
      <c r="A22" s="88"/>
      <c r="B22" s="88"/>
      <c r="C22" s="89"/>
      <c r="D22" s="89"/>
      <c r="E22" s="89"/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7" s="82" customFormat="1" ht="12.75">
      <c r="A23" s="888" t="s">
        <v>266</v>
      </c>
      <c r="B23" s="888"/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4"/>
    </row>
    <row r="24" spans="1:17" s="82" customFormat="1" ht="35.25" customHeight="1">
      <c r="A24" s="804" t="s">
        <v>267</v>
      </c>
      <c r="B24" s="805"/>
      <c r="C24" s="887">
        <v>699561</v>
      </c>
      <c r="D24" s="887"/>
      <c r="E24" s="887"/>
      <c r="F24" s="887"/>
      <c r="G24" s="80">
        <f>SUM(C24)*1.03</f>
        <v>720547.8300000001</v>
      </c>
      <c r="H24" s="80">
        <f aca="true" t="shared" si="2" ref="H24:P24">SUM(G24)*1.03</f>
        <v>742164.2649000001</v>
      </c>
      <c r="I24" s="80">
        <f t="shared" si="2"/>
        <v>764429.1928470001</v>
      </c>
      <c r="J24" s="80">
        <f t="shared" si="2"/>
        <v>787362.0686324101</v>
      </c>
      <c r="K24" s="80">
        <f t="shared" si="2"/>
        <v>810982.9306913825</v>
      </c>
      <c r="L24" s="80">
        <f t="shared" si="2"/>
        <v>835312.418612124</v>
      </c>
      <c r="M24" s="80">
        <f t="shared" si="2"/>
        <v>860371.7911704878</v>
      </c>
      <c r="N24" s="80">
        <f t="shared" si="2"/>
        <v>886182.9449056024</v>
      </c>
      <c r="O24" s="80">
        <f t="shared" si="2"/>
        <v>912768.4332527705</v>
      </c>
      <c r="P24" s="80">
        <f t="shared" si="2"/>
        <v>940151.4862503536</v>
      </c>
      <c r="Q24" s="85"/>
    </row>
    <row r="25" spans="1:17" s="82" customFormat="1" ht="27" customHeight="1">
      <c r="A25" s="889" t="s">
        <v>268</v>
      </c>
      <c r="B25" s="890"/>
      <c r="C25" s="803">
        <f>SUM(C24)/2</f>
        <v>349780.5</v>
      </c>
      <c r="D25" s="803"/>
      <c r="E25" s="803"/>
      <c r="F25" s="803"/>
      <c r="G25" s="81">
        <f>SUM(G24)/2</f>
        <v>360273.91500000004</v>
      </c>
      <c r="H25" s="81">
        <f aca="true" t="shared" si="3" ref="H25:P25">SUM(H24)/2</f>
        <v>371082.13245000003</v>
      </c>
      <c r="I25" s="81">
        <f t="shared" si="3"/>
        <v>382214.59642350004</v>
      </c>
      <c r="J25" s="81">
        <f t="shared" si="3"/>
        <v>393681.03431620507</v>
      </c>
      <c r="K25" s="81">
        <f t="shared" si="3"/>
        <v>405491.46534569125</v>
      </c>
      <c r="L25" s="81">
        <f t="shared" si="3"/>
        <v>417656.209306062</v>
      </c>
      <c r="M25" s="81">
        <f t="shared" si="3"/>
        <v>430185.8955852439</v>
      </c>
      <c r="N25" s="81">
        <f t="shared" si="3"/>
        <v>443091.4724528012</v>
      </c>
      <c r="O25" s="81">
        <f t="shared" si="3"/>
        <v>456384.2166263852</v>
      </c>
      <c r="P25" s="81">
        <f t="shared" si="3"/>
        <v>470075.7431251768</v>
      </c>
      <c r="Q25" s="91"/>
    </row>
    <row r="26" spans="1:17" s="82" customFormat="1" ht="27" customHeight="1">
      <c r="A26" s="92"/>
      <c r="B26" s="92"/>
      <c r="C26" s="91"/>
      <c r="D26" s="91"/>
      <c r="E26" s="91"/>
      <c r="F26" s="91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91"/>
    </row>
    <row r="27" spans="1:16" ht="12.75">
      <c r="A27" s="811" t="s">
        <v>269</v>
      </c>
      <c r="B27" s="811"/>
      <c r="C27" s="811"/>
      <c r="D27" s="811"/>
      <c r="E27" s="811"/>
      <c r="F27" s="811"/>
      <c r="G27" s="811"/>
      <c r="H27" s="811"/>
      <c r="I27" s="811"/>
      <c r="J27" s="811"/>
      <c r="K27" s="93"/>
      <c r="L27" s="93"/>
      <c r="M27" s="93"/>
      <c r="N27" s="93"/>
      <c r="O27" s="93"/>
      <c r="P27" s="93"/>
    </row>
    <row r="28" spans="1:15" ht="12.75">
      <c r="A28" s="223" t="s">
        <v>190</v>
      </c>
      <c r="B28" s="224"/>
      <c r="C28" s="224"/>
      <c r="D28" s="224"/>
      <c r="E28" s="224"/>
      <c r="F28" s="226" t="s">
        <v>270</v>
      </c>
      <c r="G28" s="227" t="s">
        <v>271</v>
      </c>
      <c r="H28" s="227" t="s">
        <v>272</v>
      </c>
      <c r="I28" s="227" t="s">
        <v>273</v>
      </c>
      <c r="J28" s="227" t="s">
        <v>385</v>
      </c>
      <c r="K28" s="228" t="s">
        <v>386</v>
      </c>
      <c r="L28" s="228" t="s">
        <v>387</v>
      </c>
      <c r="M28" s="235" t="s">
        <v>388</v>
      </c>
      <c r="N28" s="236" t="s">
        <v>389</v>
      </c>
      <c r="O28" s="236" t="s">
        <v>274</v>
      </c>
    </row>
    <row r="29" spans="1:16" s="231" customFormat="1" ht="12.75">
      <c r="A29" s="230" t="s">
        <v>300</v>
      </c>
      <c r="F29" s="232">
        <v>1907</v>
      </c>
      <c r="G29" s="232">
        <v>1908</v>
      </c>
      <c r="H29" s="232">
        <v>1907</v>
      </c>
      <c r="I29" s="232">
        <v>1908</v>
      </c>
      <c r="J29" s="232">
        <v>1907</v>
      </c>
      <c r="K29" s="233">
        <v>1908</v>
      </c>
      <c r="L29" s="233">
        <v>1907</v>
      </c>
      <c r="M29" s="233">
        <v>1908</v>
      </c>
      <c r="N29" s="233">
        <v>1908</v>
      </c>
      <c r="O29" s="233">
        <f>SUM(F29:N29)</f>
        <v>17168</v>
      </c>
      <c r="P29" s="234"/>
    </row>
    <row r="30" spans="1:16" ht="12.75">
      <c r="A30" s="95" t="s">
        <v>275</v>
      </c>
      <c r="B30" s="96"/>
      <c r="C30" s="97"/>
      <c r="D30" s="97"/>
      <c r="E30" s="97"/>
      <c r="F30" s="98"/>
      <c r="G30" s="98" t="s">
        <v>276</v>
      </c>
      <c r="H30" s="98"/>
      <c r="I30" s="807" t="s">
        <v>444</v>
      </c>
      <c r="J30" s="808"/>
      <c r="K30" s="98"/>
      <c r="L30" s="229"/>
      <c r="M30" s="94"/>
      <c r="N30" s="94"/>
      <c r="O30" s="94"/>
      <c r="P30" s="94"/>
    </row>
    <row r="31" spans="1:16" ht="12.75">
      <c r="A31" s="58" t="s">
        <v>277</v>
      </c>
      <c r="B31" s="97"/>
      <c r="C31" s="97"/>
      <c r="D31" s="97"/>
      <c r="E31" s="97"/>
      <c r="F31" s="99"/>
      <c r="G31" s="99" t="s">
        <v>278</v>
      </c>
      <c r="H31" s="99"/>
      <c r="I31" s="809" t="s">
        <v>444</v>
      </c>
      <c r="J31" s="810"/>
      <c r="K31" s="99"/>
      <c r="L31" s="100"/>
      <c r="M31" s="101"/>
      <c r="N31" s="101"/>
      <c r="O31" s="101"/>
      <c r="P31" s="101"/>
    </row>
    <row r="32" spans="2:17" ht="12.75">
      <c r="B32" s="225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3:16" ht="12.75">
      <c r="M33" s="94"/>
      <c r="N33" s="94"/>
      <c r="O33" s="94"/>
      <c r="P33" s="94"/>
    </row>
    <row r="34" ht="13.5">
      <c r="A34" s="812" t="s">
        <v>827</v>
      </c>
    </row>
  </sheetData>
  <mergeCells count="27">
    <mergeCell ref="A4:P4"/>
    <mergeCell ref="I30:J30"/>
    <mergeCell ref="I31:J31"/>
    <mergeCell ref="M8:M9"/>
    <mergeCell ref="N8:N9"/>
    <mergeCell ref="O8:O9"/>
    <mergeCell ref="A27:J27"/>
    <mergeCell ref="C25:F25"/>
    <mergeCell ref="A24:B24"/>
    <mergeCell ref="C8:F8"/>
    <mergeCell ref="G1:P1"/>
    <mergeCell ref="G8:G9"/>
    <mergeCell ref="L8:L9"/>
    <mergeCell ref="P8:P9"/>
    <mergeCell ref="H8:H9"/>
    <mergeCell ref="I8:I9"/>
    <mergeCell ref="J2:P2"/>
    <mergeCell ref="J8:J9"/>
    <mergeCell ref="K7:P7"/>
    <mergeCell ref="K8:K9"/>
    <mergeCell ref="C24:F24"/>
    <mergeCell ref="A23:P23"/>
    <mergeCell ref="A25:B25"/>
    <mergeCell ref="C5:L5"/>
    <mergeCell ref="A19:P19"/>
    <mergeCell ref="A20:B20"/>
    <mergeCell ref="C20:E20"/>
  </mergeCells>
  <printOptions horizontalCentered="1"/>
  <pageMargins left="0.16" right="0.17" top="0.7480314960629921" bottom="0.1968503937007874" header="0.3149606299212598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9"/>
  <dimension ref="A1:Y51"/>
  <sheetViews>
    <sheetView view="pageBreakPreview" zoomScale="75" zoomScaleSheetLayoutView="75" workbookViewId="0" topLeftCell="A1">
      <selection activeCell="A2" sqref="A2"/>
    </sheetView>
  </sheetViews>
  <sheetFormatPr defaultColWidth="9.00390625" defaultRowHeight="12.75"/>
  <cols>
    <col min="1" max="1" width="34.00390625" style="149" bestFit="1" customWidth="1"/>
    <col min="2" max="2" width="12.125" style="149" customWidth="1"/>
    <col min="3" max="4" width="11.125" style="149" hidden="1" customWidth="1"/>
    <col min="5" max="6" width="11.125" style="449" hidden="1" customWidth="1"/>
    <col min="7" max="7" width="11.125" style="642" hidden="1" customWidth="1"/>
    <col min="8" max="8" width="14.00390625" style="449" bestFit="1" customWidth="1"/>
    <col min="9" max="10" width="11.125" style="449" hidden="1" customWidth="1"/>
    <col min="11" max="11" width="11.125" style="449" customWidth="1"/>
    <col min="12" max="12" width="14.00390625" style="449" bestFit="1" customWidth="1"/>
    <col min="13" max="13" width="1.75390625" style="149" customWidth="1"/>
    <col min="14" max="14" width="33.25390625" style="372" bestFit="1" customWidth="1"/>
    <col min="15" max="15" width="12.25390625" style="149" customWidth="1"/>
    <col min="16" max="16" width="10.625" style="449" hidden="1" customWidth="1"/>
    <col min="17" max="17" width="12.125" style="149" hidden="1" customWidth="1"/>
    <col min="18" max="18" width="9.125" style="449" hidden="1" customWidth="1"/>
    <col min="19" max="19" width="9.125" style="342" hidden="1" customWidth="1"/>
    <col min="20" max="20" width="11.125" style="342" hidden="1" customWidth="1"/>
    <col min="21" max="21" width="15.75390625" style="342" bestFit="1" customWidth="1"/>
    <col min="22" max="22" width="10.625" style="342" hidden="1" customWidth="1"/>
    <col min="23" max="23" width="9.125" style="703" hidden="1" customWidth="1"/>
    <col min="24" max="24" width="10.00390625" style="342" customWidth="1"/>
    <col min="25" max="25" width="15.75390625" style="342" bestFit="1" customWidth="1"/>
    <col min="26" max="16384" width="9.125" style="149" customWidth="1"/>
  </cols>
  <sheetData>
    <row r="1" spans="1:25" ht="17.25" customHeight="1">
      <c r="A1" s="799" t="s">
        <v>1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875"/>
      <c r="Q1" s="875"/>
      <c r="R1" s="875"/>
      <c r="S1" s="875"/>
      <c r="T1" s="875"/>
      <c r="U1" s="875"/>
      <c r="V1" s="875"/>
      <c r="W1" s="875"/>
      <c r="X1" s="875"/>
      <c r="Y1" s="875"/>
    </row>
    <row r="2" spans="1:18" ht="15">
      <c r="A2" s="189"/>
      <c r="B2" s="342"/>
      <c r="C2" s="342"/>
      <c r="D2" s="342"/>
      <c r="E2" s="342"/>
      <c r="F2" s="342"/>
      <c r="G2" s="633"/>
      <c r="H2" s="342"/>
      <c r="I2" s="342"/>
      <c r="J2" s="342"/>
      <c r="K2" s="342"/>
      <c r="L2" s="342"/>
      <c r="M2" s="342"/>
      <c r="N2" s="190"/>
      <c r="O2" s="342"/>
      <c r="P2" s="342"/>
      <c r="Q2" s="189"/>
      <c r="R2" s="342"/>
    </row>
    <row r="3" spans="1:25" ht="30.75" customHeight="1">
      <c r="A3" s="800" t="s">
        <v>421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75"/>
      <c r="Q3" s="875"/>
      <c r="R3" s="875"/>
      <c r="S3" s="875"/>
      <c r="T3" s="875"/>
      <c r="U3" s="875"/>
      <c r="V3" s="875"/>
      <c r="W3" s="875"/>
      <c r="X3" s="875"/>
      <c r="Y3" s="875"/>
    </row>
    <row r="4" spans="1:18" ht="15">
      <c r="A4" s="189"/>
      <c r="B4" s="189"/>
      <c r="C4" s="189"/>
      <c r="D4" s="189"/>
      <c r="E4" s="342"/>
      <c r="F4" s="342"/>
      <c r="G4" s="633"/>
      <c r="H4" s="342"/>
      <c r="I4" s="342"/>
      <c r="J4" s="342"/>
      <c r="K4" s="342"/>
      <c r="L4" s="342"/>
      <c r="M4" s="189"/>
      <c r="N4" s="190"/>
      <c r="O4" s="189"/>
      <c r="P4" s="342"/>
      <c r="Q4" s="189"/>
      <c r="R4" s="342"/>
    </row>
    <row r="5" spans="1:25" ht="16.5" customHeight="1">
      <c r="A5" s="189"/>
      <c r="B5" s="342"/>
      <c r="C5" s="342"/>
      <c r="D5" s="342"/>
      <c r="E5" s="342"/>
      <c r="F5" s="342"/>
      <c r="G5" s="633"/>
      <c r="H5" s="342"/>
      <c r="I5" s="342"/>
      <c r="J5" s="342"/>
      <c r="K5" s="342"/>
      <c r="L5" s="342"/>
      <c r="M5" s="342"/>
      <c r="N5" s="801" t="s">
        <v>35</v>
      </c>
      <c r="O5" s="801"/>
      <c r="P5" s="872"/>
      <c r="Q5" s="872"/>
      <c r="R5" s="872"/>
      <c r="S5" s="872"/>
      <c r="T5" s="872"/>
      <c r="U5" s="872"/>
      <c r="V5" s="872"/>
      <c r="W5" s="872"/>
      <c r="X5" s="872"/>
      <c r="Y5" s="872"/>
    </row>
    <row r="6" spans="1:25" ht="15">
      <c r="A6" s="343" t="s">
        <v>320</v>
      </c>
      <c r="B6" s="344" t="s">
        <v>321</v>
      </c>
      <c r="C6" s="344" t="s">
        <v>322</v>
      </c>
      <c r="D6" s="344" t="s">
        <v>322</v>
      </c>
      <c r="E6" s="344" t="s">
        <v>323</v>
      </c>
      <c r="F6" s="482" t="s">
        <v>482</v>
      </c>
      <c r="G6" s="634" t="s">
        <v>323</v>
      </c>
      <c r="H6" s="482" t="s">
        <v>322</v>
      </c>
      <c r="I6" s="344" t="s">
        <v>323</v>
      </c>
      <c r="J6" s="482" t="s">
        <v>482</v>
      </c>
      <c r="K6" s="368" t="s">
        <v>323</v>
      </c>
      <c r="L6" s="344" t="s">
        <v>482</v>
      </c>
      <c r="M6" s="368"/>
      <c r="N6" s="343" t="s">
        <v>320</v>
      </c>
      <c r="O6" s="344" t="s">
        <v>321</v>
      </c>
      <c r="P6" s="344" t="s">
        <v>322</v>
      </c>
      <c r="Q6" s="343" t="s">
        <v>322</v>
      </c>
      <c r="R6" s="344" t="s">
        <v>323</v>
      </c>
      <c r="S6" s="482" t="s">
        <v>482</v>
      </c>
      <c r="T6" s="529" t="s">
        <v>323</v>
      </c>
      <c r="U6" s="344" t="s">
        <v>322</v>
      </c>
      <c r="V6" s="344" t="s">
        <v>323</v>
      </c>
      <c r="W6" s="704" t="s">
        <v>482</v>
      </c>
      <c r="X6" s="754" t="s">
        <v>323</v>
      </c>
      <c r="Y6" s="755" t="s">
        <v>482</v>
      </c>
    </row>
    <row r="7" spans="1:25" s="341" customFormat="1" ht="30.75" customHeight="1">
      <c r="A7" s="345" t="s">
        <v>328</v>
      </c>
      <c r="B7" s="346" t="s">
        <v>464</v>
      </c>
      <c r="C7" s="346" t="s">
        <v>366</v>
      </c>
      <c r="D7" s="347" t="s">
        <v>191</v>
      </c>
      <c r="E7" s="485" t="s">
        <v>486</v>
      </c>
      <c r="F7" s="484" t="s">
        <v>192</v>
      </c>
      <c r="G7" s="635" t="s">
        <v>48</v>
      </c>
      <c r="H7" s="484" t="s">
        <v>529</v>
      </c>
      <c r="I7" s="485" t="s">
        <v>649</v>
      </c>
      <c r="J7" s="484" t="s">
        <v>192</v>
      </c>
      <c r="K7" s="746" t="s">
        <v>366</v>
      </c>
      <c r="L7" s="485" t="s">
        <v>675</v>
      </c>
      <c r="M7" s="362"/>
      <c r="N7" s="345" t="s">
        <v>330</v>
      </c>
      <c r="O7" s="346" t="s">
        <v>329</v>
      </c>
      <c r="P7" s="346" t="s">
        <v>366</v>
      </c>
      <c r="Q7" s="347" t="s">
        <v>191</v>
      </c>
      <c r="R7" s="485" t="s">
        <v>486</v>
      </c>
      <c r="S7" s="498" t="s">
        <v>192</v>
      </c>
      <c r="T7" s="530" t="s">
        <v>48</v>
      </c>
      <c r="U7" s="498" t="s">
        <v>529</v>
      </c>
      <c r="V7" s="498" t="s">
        <v>649</v>
      </c>
      <c r="W7" s="705" t="s">
        <v>192</v>
      </c>
      <c r="X7" s="756" t="s">
        <v>366</v>
      </c>
      <c r="Y7" s="347" t="s">
        <v>675</v>
      </c>
    </row>
    <row r="8" spans="1:25" ht="15">
      <c r="A8" s="282" t="s">
        <v>52</v>
      </c>
      <c r="B8" s="348">
        <v>156322</v>
      </c>
      <c r="C8" s="348">
        <v>0</v>
      </c>
      <c r="D8" s="348">
        <f>B8+C8</f>
        <v>156322</v>
      </c>
      <c r="E8" s="348">
        <v>70443</v>
      </c>
      <c r="F8" s="483">
        <f>SUM(E8/D8)*100</f>
        <v>45.062755082458004</v>
      </c>
      <c r="G8" s="636">
        <v>73895</v>
      </c>
      <c r="H8" s="528">
        <f>D8+G8</f>
        <v>230217</v>
      </c>
      <c r="I8" s="363">
        <v>217590</v>
      </c>
      <c r="J8" s="528">
        <f>SUM(I8/H8)*100</f>
        <v>94.5151748133283</v>
      </c>
      <c r="K8" s="363">
        <v>174567</v>
      </c>
      <c r="L8" s="348">
        <f>H8+K8</f>
        <v>404784</v>
      </c>
      <c r="M8" s="363"/>
      <c r="N8" s="282" t="s">
        <v>151</v>
      </c>
      <c r="O8" s="348">
        <v>345173</v>
      </c>
      <c r="P8" s="348">
        <v>0</v>
      </c>
      <c r="Q8" s="348">
        <f>O8+P8</f>
        <v>345173</v>
      </c>
      <c r="R8" s="348">
        <v>131840</v>
      </c>
      <c r="S8" s="483">
        <f>SUM(R8/Q8)*100</f>
        <v>38.19533972819427</v>
      </c>
      <c r="T8" s="342">
        <v>293581</v>
      </c>
      <c r="U8" s="348">
        <f>Q8+T8</f>
        <v>638754</v>
      </c>
      <c r="V8" s="342">
        <v>279267</v>
      </c>
      <c r="W8" s="706">
        <f>SUM(V8/U8)*100</f>
        <v>43.72058726833804</v>
      </c>
      <c r="X8" s="355">
        <v>11620</v>
      </c>
      <c r="Y8" s="348">
        <f>U8+X8</f>
        <v>650374</v>
      </c>
    </row>
    <row r="9" spans="1:25" ht="15">
      <c r="A9" s="282" t="s">
        <v>57</v>
      </c>
      <c r="B9" s="348">
        <v>593051</v>
      </c>
      <c r="C9" s="348">
        <v>0</v>
      </c>
      <c r="D9" s="348">
        <f aca="true" t="shared" si="0" ref="D9:D39">B9+C9</f>
        <v>593051</v>
      </c>
      <c r="E9" s="348">
        <v>237008</v>
      </c>
      <c r="F9" s="483">
        <f aca="true" t="shared" si="1" ref="F9:F39">SUM(E9/D9)*100</f>
        <v>39.96418520498237</v>
      </c>
      <c r="G9" s="636">
        <v>0</v>
      </c>
      <c r="H9" s="355">
        <f aca="true" t="shared" si="2" ref="H9:H39">D9+G9</f>
        <v>593051</v>
      </c>
      <c r="I9" s="355">
        <v>344204</v>
      </c>
      <c r="J9" s="348">
        <f aca="true" t="shared" si="3" ref="J9:J39">SUM(I9/H9)*100</f>
        <v>58.039527797777936</v>
      </c>
      <c r="K9" s="355">
        <v>190</v>
      </c>
      <c r="L9" s="348">
        <f aca="true" t="shared" si="4" ref="L9:L39">H9+K9</f>
        <v>593241</v>
      </c>
      <c r="M9" s="483"/>
      <c r="N9" s="370" t="s">
        <v>429</v>
      </c>
      <c r="O9" s="348">
        <v>93125</v>
      </c>
      <c r="P9" s="348">
        <v>0</v>
      </c>
      <c r="Q9" s="348">
        <f aca="true" t="shared" si="5" ref="Q9:Q39">O9+P9</f>
        <v>93125</v>
      </c>
      <c r="R9" s="348">
        <v>31532</v>
      </c>
      <c r="S9" s="483">
        <f aca="true" t="shared" si="6" ref="S9:S39">SUM(R9/Q9)*100</f>
        <v>33.85986577181208</v>
      </c>
      <c r="T9" s="342">
        <v>42034</v>
      </c>
      <c r="U9" s="355">
        <f aca="true" t="shared" si="7" ref="U9:U39">Q9+T9</f>
        <v>135159</v>
      </c>
      <c r="V9" s="355">
        <v>60191</v>
      </c>
      <c r="W9" s="707">
        <f aca="true" t="shared" si="8" ref="W9:W39">SUM(V9/U9)*100</f>
        <v>44.53347538824644</v>
      </c>
      <c r="X9" s="355">
        <v>2997</v>
      </c>
      <c r="Y9" s="348">
        <f aca="true" t="shared" si="9" ref="Y9:Y39">U9+X9</f>
        <v>138156</v>
      </c>
    </row>
    <row r="10" spans="1:25" ht="15">
      <c r="A10" s="282" t="s">
        <v>82</v>
      </c>
      <c r="B10" s="348">
        <v>315067</v>
      </c>
      <c r="C10" s="348">
        <v>23197</v>
      </c>
      <c r="D10" s="348">
        <f t="shared" si="0"/>
        <v>338264</v>
      </c>
      <c r="E10" s="348">
        <v>78973</v>
      </c>
      <c r="F10" s="483">
        <f t="shared" si="1"/>
        <v>23.346557718231914</v>
      </c>
      <c r="G10" s="636">
        <v>48298</v>
      </c>
      <c r="H10" s="355">
        <f t="shared" si="2"/>
        <v>386562</v>
      </c>
      <c r="I10" s="355">
        <v>291150</v>
      </c>
      <c r="J10" s="348">
        <f t="shared" si="3"/>
        <v>75.31780154283142</v>
      </c>
      <c r="K10" s="355">
        <v>147976</v>
      </c>
      <c r="L10" s="348">
        <f t="shared" si="4"/>
        <v>534538</v>
      </c>
      <c r="M10" s="483"/>
      <c r="N10" s="282" t="s">
        <v>331</v>
      </c>
      <c r="O10" s="348">
        <v>366927</v>
      </c>
      <c r="P10" s="348">
        <v>0</v>
      </c>
      <c r="Q10" s="348">
        <f t="shared" si="5"/>
        <v>366927</v>
      </c>
      <c r="R10" s="348">
        <v>167346</v>
      </c>
      <c r="S10" s="483">
        <f t="shared" si="6"/>
        <v>45.60743690161803</v>
      </c>
      <c r="T10" s="342">
        <v>277640</v>
      </c>
      <c r="U10" s="355">
        <f t="shared" si="7"/>
        <v>644567</v>
      </c>
      <c r="V10" s="355">
        <v>303905</v>
      </c>
      <c r="W10" s="707">
        <f t="shared" si="8"/>
        <v>47.14870603056005</v>
      </c>
      <c r="X10" s="355">
        <v>142930</v>
      </c>
      <c r="Y10" s="348">
        <f t="shared" si="9"/>
        <v>787497</v>
      </c>
    </row>
    <row r="11" spans="1:25" ht="15">
      <c r="A11" s="349" t="s">
        <v>68</v>
      </c>
      <c r="B11" s="350">
        <v>42000</v>
      </c>
      <c r="C11" s="350">
        <v>0</v>
      </c>
      <c r="D11" s="348">
        <f t="shared" si="0"/>
        <v>42000</v>
      </c>
      <c r="E11" s="348">
        <v>1223</v>
      </c>
      <c r="F11" s="483">
        <f t="shared" si="1"/>
        <v>2.9119047619047618</v>
      </c>
      <c r="G11" s="636">
        <v>0</v>
      </c>
      <c r="H11" s="355">
        <f t="shared" si="2"/>
        <v>42000</v>
      </c>
      <c r="I11" s="355">
        <v>21529</v>
      </c>
      <c r="J11" s="348">
        <f t="shared" si="3"/>
        <v>51.25952380952381</v>
      </c>
      <c r="K11" s="355">
        <v>0</v>
      </c>
      <c r="L11" s="348">
        <f t="shared" si="4"/>
        <v>42000</v>
      </c>
      <c r="M11" s="483"/>
      <c r="N11" s="282" t="s">
        <v>332</v>
      </c>
      <c r="O11" s="348">
        <v>45885</v>
      </c>
      <c r="P11" s="348">
        <v>0</v>
      </c>
      <c r="Q11" s="348">
        <f t="shared" si="5"/>
        <v>45885</v>
      </c>
      <c r="R11" s="348">
        <v>5859</v>
      </c>
      <c r="S11" s="483">
        <f t="shared" si="6"/>
        <v>12.76887871853547</v>
      </c>
      <c r="T11" s="342">
        <v>20657</v>
      </c>
      <c r="U11" s="355">
        <f t="shared" si="7"/>
        <v>66542</v>
      </c>
      <c r="V11" s="355">
        <v>41771</v>
      </c>
      <c r="W11" s="707">
        <f t="shared" si="8"/>
        <v>62.77388716900604</v>
      </c>
      <c r="X11" s="355">
        <v>128758</v>
      </c>
      <c r="Y11" s="348">
        <f t="shared" si="9"/>
        <v>195300</v>
      </c>
    </row>
    <row r="12" spans="1:25" ht="15">
      <c r="A12" s="282" t="s">
        <v>434</v>
      </c>
      <c r="B12" s="350">
        <v>39000</v>
      </c>
      <c r="C12" s="350">
        <v>0</v>
      </c>
      <c r="D12" s="348">
        <f t="shared" si="0"/>
        <v>39000</v>
      </c>
      <c r="E12" s="348">
        <v>11732</v>
      </c>
      <c r="F12" s="483">
        <f t="shared" si="1"/>
        <v>30.08205128205128</v>
      </c>
      <c r="G12" s="636">
        <v>0</v>
      </c>
      <c r="H12" s="355">
        <f t="shared" si="2"/>
        <v>39000</v>
      </c>
      <c r="I12" s="355">
        <v>17893</v>
      </c>
      <c r="J12" s="348">
        <f t="shared" si="3"/>
        <v>45.87948717948718</v>
      </c>
      <c r="K12" s="355"/>
      <c r="L12" s="348">
        <f t="shared" si="4"/>
        <v>39000</v>
      </c>
      <c r="M12" s="483"/>
      <c r="N12" s="282" t="s">
        <v>155</v>
      </c>
      <c r="O12" s="348">
        <v>189482</v>
      </c>
      <c r="P12" s="348">
        <v>0</v>
      </c>
      <c r="Q12" s="348">
        <f t="shared" si="5"/>
        <v>189482</v>
      </c>
      <c r="R12" s="348">
        <v>32384</v>
      </c>
      <c r="S12" s="483">
        <f t="shared" si="6"/>
        <v>17.090805459093737</v>
      </c>
      <c r="T12" s="342">
        <v>24048</v>
      </c>
      <c r="U12" s="355">
        <f t="shared" si="7"/>
        <v>213530</v>
      </c>
      <c r="V12" s="355">
        <v>77977</v>
      </c>
      <c r="W12" s="707">
        <f t="shared" si="8"/>
        <v>36.518053669273634</v>
      </c>
      <c r="X12" s="355">
        <v>1094</v>
      </c>
      <c r="Y12" s="348">
        <f t="shared" si="9"/>
        <v>214624</v>
      </c>
    </row>
    <row r="13" spans="1:25" ht="15">
      <c r="A13" s="282" t="s">
        <v>333</v>
      </c>
      <c r="B13" s="348">
        <v>10618</v>
      </c>
      <c r="C13" s="348">
        <v>406</v>
      </c>
      <c r="D13" s="348">
        <f t="shared" si="0"/>
        <v>11024</v>
      </c>
      <c r="E13" s="348">
        <v>128261</v>
      </c>
      <c r="F13" s="483">
        <f t="shared" si="1"/>
        <v>1163.4706095791</v>
      </c>
      <c r="G13" s="636">
        <v>402589</v>
      </c>
      <c r="H13" s="355">
        <f t="shared" si="2"/>
        <v>413613</v>
      </c>
      <c r="I13" s="355">
        <v>252562</v>
      </c>
      <c r="J13" s="348">
        <f t="shared" si="3"/>
        <v>61.062394073687244</v>
      </c>
      <c r="K13" s="355">
        <v>32499</v>
      </c>
      <c r="L13" s="348">
        <f t="shared" si="4"/>
        <v>446112</v>
      </c>
      <c r="M13" s="483"/>
      <c r="N13" s="282" t="s">
        <v>334</v>
      </c>
      <c r="O13" s="348">
        <v>52904</v>
      </c>
      <c r="P13" s="348">
        <v>23709</v>
      </c>
      <c r="Q13" s="348">
        <f t="shared" si="5"/>
        <v>76613</v>
      </c>
      <c r="R13" s="348">
        <v>39261</v>
      </c>
      <c r="S13" s="483">
        <f t="shared" si="6"/>
        <v>51.24587211047733</v>
      </c>
      <c r="T13" s="342">
        <v>22284</v>
      </c>
      <c r="U13" s="355">
        <f t="shared" si="7"/>
        <v>98897</v>
      </c>
      <c r="V13" s="355">
        <v>62071</v>
      </c>
      <c r="W13" s="707">
        <f t="shared" si="8"/>
        <v>62.76327896700607</v>
      </c>
      <c r="X13" s="355">
        <v>18947</v>
      </c>
      <c r="Y13" s="348">
        <f t="shared" si="9"/>
        <v>117844</v>
      </c>
    </row>
    <row r="14" spans="1:25" ht="15">
      <c r="A14" s="282" t="s">
        <v>132</v>
      </c>
      <c r="B14" s="348">
        <v>0</v>
      </c>
      <c r="C14" s="348"/>
      <c r="D14" s="348">
        <v>0</v>
      </c>
      <c r="E14" s="348">
        <v>7796</v>
      </c>
      <c r="F14" s="483">
        <v>0</v>
      </c>
      <c r="G14" s="636">
        <v>8549</v>
      </c>
      <c r="H14" s="348">
        <f t="shared" si="2"/>
        <v>8549</v>
      </c>
      <c r="I14" s="363">
        <v>7790</v>
      </c>
      <c r="J14" s="348">
        <f t="shared" si="3"/>
        <v>91.12176862790969</v>
      </c>
      <c r="K14" s="363">
        <v>0</v>
      </c>
      <c r="L14" s="348">
        <f t="shared" si="4"/>
        <v>8549</v>
      </c>
      <c r="M14" s="363"/>
      <c r="N14" s="282" t="s">
        <v>161</v>
      </c>
      <c r="O14" s="292">
        <v>0</v>
      </c>
      <c r="P14" s="348">
        <v>362</v>
      </c>
      <c r="Q14" s="348">
        <f t="shared" si="5"/>
        <v>362</v>
      </c>
      <c r="R14" s="348">
        <v>0</v>
      </c>
      <c r="S14" s="483">
        <f t="shared" si="6"/>
        <v>0</v>
      </c>
      <c r="T14" s="342">
        <v>34505</v>
      </c>
      <c r="U14" s="355">
        <f t="shared" si="7"/>
        <v>34867</v>
      </c>
      <c r="V14" s="355">
        <v>0</v>
      </c>
      <c r="W14" s="707">
        <f t="shared" si="8"/>
        <v>0</v>
      </c>
      <c r="X14" s="355">
        <v>-4017</v>
      </c>
      <c r="Y14" s="348">
        <f t="shared" si="9"/>
        <v>30850</v>
      </c>
    </row>
    <row r="15" spans="1:25" ht="15">
      <c r="A15" s="282"/>
      <c r="B15" s="348"/>
      <c r="C15" s="348"/>
      <c r="D15" s="348"/>
      <c r="E15" s="348"/>
      <c r="F15" s="483"/>
      <c r="G15" s="636"/>
      <c r="H15" s="348"/>
      <c r="I15" s="363"/>
      <c r="J15" s="348"/>
      <c r="K15" s="363"/>
      <c r="L15" s="348"/>
      <c r="M15" s="363"/>
      <c r="N15" s="282"/>
      <c r="O15" s="348"/>
      <c r="P15" s="348"/>
      <c r="Q15" s="348"/>
      <c r="R15" s="348">
        <v>80</v>
      </c>
      <c r="S15" s="483">
        <v>0</v>
      </c>
      <c r="U15" s="348"/>
      <c r="W15" s="707"/>
      <c r="X15" s="355"/>
      <c r="Y15" s="348"/>
    </row>
    <row r="16" spans="1:25" ht="15">
      <c r="A16" s="282"/>
      <c r="B16" s="348"/>
      <c r="C16" s="348"/>
      <c r="D16" s="348"/>
      <c r="E16" s="348"/>
      <c r="F16" s="483"/>
      <c r="G16" s="636"/>
      <c r="H16" s="348"/>
      <c r="I16" s="363"/>
      <c r="J16" s="348"/>
      <c r="K16" s="363"/>
      <c r="L16" s="348"/>
      <c r="M16" s="363"/>
      <c r="N16" s="349"/>
      <c r="O16" s="348"/>
      <c r="P16" s="348"/>
      <c r="Q16" s="348"/>
      <c r="R16" s="348"/>
      <c r="S16" s="483"/>
      <c r="U16" s="348"/>
      <c r="W16" s="707"/>
      <c r="X16" s="355"/>
      <c r="Y16" s="348"/>
    </row>
    <row r="17" spans="1:25" ht="15">
      <c r="A17" s="282"/>
      <c r="B17" s="348"/>
      <c r="C17" s="348"/>
      <c r="D17" s="348"/>
      <c r="E17" s="348"/>
      <c r="F17" s="483"/>
      <c r="G17" s="636"/>
      <c r="H17" s="348"/>
      <c r="I17" s="363"/>
      <c r="J17" s="348"/>
      <c r="K17" s="363"/>
      <c r="L17" s="348"/>
      <c r="M17" s="363"/>
      <c r="N17" s="282"/>
      <c r="O17" s="348"/>
      <c r="P17" s="348"/>
      <c r="Q17" s="348"/>
      <c r="R17" s="348"/>
      <c r="S17" s="483"/>
      <c r="U17" s="348"/>
      <c r="W17" s="707"/>
      <c r="X17" s="355"/>
      <c r="Y17" s="348"/>
    </row>
    <row r="18" spans="1:25" ht="15">
      <c r="A18" s="282"/>
      <c r="B18" s="348"/>
      <c r="C18" s="348"/>
      <c r="D18" s="351"/>
      <c r="E18" s="348"/>
      <c r="F18" s="351"/>
      <c r="G18" s="636"/>
      <c r="H18" s="351"/>
      <c r="I18" s="363"/>
      <c r="J18" s="355"/>
      <c r="K18" s="363"/>
      <c r="L18" s="348"/>
      <c r="M18" s="363"/>
      <c r="N18" s="282"/>
      <c r="O18" s="348"/>
      <c r="P18" s="351"/>
      <c r="Q18" s="351"/>
      <c r="R18" s="351"/>
      <c r="S18" s="351"/>
      <c r="U18" s="348"/>
      <c r="W18" s="707"/>
      <c r="X18" s="355"/>
      <c r="Y18" s="348"/>
    </row>
    <row r="19" spans="1:25" s="501" customFormat="1" ht="15.75">
      <c r="A19" s="500" t="s">
        <v>328</v>
      </c>
      <c r="B19" s="353">
        <f>SUM(B8:B18)</f>
        <v>1156058</v>
      </c>
      <c r="C19" s="353">
        <f>SUM(C8:C18)</f>
        <v>23603</v>
      </c>
      <c r="D19" s="353">
        <f t="shared" si="0"/>
        <v>1179661</v>
      </c>
      <c r="E19" s="353">
        <f>SUM(E8:E18)</f>
        <v>535436</v>
      </c>
      <c r="F19" s="353">
        <f t="shared" si="1"/>
        <v>45.38897191650822</v>
      </c>
      <c r="G19" s="637">
        <f>SUM(G8:G18)</f>
        <v>533331</v>
      </c>
      <c r="H19" s="353">
        <f t="shared" si="2"/>
        <v>1712992</v>
      </c>
      <c r="I19" s="531">
        <f>SUM(I8:I18)</f>
        <v>1152718</v>
      </c>
      <c r="J19" s="701">
        <f t="shared" si="3"/>
        <v>67.29266686592815</v>
      </c>
      <c r="K19" s="531">
        <f>SUM(K8:K18)</f>
        <v>355232</v>
      </c>
      <c r="L19" s="353">
        <f t="shared" si="4"/>
        <v>2068224</v>
      </c>
      <c r="M19" s="364"/>
      <c r="N19" s="500" t="s">
        <v>330</v>
      </c>
      <c r="O19" s="353">
        <f>SUM(O8:O16)</f>
        <v>1093496</v>
      </c>
      <c r="P19" s="353">
        <f>SUM(P8:P18)</f>
        <v>24071</v>
      </c>
      <c r="Q19" s="353">
        <f t="shared" si="5"/>
        <v>1117567</v>
      </c>
      <c r="R19" s="353">
        <f>SUM(R8:R18)</f>
        <v>408302</v>
      </c>
      <c r="S19" s="353">
        <f t="shared" si="6"/>
        <v>36.534901263190484</v>
      </c>
      <c r="T19" s="353">
        <f>SUM(T8:T18)</f>
        <v>714749</v>
      </c>
      <c r="U19" s="353">
        <f t="shared" si="7"/>
        <v>1832316</v>
      </c>
      <c r="V19" s="702">
        <f>SUM(V8:V18)</f>
        <v>825182</v>
      </c>
      <c r="W19" s="709">
        <f t="shared" si="8"/>
        <v>45.03491755788849</v>
      </c>
      <c r="X19" s="702">
        <f>SUM(X8:X18)</f>
        <v>302329</v>
      </c>
      <c r="Y19" s="353">
        <f t="shared" si="9"/>
        <v>2134645</v>
      </c>
    </row>
    <row r="20" spans="1:25" ht="15">
      <c r="A20" s="285"/>
      <c r="B20" s="348"/>
      <c r="C20" s="348"/>
      <c r="D20" s="348"/>
      <c r="E20" s="348"/>
      <c r="F20" s="483"/>
      <c r="G20" s="636"/>
      <c r="H20" s="348"/>
      <c r="I20" s="363"/>
      <c r="J20" s="528"/>
      <c r="K20" s="363"/>
      <c r="L20" s="348"/>
      <c r="M20" s="363"/>
      <c r="N20" s="285"/>
      <c r="O20" s="348"/>
      <c r="P20" s="348"/>
      <c r="Q20" s="348"/>
      <c r="R20" s="348"/>
      <c r="S20" s="483"/>
      <c r="U20" s="348"/>
      <c r="W20" s="706"/>
      <c r="X20" s="355"/>
      <c r="Y20" s="348"/>
    </row>
    <row r="21" spans="1:25" ht="15">
      <c r="A21" s="282"/>
      <c r="B21" s="348"/>
      <c r="C21" s="348"/>
      <c r="D21" s="348"/>
      <c r="E21" s="348"/>
      <c r="F21" s="483"/>
      <c r="G21" s="636"/>
      <c r="H21" s="348"/>
      <c r="I21" s="363"/>
      <c r="J21" s="348"/>
      <c r="K21" s="363"/>
      <c r="L21" s="348"/>
      <c r="M21" s="363"/>
      <c r="N21" s="282"/>
      <c r="O21" s="348"/>
      <c r="P21" s="348"/>
      <c r="Q21" s="348"/>
      <c r="R21" s="348"/>
      <c r="S21" s="483"/>
      <c r="U21" s="348"/>
      <c r="W21" s="707"/>
      <c r="X21" s="355"/>
      <c r="Y21" s="348"/>
    </row>
    <row r="22" spans="1:25" ht="15.75">
      <c r="A22" s="354" t="s">
        <v>335</v>
      </c>
      <c r="B22" s="348"/>
      <c r="C22" s="348"/>
      <c r="D22" s="348"/>
      <c r="E22" s="348"/>
      <c r="F22" s="483"/>
      <c r="G22" s="636"/>
      <c r="H22" s="348"/>
      <c r="I22" s="363"/>
      <c r="J22" s="348"/>
      <c r="K22" s="363"/>
      <c r="L22" s="348"/>
      <c r="M22" s="363"/>
      <c r="N22" s="354" t="s">
        <v>168</v>
      </c>
      <c r="O22" s="348"/>
      <c r="P22" s="348"/>
      <c r="Q22" s="348"/>
      <c r="R22" s="348"/>
      <c r="S22" s="483"/>
      <c r="U22" s="348"/>
      <c r="W22" s="707"/>
      <c r="X22" s="355"/>
      <c r="Y22" s="348"/>
    </row>
    <row r="23" spans="1:25" ht="15.75">
      <c r="A23" s="288" t="s">
        <v>82</v>
      </c>
      <c r="B23" s="348">
        <v>0</v>
      </c>
      <c r="C23" s="348">
        <v>82330</v>
      </c>
      <c r="D23" s="348">
        <f>B23+C23</f>
        <v>82330</v>
      </c>
      <c r="E23" s="348">
        <v>81962</v>
      </c>
      <c r="F23" s="483">
        <f t="shared" si="1"/>
        <v>99.55301834082351</v>
      </c>
      <c r="G23" s="636">
        <v>-368</v>
      </c>
      <c r="H23" s="348">
        <f t="shared" si="2"/>
        <v>81962</v>
      </c>
      <c r="I23" s="363">
        <v>81962</v>
      </c>
      <c r="J23" s="348">
        <f t="shared" si="3"/>
        <v>100</v>
      </c>
      <c r="K23" s="363">
        <v>0</v>
      </c>
      <c r="L23" s="348">
        <f t="shared" si="4"/>
        <v>81962</v>
      </c>
      <c r="M23" s="363"/>
      <c r="N23" s="354"/>
      <c r="O23" s="348"/>
      <c r="P23" s="348"/>
      <c r="Q23" s="348"/>
      <c r="R23" s="348"/>
      <c r="S23" s="483"/>
      <c r="U23" s="348"/>
      <c r="W23" s="707"/>
      <c r="X23" s="355"/>
      <c r="Y23" s="348"/>
    </row>
    <row r="24" spans="1:25" ht="15">
      <c r="A24" s="282" t="s">
        <v>336</v>
      </c>
      <c r="B24" s="348">
        <v>87530</v>
      </c>
      <c r="C24" s="348">
        <v>0</v>
      </c>
      <c r="D24" s="348">
        <f t="shared" si="0"/>
        <v>87530</v>
      </c>
      <c r="E24" s="348">
        <v>10225</v>
      </c>
      <c r="F24" s="483">
        <f t="shared" si="1"/>
        <v>11.681709128298868</v>
      </c>
      <c r="G24" s="636">
        <v>-30969</v>
      </c>
      <c r="H24" s="355">
        <f t="shared" si="2"/>
        <v>56561</v>
      </c>
      <c r="I24" s="355">
        <v>1800</v>
      </c>
      <c r="J24" s="348">
        <f t="shared" si="3"/>
        <v>3.182404837255352</v>
      </c>
      <c r="K24" s="355">
        <v>235</v>
      </c>
      <c r="L24" s="348">
        <f t="shared" si="4"/>
        <v>56796</v>
      </c>
      <c r="M24" s="483"/>
      <c r="N24" s="282" t="s">
        <v>411</v>
      </c>
      <c r="O24" s="348">
        <v>2000</v>
      </c>
      <c r="P24" s="348">
        <v>390050</v>
      </c>
      <c r="Q24" s="348">
        <f t="shared" si="5"/>
        <v>392050</v>
      </c>
      <c r="R24" s="348">
        <v>232044</v>
      </c>
      <c r="S24" s="483">
        <f t="shared" si="6"/>
        <v>59.18734855248056</v>
      </c>
      <c r="T24" s="342">
        <v>2425423</v>
      </c>
      <c r="U24" s="348">
        <f t="shared" si="7"/>
        <v>2817473</v>
      </c>
      <c r="V24" s="342">
        <v>608818</v>
      </c>
      <c r="W24" s="707">
        <f t="shared" si="8"/>
        <v>21.60865427991679</v>
      </c>
      <c r="X24" s="355">
        <v>113408</v>
      </c>
      <c r="Y24" s="348">
        <f t="shared" si="9"/>
        <v>2930881</v>
      </c>
    </row>
    <row r="25" spans="1:25" ht="15">
      <c r="A25" s="282" t="s">
        <v>116</v>
      </c>
      <c r="B25" s="348">
        <v>3100</v>
      </c>
      <c r="C25" s="348">
        <v>0</v>
      </c>
      <c r="D25" s="348">
        <f t="shared" si="0"/>
        <v>3100</v>
      </c>
      <c r="E25" s="348">
        <v>2934</v>
      </c>
      <c r="F25" s="483">
        <f t="shared" si="1"/>
        <v>94.64516129032258</v>
      </c>
      <c r="G25" s="636">
        <v>0</v>
      </c>
      <c r="H25" s="355">
        <f t="shared" si="2"/>
        <v>3100</v>
      </c>
      <c r="I25" s="355">
        <v>3735</v>
      </c>
      <c r="J25" s="348">
        <f t="shared" si="3"/>
        <v>120.48387096774194</v>
      </c>
      <c r="K25" s="355">
        <v>1946</v>
      </c>
      <c r="L25" s="348">
        <f t="shared" si="4"/>
        <v>5046</v>
      </c>
      <c r="M25" s="483"/>
      <c r="N25" s="282" t="s">
        <v>412</v>
      </c>
      <c r="O25" s="348">
        <v>414</v>
      </c>
      <c r="P25" s="348">
        <v>0</v>
      </c>
      <c r="Q25" s="348">
        <f t="shared" si="5"/>
        <v>414</v>
      </c>
      <c r="R25" s="348">
        <v>433</v>
      </c>
      <c r="S25" s="483">
        <f t="shared" si="6"/>
        <v>104.58937198067633</v>
      </c>
      <c r="T25" s="342">
        <v>5588</v>
      </c>
      <c r="U25" s="355">
        <f t="shared" si="7"/>
        <v>6002</v>
      </c>
      <c r="V25" s="355">
        <v>1395</v>
      </c>
      <c r="W25" s="707">
        <f t="shared" si="8"/>
        <v>23.24225258247251</v>
      </c>
      <c r="X25" s="355">
        <v>1405</v>
      </c>
      <c r="Y25" s="348">
        <f t="shared" si="9"/>
        <v>7407</v>
      </c>
    </row>
    <row r="26" spans="1:25" ht="15">
      <c r="A26" s="282" t="s">
        <v>435</v>
      </c>
      <c r="B26" s="355">
        <v>10949</v>
      </c>
      <c r="C26" s="348">
        <v>0</v>
      </c>
      <c r="D26" s="348">
        <f t="shared" si="0"/>
        <v>10949</v>
      </c>
      <c r="E26" s="348">
        <v>5827</v>
      </c>
      <c r="F26" s="483">
        <f t="shared" si="1"/>
        <v>53.21947209790848</v>
      </c>
      <c r="G26" s="636">
        <v>0</v>
      </c>
      <c r="H26" s="355">
        <f t="shared" si="2"/>
        <v>10949</v>
      </c>
      <c r="I26" s="355">
        <v>6473</v>
      </c>
      <c r="J26" s="348">
        <f t="shared" si="3"/>
        <v>59.11955429719609</v>
      </c>
      <c r="K26" s="355">
        <v>0</v>
      </c>
      <c r="L26" s="348">
        <f t="shared" si="4"/>
        <v>10949</v>
      </c>
      <c r="M26" s="483"/>
      <c r="N26" s="292" t="s">
        <v>451</v>
      </c>
      <c r="O26" s="348">
        <v>158</v>
      </c>
      <c r="P26" s="348">
        <v>24</v>
      </c>
      <c r="Q26" s="348">
        <f t="shared" si="5"/>
        <v>182</v>
      </c>
      <c r="R26" s="348">
        <v>8691</v>
      </c>
      <c r="S26" s="483">
        <f t="shared" si="6"/>
        <v>4775.274725274726</v>
      </c>
      <c r="T26" s="342">
        <v>18012</v>
      </c>
      <c r="U26" s="355">
        <f t="shared" si="7"/>
        <v>18194</v>
      </c>
      <c r="V26" s="355">
        <v>6045</v>
      </c>
      <c r="W26" s="707">
        <f t="shared" si="8"/>
        <v>33.225239089809826</v>
      </c>
      <c r="X26" s="355">
        <v>553</v>
      </c>
      <c r="Y26" s="348">
        <f t="shared" si="9"/>
        <v>18747</v>
      </c>
    </row>
    <row r="27" spans="1:25" ht="15">
      <c r="A27" s="282" t="s">
        <v>354</v>
      </c>
      <c r="B27" s="355">
        <v>500</v>
      </c>
      <c r="C27" s="348">
        <v>0</v>
      </c>
      <c r="D27" s="348">
        <f t="shared" si="0"/>
        <v>500</v>
      </c>
      <c r="E27" s="348">
        <v>148</v>
      </c>
      <c r="F27" s="483">
        <f t="shared" si="1"/>
        <v>29.599999999999998</v>
      </c>
      <c r="G27" s="636">
        <v>0</v>
      </c>
      <c r="H27" s="355">
        <f t="shared" si="2"/>
        <v>500</v>
      </c>
      <c r="I27" s="355">
        <v>3266</v>
      </c>
      <c r="J27" s="348">
        <f t="shared" si="3"/>
        <v>653.2</v>
      </c>
      <c r="K27" s="355">
        <v>0</v>
      </c>
      <c r="L27" s="348">
        <f t="shared" si="4"/>
        <v>500</v>
      </c>
      <c r="M27" s="483"/>
      <c r="N27" s="292" t="s">
        <v>440</v>
      </c>
      <c r="O27" s="348">
        <v>45670</v>
      </c>
      <c r="P27" s="348">
        <v>368</v>
      </c>
      <c r="Q27" s="348">
        <f t="shared" si="5"/>
        <v>46038</v>
      </c>
      <c r="R27" s="348">
        <v>0</v>
      </c>
      <c r="S27" s="483">
        <f t="shared" si="6"/>
        <v>0</v>
      </c>
      <c r="T27" s="342">
        <v>1022429</v>
      </c>
      <c r="U27" s="355">
        <f t="shared" si="7"/>
        <v>1068467</v>
      </c>
      <c r="V27" s="355">
        <v>0</v>
      </c>
      <c r="W27" s="707">
        <f t="shared" si="8"/>
        <v>0</v>
      </c>
      <c r="X27" s="355">
        <v>78870</v>
      </c>
      <c r="Y27" s="348">
        <f t="shared" si="9"/>
        <v>1147337</v>
      </c>
    </row>
    <row r="28" spans="1:25" ht="15">
      <c r="A28" s="282" t="s">
        <v>479</v>
      </c>
      <c r="B28" s="355">
        <v>0</v>
      </c>
      <c r="C28" s="348">
        <v>264409</v>
      </c>
      <c r="D28" s="348">
        <f t="shared" si="0"/>
        <v>264409</v>
      </c>
      <c r="E28" s="348">
        <v>196697</v>
      </c>
      <c r="F28" s="483">
        <f t="shared" si="1"/>
        <v>74.39118940731973</v>
      </c>
      <c r="G28" s="636">
        <v>1960162</v>
      </c>
      <c r="H28" s="355">
        <f t="shared" si="2"/>
        <v>2224571</v>
      </c>
      <c r="I28" s="355">
        <v>492303</v>
      </c>
      <c r="J28" s="348">
        <f t="shared" si="3"/>
        <v>22.130244438141105</v>
      </c>
      <c r="K28" s="355">
        <v>41255</v>
      </c>
      <c r="L28" s="348">
        <f t="shared" si="4"/>
        <v>2265826</v>
      </c>
      <c r="M28" s="483"/>
      <c r="N28" s="292" t="s">
        <v>436</v>
      </c>
      <c r="O28" s="348">
        <v>52500</v>
      </c>
      <c r="P28" s="348">
        <v>0</v>
      </c>
      <c r="Q28" s="348">
        <f t="shared" si="5"/>
        <v>52500</v>
      </c>
      <c r="R28" s="348">
        <v>3919</v>
      </c>
      <c r="S28" s="483">
        <f t="shared" si="6"/>
        <v>7.464761904761905</v>
      </c>
      <c r="T28" s="342">
        <v>0</v>
      </c>
      <c r="U28" s="355">
        <f t="shared" si="7"/>
        <v>52500</v>
      </c>
      <c r="V28" s="355">
        <v>17185</v>
      </c>
      <c r="W28" s="707">
        <f t="shared" si="8"/>
        <v>32.733333333333334</v>
      </c>
      <c r="X28" s="355">
        <v>0</v>
      </c>
      <c r="Y28" s="348">
        <f t="shared" si="9"/>
        <v>52500</v>
      </c>
    </row>
    <row r="29" spans="1:25" ht="15">
      <c r="A29" s="282"/>
      <c r="B29" s="348"/>
      <c r="C29" s="348"/>
      <c r="D29" s="348"/>
      <c r="E29" s="348"/>
      <c r="F29" s="483"/>
      <c r="G29" s="636"/>
      <c r="H29" s="348"/>
      <c r="I29" s="363"/>
      <c r="J29" s="348"/>
      <c r="K29" s="363"/>
      <c r="L29" s="348"/>
      <c r="M29" s="363"/>
      <c r="N29" s="282" t="s">
        <v>172</v>
      </c>
      <c r="O29" s="348">
        <v>0</v>
      </c>
      <c r="P29" s="348"/>
      <c r="Q29" s="348">
        <v>0</v>
      </c>
      <c r="R29" s="348"/>
      <c r="S29" s="483"/>
      <c r="T29" s="342">
        <v>45000</v>
      </c>
      <c r="U29" s="355">
        <f t="shared" si="7"/>
        <v>45000</v>
      </c>
      <c r="V29" s="355">
        <v>0</v>
      </c>
      <c r="W29" s="707">
        <f t="shared" si="8"/>
        <v>0</v>
      </c>
      <c r="X29" s="355">
        <v>104</v>
      </c>
      <c r="Y29" s="348">
        <f t="shared" si="9"/>
        <v>45104</v>
      </c>
    </row>
    <row r="30" spans="1:25" ht="15">
      <c r="A30" s="301"/>
      <c r="B30" s="351"/>
      <c r="C30" s="351"/>
      <c r="D30" s="351"/>
      <c r="E30" s="351"/>
      <c r="F30" s="351"/>
      <c r="G30" s="638"/>
      <c r="H30" s="348"/>
      <c r="I30" s="363"/>
      <c r="J30" s="348"/>
      <c r="K30" s="363"/>
      <c r="L30" s="348"/>
      <c r="M30" s="365"/>
      <c r="N30" s="301"/>
      <c r="O30" s="351"/>
      <c r="P30" s="351"/>
      <c r="Q30" s="351"/>
      <c r="R30" s="351"/>
      <c r="S30" s="351"/>
      <c r="U30" s="348"/>
      <c r="W30" s="707"/>
      <c r="X30" s="355"/>
      <c r="Y30" s="348"/>
    </row>
    <row r="31" spans="1:25" s="501" customFormat="1" ht="15.75">
      <c r="A31" s="503" t="s">
        <v>337</v>
      </c>
      <c r="B31" s="356">
        <f>SUM(B23:B30)</f>
        <v>102079</v>
      </c>
      <c r="C31" s="353">
        <f>SUM(C23:C30)</f>
        <v>346739</v>
      </c>
      <c r="D31" s="353">
        <f>B31+C31</f>
        <v>448818</v>
      </c>
      <c r="E31" s="356">
        <f>SUM(E23:E30)</f>
        <v>297793</v>
      </c>
      <c r="F31" s="353">
        <f t="shared" si="1"/>
        <v>66.35050287644435</v>
      </c>
      <c r="G31" s="639">
        <f>SUM(G23:G30)</f>
        <v>1928825</v>
      </c>
      <c r="H31" s="353">
        <f t="shared" si="2"/>
        <v>2377643</v>
      </c>
      <c r="I31" s="531">
        <f>SUM(I23:I30)</f>
        <v>589539</v>
      </c>
      <c r="J31" s="747">
        <f t="shared" si="3"/>
        <v>24.795101703661988</v>
      </c>
      <c r="K31" s="367">
        <f>SUM(K23:K30)</f>
        <v>43436</v>
      </c>
      <c r="L31" s="353">
        <f t="shared" si="4"/>
        <v>2421079</v>
      </c>
      <c r="M31" s="366"/>
      <c r="N31" s="503" t="s">
        <v>338</v>
      </c>
      <c r="O31" s="356">
        <f>SUM(O24:O30)</f>
        <v>100742</v>
      </c>
      <c r="P31" s="353">
        <f>SUM(P24:P30)</f>
        <v>390442</v>
      </c>
      <c r="Q31" s="353">
        <f t="shared" si="5"/>
        <v>491184</v>
      </c>
      <c r="R31" s="353">
        <f>SUM(R24:R30)</f>
        <v>245087</v>
      </c>
      <c r="S31" s="353">
        <f t="shared" si="6"/>
        <v>49.897187204794946</v>
      </c>
      <c r="T31" s="531">
        <f>SUM(T24:T30)</f>
        <v>3516452</v>
      </c>
      <c r="U31" s="353">
        <f t="shared" si="7"/>
        <v>4007636</v>
      </c>
      <c r="V31" s="702">
        <f>SUM(V24:V30)</f>
        <v>633443</v>
      </c>
      <c r="W31" s="709">
        <f t="shared" si="8"/>
        <v>15.805901533971648</v>
      </c>
      <c r="X31" s="702">
        <f>SUM(X24:X30)</f>
        <v>194340</v>
      </c>
      <c r="Y31" s="353">
        <f t="shared" si="9"/>
        <v>4201976</v>
      </c>
    </row>
    <row r="32" spans="1:25" s="501" customFormat="1" ht="15.75">
      <c r="A32" s="504" t="s">
        <v>339</v>
      </c>
      <c r="B32" s="353">
        <f>SUM(B19+B31)</f>
        <v>1258137</v>
      </c>
      <c r="C32" s="356">
        <f>C19+C31</f>
        <v>370342</v>
      </c>
      <c r="D32" s="353">
        <f t="shared" si="0"/>
        <v>1628479</v>
      </c>
      <c r="E32" s="353">
        <f>E19+E31</f>
        <v>833229</v>
      </c>
      <c r="F32" s="353">
        <f t="shared" si="1"/>
        <v>51.16608811043925</v>
      </c>
      <c r="G32" s="640">
        <f>G19+G31</f>
        <v>2462156</v>
      </c>
      <c r="H32" s="353">
        <f t="shared" si="2"/>
        <v>4090635</v>
      </c>
      <c r="I32" s="367">
        <f>I19+I31</f>
        <v>1742257</v>
      </c>
      <c r="J32" s="701">
        <f t="shared" si="3"/>
        <v>42.59135806543483</v>
      </c>
      <c r="K32" s="531">
        <f>K19+K31</f>
        <v>398668</v>
      </c>
      <c r="L32" s="353">
        <f t="shared" si="4"/>
        <v>4489303</v>
      </c>
      <c r="M32" s="367"/>
      <c r="N32" s="504" t="s">
        <v>340</v>
      </c>
      <c r="O32" s="353">
        <f>SUM(O19+O31)</f>
        <v>1194238</v>
      </c>
      <c r="P32" s="353">
        <f>P19+P31</f>
        <v>414513</v>
      </c>
      <c r="Q32" s="353">
        <f t="shared" si="5"/>
        <v>1608751</v>
      </c>
      <c r="R32" s="353">
        <f>R19+R31</f>
        <v>653389</v>
      </c>
      <c r="S32" s="353">
        <f t="shared" si="6"/>
        <v>40.614675608593245</v>
      </c>
      <c r="T32" s="531">
        <f>T19+T31</f>
        <v>4231201</v>
      </c>
      <c r="U32" s="353">
        <f t="shared" si="7"/>
        <v>5839952</v>
      </c>
      <c r="V32" s="702">
        <f>V19+V31</f>
        <v>1458625</v>
      </c>
      <c r="W32" s="709">
        <f t="shared" si="8"/>
        <v>24.976660767074797</v>
      </c>
      <c r="X32" s="702">
        <f>X19+X31</f>
        <v>496669</v>
      </c>
      <c r="Y32" s="353">
        <f t="shared" si="9"/>
        <v>6336621</v>
      </c>
    </row>
    <row r="33" spans="1:25" ht="15.75">
      <c r="A33" s="352"/>
      <c r="B33" s="357"/>
      <c r="C33" s="358"/>
      <c r="D33" s="348"/>
      <c r="E33" s="348"/>
      <c r="F33" s="483"/>
      <c r="G33" s="636"/>
      <c r="H33" s="348"/>
      <c r="I33" s="363"/>
      <c r="J33" s="528"/>
      <c r="K33" s="363"/>
      <c r="L33" s="348"/>
      <c r="M33" s="363"/>
      <c r="N33" s="357"/>
      <c r="O33" s="358"/>
      <c r="P33" s="348"/>
      <c r="Q33" s="348"/>
      <c r="R33" s="348"/>
      <c r="S33" s="483"/>
      <c r="U33" s="348"/>
      <c r="W33" s="706"/>
      <c r="X33" s="355"/>
      <c r="Y33" s="348"/>
    </row>
    <row r="34" spans="1:25" ht="15.75">
      <c r="A34" s="359"/>
      <c r="B34" s="360"/>
      <c r="C34" s="361"/>
      <c r="D34" s="348"/>
      <c r="E34" s="348"/>
      <c r="F34" s="483"/>
      <c r="G34" s="636"/>
      <c r="H34" s="348"/>
      <c r="I34" s="363"/>
      <c r="J34" s="348"/>
      <c r="K34" s="363"/>
      <c r="L34" s="348"/>
      <c r="M34" s="363"/>
      <c r="N34" s="360"/>
      <c r="O34" s="361"/>
      <c r="P34" s="348"/>
      <c r="Q34" s="348"/>
      <c r="R34" s="348"/>
      <c r="S34" s="483"/>
      <c r="U34" s="348"/>
      <c r="W34" s="707"/>
      <c r="X34" s="355"/>
      <c r="Y34" s="348"/>
    </row>
    <row r="35" spans="1:25" ht="15.75">
      <c r="A35" s="354" t="s">
        <v>341</v>
      </c>
      <c r="B35" s="360"/>
      <c r="C35" s="361"/>
      <c r="D35" s="348"/>
      <c r="E35" s="348"/>
      <c r="F35" s="483"/>
      <c r="G35" s="636"/>
      <c r="H35" s="348"/>
      <c r="I35" s="363"/>
      <c r="J35" s="348"/>
      <c r="K35" s="363"/>
      <c r="L35" s="348"/>
      <c r="M35" s="363"/>
      <c r="N35" s="371" t="s">
        <v>342</v>
      </c>
      <c r="O35" s="361"/>
      <c r="P35" s="348"/>
      <c r="Q35" s="348"/>
      <c r="R35" s="348"/>
      <c r="S35" s="483"/>
      <c r="U35" s="348"/>
      <c r="W35" s="707"/>
      <c r="X35" s="355"/>
      <c r="Y35" s="348"/>
    </row>
    <row r="36" spans="1:25" ht="15">
      <c r="A36" s="282" t="s">
        <v>344</v>
      </c>
      <c r="B36" s="355">
        <v>144430</v>
      </c>
      <c r="C36" s="348">
        <v>28116</v>
      </c>
      <c r="D36" s="348">
        <f t="shared" si="0"/>
        <v>172546</v>
      </c>
      <c r="E36" s="348">
        <v>0</v>
      </c>
      <c r="F36" s="483">
        <f t="shared" si="1"/>
        <v>0</v>
      </c>
      <c r="G36" s="636">
        <v>1733008</v>
      </c>
      <c r="H36" s="355">
        <f t="shared" si="2"/>
        <v>1905554</v>
      </c>
      <c r="I36" s="355">
        <v>437589</v>
      </c>
      <c r="J36" s="348">
        <f t="shared" si="3"/>
        <v>22.963872973424003</v>
      </c>
      <c r="K36" s="348"/>
      <c r="L36" s="348">
        <f t="shared" si="4"/>
        <v>1905554</v>
      </c>
      <c r="M36" s="483"/>
      <c r="N36" s="282" t="s">
        <v>343</v>
      </c>
      <c r="O36" s="348">
        <v>208329</v>
      </c>
      <c r="P36" s="348">
        <v>0</v>
      </c>
      <c r="Q36" s="348">
        <f t="shared" si="5"/>
        <v>208329</v>
      </c>
      <c r="R36" s="348">
        <v>89325</v>
      </c>
      <c r="S36" s="483">
        <f t="shared" si="6"/>
        <v>42.87689183935026</v>
      </c>
      <c r="T36" s="342">
        <v>3631</v>
      </c>
      <c r="U36" s="348">
        <f t="shared" si="7"/>
        <v>211960</v>
      </c>
      <c r="V36" s="342">
        <v>197447</v>
      </c>
      <c r="W36" s="707">
        <f t="shared" si="8"/>
        <v>93.1529533874316</v>
      </c>
      <c r="X36" s="355">
        <v>0</v>
      </c>
      <c r="Y36" s="348">
        <f t="shared" si="9"/>
        <v>211960</v>
      </c>
    </row>
    <row r="37" spans="1:25" ht="15">
      <c r="A37" s="282" t="s">
        <v>478</v>
      </c>
      <c r="B37" s="355">
        <v>0</v>
      </c>
      <c r="C37" s="348">
        <v>16055</v>
      </c>
      <c r="D37" s="348">
        <f t="shared" si="0"/>
        <v>16055</v>
      </c>
      <c r="E37" s="348">
        <v>0</v>
      </c>
      <c r="F37" s="351">
        <f t="shared" si="1"/>
        <v>0</v>
      </c>
      <c r="G37" s="636">
        <v>39668</v>
      </c>
      <c r="H37" s="348">
        <f t="shared" si="2"/>
        <v>55723</v>
      </c>
      <c r="I37" s="700">
        <v>0</v>
      </c>
      <c r="J37" s="348">
        <f t="shared" si="3"/>
        <v>0</v>
      </c>
      <c r="K37" s="363">
        <v>98001</v>
      </c>
      <c r="L37" s="348">
        <f t="shared" si="4"/>
        <v>153724</v>
      </c>
      <c r="M37" s="363"/>
      <c r="N37" s="282"/>
      <c r="O37" s="348"/>
      <c r="P37" s="351"/>
      <c r="Q37" s="351"/>
      <c r="R37" s="351"/>
      <c r="S37" s="351"/>
      <c r="U37" s="348"/>
      <c r="W37" s="707"/>
      <c r="X37" s="355"/>
      <c r="Y37" s="348"/>
    </row>
    <row r="38" spans="1:25" s="501" customFormat="1" ht="15.75">
      <c r="A38" s="303" t="s">
        <v>345</v>
      </c>
      <c r="B38" s="353">
        <f>SUM(B36:B36)</f>
        <v>144430</v>
      </c>
      <c r="C38" s="353">
        <f>SUM(C36:C37)</f>
        <v>44171</v>
      </c>
      <c r="D38" s="353">
        <f t="shared" si="0"/>
        <v>188601</v>
      </c>
      <c r="E38" s="353">
        <f>SUM(E36:E37)</f>
        <v>0</v>
      </c>
      <c r="F38" s="353">
        <f t="shared" si="1"/>
        <v>0</v>
      </c>
      <c r="G38" s="640">
        <f>SUM(G36:G37)</f>
        <v>1772676</v>
      </c>
      <c r="H38" s="353">
        <f t="shared" si="2"/>
        <v>1961277</v>
      </c>
      <c r="I38" s="367">
        <f>SUM(I36:I37)</f>
        <v>437589</v>
      </c>
      <c r="J38" s="747">
        <f t="shared" si="3"/>
        <v>22.311432806278766</v>
      </c>
      <c r="K38" s="367">
        <f>SUM(K36:K37)</f>
        <v>98001</v>
      </c>
      <c r="L38" s="353">
        <f t="shared" si="4"/>
        <v>2059278</v>
      </c>
      <c r="M38" s="367"/>
      <c r="N38" s="353" t="s">
        <v>346</v>
      </c>
      <c r="O38" s="353">
        <f>SUM(O36:O36)</f>
        <v>208329</v>
      </c>
      <c r="P38" s="353">
        <v>0</v>
      </c>
      <c r="Q38" s="353">
        <f t="shared" si="5"/>
        <v>208329</v>
      </c>
      <c r="R38" s="353">
        <f>SUM(R36:R37)</f>
        <v>89325</v>
      </c>
      <c r="S38" s="353">
        <f t="shared" si="6"/>
        <v>42.87689183935026</v>
      </c>
      <c r="T38" s="531">
        <f>SUM(T36:T37)</f>
        <v>3631</v>
      </c>
      <c r="U38" s="353">
        <f t="shared" si="7"/>
        <v>211960</v>
      </c>
      <c r="V38" s="702">
        <f>SUM(V36:V37)</f>
        <v>197447</v>
      </c>
      <c r="W38" s="710">
        <f t="shared" si="8"/>
        <v>93.1529533874316</v>
      </c>
      <c r="X38" s="702">
        <f>SUM(X36:X37)</f>
        <v>0</v>
      </c>
      <c r="Y38" s="353">
        <f t="shared" si="9"/>
        <v>211960</v>
      </c>
    </row>
    <row r="39" spans="1:25" s="162" customFormat="1" ht="15.75">
      <c r="A39" s="303" t="s">
        <v>347</v>
      </c>
      <c r="B39" s="353">
        <f>SUM(B32+B38)</f>
        <v>1402567</v>
      </c>
      <c r="C39" s="353">
        <f>C32+C38</f>
        <v>414513</v>
      </c>
      <c r="D39" s="353">
        <f t="shared" si="0"/>
        <v>1817080</v>
      </c>
      <c r="E39" s="353">
        <f>E32+E38</f>
        <v>833229</v>
      </c>
      <c r="F39" s="353">
        <f t="shared" si="1"/>
        <v>45.85538336231757</v>
      </c>
      <c r="G39" s="640">
        <f>G32+G38</f>
        <v>4234832</v>
      </c>
      <c r="H39" s="356">
        <f t="shared" si="2"/>
        <v>6051912</v>
      </c>
      <c r="I39" s="366">
        <f>I32+I38</f>
        <v>2179846</v>
      </c>
      <c r="J39" s="353">
        <f t="shared" si="3"/>
        <v>36.01912916116427</v>
      </c>
      <c r="K39" s="531">
        <f>K32+K38</f>
        <v>496669</v>
      </c>
      <c r="L39" s="353">
        <f t="shared" si="4"/>
        <v>6548581</v>
      </c>
      <c r="M39" s="367"/>
      <c r="N39" s="303" t="s">
        <v>348</v>
      </c>
      <c r="O39" s="353">
        <f>SUM(O32+O38)</f>
        <v>1402567</v>
      </c>
      <c r="P39" s="353">
        <f>P32+P38</f>
        <v>414513</v>
      </c>
      <c r="Q39" s="353">
        <f t="shared" si="5"/>
        <v>1817080</v>
      </c>
      <c r="R39" s="356">
        <f>R32+R38</f>
        <v>742714</v>
      </c>
      <c r="S39" s="353">
        <f t="shared" si="6"/>
        <v>40.87403966803883</v>
      </c>
      <c r="T39" s="532">
        <f>T32+T38</f>
        <v>4234832</v>
      </c>
      <c r="U39" s="356">
        <f t="shared" si="7"/>
        <v>6051912</v>
      </c>
      <c r="V39" s="702">
        <f>V32+V38</f>
        <v>1656072</v>
      </c>
      <c r="W39" s="710">
        <f t="shared" si="8"/>
        <v>27.364442840543617</v>
      </c>
      <c r="X39" s="702">
        <f>X32+X38</f>
        <v>496669</v>
      </c>
      <c r="Y39" s="353">
        <f t="shared" si="9"/>
        <v>6548581</v>
      </c>
    </row>
    <row r="40" spans="1:18" ht="15">
      <c r="A40" s="189"/>
      <c r="B40" s="189"/>
      <c r="C40" s="189"/>
      <c r="D40" s="189"/>
      <c r="E40" s="342"/>
      <c r="F40" s="342"/>
      <c r="G40" s="633"/>
      <c r="H40" s="342"/>
      <c r="I40" s="342"/>
      <c r="J40" s="342"/>
      <c r="K40" s="342"/>
      <c r="L40" s="342"/>
      <c r="M40" s="189"/>
      <c r="N40" s="190"/>
      <c r="O40" s="189"/>
      <c r="P40" s="342"/>
      <c r="Q40" s="189"/>
      <c r="R40" s="342"/>
    </row>
    <row r="41" spans="1:18" ht="15">
      <c r="A41" s="812" t="s">
        <v>827</v>
      </c>
      <c r="B41" s="189"/>
      <c r="C41" s="189"/>
      <c r="D41" s="189"/>
      <c r="E41" s="342"/>
      <c r="F41" s="342"/>
      <c r="G41" s="633"/>
      <c r="H41" s="342"/>
      <c r="I41" s="342"/>
      <c r="J41" s="342"/>
      <c r="K41" s="342"/>
      <c r="L41" s="342"/>
      <c r="M41" s="189"/>
      <c r="N41" s="190"/>
      <c r="O41" s="189"/>
      <c r="P41" s="342"/>
      <c r="Q41" s="189"/>
      <c r="R41" s="342"/>
    </row>
    <row r="42" spans="5:25" s="150" customFormat="1" ht="15.75">
      <c r="E42" s="448"/>
      <c r="F42" s="448"/>
      <c r="G42" s="641"/>
      <c r="H42" s="448"/>
      <c r="I42" s="448"/>
      <c r="J42" s="448"/>
      <c r="K42" s="448"/>
      <c r="L42" s="448"/>
      <c r="N42" s="153"/>
      <c r="P42" s="448"/>
      <c r="R42" s="448"/>
      <c r="S42" s="499"/>
      <c r="T42" s="499"/>
      <c r="U42" s="499"/>
      <c r="V42" s="499"/>
      <c r="W42" s="708"/>
      <c r="X42" s="499"/>
      <c r="Y42" s="499"/>
    </row>
    <row r="46" spans="5:25" s="150" customFormat="1" ht="15.75">
      <c r="E46" s="448"/>
      <c r="F46" s="448"/>
      <c r="G46" s="641"/>
      <c r="H46" s="448"/>
      <c r="I46" s="448"/>
      <c r="J46" s="448"/>
      <c r="K46" s="448"/>
      <c r="L46" s="448"/>
      <c r="N46" s="153"/>
      <c r="P46" s="448"/>
      <c r="R46" s="448"/>
      <c r="S46" s="499"/>
      <c r="T46" s="499"/>
      <c r="U46" s="499"/>
      <c r="V46" s="499"/>
      <c r="W46" s="708"/>
      <c r="X46" s="499"/>
      <c r="Y46" s="499"/>
    </row>
    <row r="47" spans="5:25" s="150" customFormat="1" ht="15.75">
      <c r="E47" s="448"/>
      <c r="F47" s="448"/>
      <c r="G47" s="641"/>
      <c r="H47" s="448"/>
      <c r="I47" s="448"/>
      <c r="J47" s="448"/>
      <c r="K47" s="448"/>
      <c r="L47" s="448"/>
      <c r="N47" s="153"/>
      <c r="P47" s="448"/>
      <c r="R47" s="448"/>
      <c r="S47" s="499"/>
      <c r="T47" s="499"/>
      <c r="U47" s="499"/>
      <c r="V47" s="499"/>
      <c r="W47" s="708"/>
      <c r="X47" s="499"/>
      <c r="Y47" s="499"/>
    </row>
    <row r="51" spans="5:25" s="150" customFormat="1" ht="15.75">
      <c r="E51" s="448"/>
      <c r="F51" s="448"/>
      <c r="G51" s="641"/>
      <c r="H51" s="448"/>
      <c r="I51" s="448"/>
      <c r="J51" s="448"/>
      <c r="K51" s="448"/>
      <c r="L51" s="448"/>
      <c r="N51" s="153"/>
      <c r="P51" s="448"/>
      <c r="R51" s="448"/>
      <c r="S51" s="499"/>
      <c r="T51" s="499"/>
      <c r="U51" s="499"/>
      <c r="V51" s="499"/>
      <c r="W51" s="708"/>
      <c r="X51" s="499"/>
      <c r="Y51" s="499"/>
    </row>
  </sheetData>
  <mergeCells count="3">
    <mergeCell ref="A1:Y1"/>
    <mergeCell ref="A3:Y3"/>
    <mergeCell ref="N5:Y5"/>
  </mergeCells>
  <printOptions horizontalCentered="1" verticalCentered="1"/>
  <pageMargins left="0.64" right="0.56" top="0.51" bottom="0.49" header="0.5118110236220472" footer="0.69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0"/>
  <dimension ref="A1:P65"/>
  <sheetViews>
    <sheetView view="pageBreakPreview" zoomScale="75" zoomScaleSheetLayoutView="75" workbookViewId="0" topLeftCell="A1">
      <selection activeCell="D2" sqref="D2"/>
    </sheetView>
  </sheetViews>
  <sheetFormatPr defaultColWidth="9.00390625" defaultRowHeight="12.75"/>
  <cols>
    <col min="1" max="1" width="4.75390625" style="373" customWidth="1"/>
    <col min="2" max="2" width="5.625" style="374" customWidth="1"/>
    <col min="3" max="3" width="18.375" style="375" customWidth="1"/>
    <col min="4" max="4" width="9.125" style="375" customWidth="1"/>
    <col min="5" max="5" width="21.875" style="375" customWidth="1"/>
    <col min="6" max="6" width="12.625" style="375" customWidth="1"/>
    <col min="7" max="7" width="9.125" style="388" hidden="1" customWidth="1"/>
    <col min="8" max="8" width="11.25390625" style="375" hidden="1" customWidth="1"/>
    <col min="9" max="9" width="9.125" style="342" hidden="1" customWidth="1"/>
    <col min="10" max="10" width="9.125" style="157" hidden="1" customWidth="1"/>
    <col min="11" max="11" width="11.875" style="388" hidden="1" customWidth="1"/>
    <col min="12" max="12" width="12.00390625" style="388" customWidth="1"/>
    <col min="13" max="13" width="10.75390625" style="342" hidden="1" customWidth="1"/>
    <col min="14" max="14" width="9.125" style="716" hidden="1" customWidth="1"/>
    <col min="15" max="15" width="10.375" style="342" customWidth="1"/>
    <col min="16" max="16" width="15.75390625" style="342" bestFit="1" customWidth="1"/>
    <col min="17" max="16384" width="9.125" style="156" customWidth="1"/>
  </cols>
  <sheetData>
    <row r="1" spans="2:16" ht="15" customHeight="1">
      <c r="B1" s="374" t="s">
        <v>87</v>
      </c>
      <c r="D1" s="788" t="s">
        <v>2</v>
      </c>
      <c r="E1" s="874"/>
      <c r="F1" s="874"/>
      <c r="G1" s="874"/>
      <c r="H1" s="874"/>
      <c r="I1" s="875"/>
      <c r="J1" s="875"/>
      <c r="K1" s="875"/>
      <c r="L1" s="875"/>
      <c r="M1" s="875"/>
      <c r="N1" s="875"/>
      <c r="O1" s="875"/>
      <c r="P1" s="875"/>
    </row>
    <row r="2" ht="10.5" customHeight="1"/>
    <row r="3" spans="1:16" s="308" customFormat="1" ht="18.75" customHeight="1">
      <c r="A3" s="894" t="s">
        <v>432</v>
      </c>
      <c r="B3" s="894"/>
      <c r="C3" s="894"/>
      <c r="D3" s="894"/>
      <c r="E3" s="894"/>
      <c r="F3" s="894"/>
      <c r="G3" s="895"/>
      <c r="H3" s="895"/>
      <c r="I3" s="895"/>
      <c r="J3" s="895"/>
      <c r="K3" s="895"/>
      <c r="L3" s="895"/>
      <c r="M3" s="895"/>
      <c r="N3" s="895"/>
      <c r="O3" s="895"/>
      <c r="P3" s="895"/>
    </row>
    <row r="6" spans="3:16" ht="15">
      <c r="C6" s="376"/>
      <c r="F6" s="896" t="s">
        <v>35</v>
      </c>
      <c r="G6" s="883"/>
      <c r="H6" s="883"/>
      <c r="I6" s="883"/>
      <c r="J6" s="883"/>
      <c r="K6" s="872"/>
      <c r="L6" s="872"/>
      <c r="M6" s="872"/>
      <c r="N6" s="872"/>
      <c r="O6" s="872"/>
      <c r="P6" s="872"/>
    </row>
    <row r="7" spans="1:16" ht="15">
      <c r="A7" s="802" t="s">
        <v>320</v>
      </c>
      <c r="B7" s="802"/>
      <c r="C7" s="802"/>
      <c r="D7" s="802"/>
      <c r="E7" s="802"/>
      <c r="F7" s="426" t="s">
        <v>321</v>
      </c>
      <c r="G7" s="486" t="s">
        <v>322</v>
      </c>
      <c r="H7" s="407" t="s">
        <v>322</v>
      </c>
      <c r="I7" s="368" t="s">
        <v>323</v>
      </c>
      <c r="J7" s="239" t="s">
        <v>482</v>
      </c>
      <c r="K7" s="533" t="s">
        <v>323</v>
      </c>
      <c r="L7" s="533" t="s">
        <v>322</v>
      </c>
      <c r="M7" s="368" t="s">
        <v>323</v>
      </c>
      <c r="N7" s="711" t="s">
        <v>482</v>
      </c>
      <c r="O7" s="368" t="s">
        <v>323</v>
      </c>
      <c r="P7" s="368" t="s">
        <v>482</v>
      </c>
    </row>
    <row r="8" spans="1:14" ht="15.75">
      <c r="A8" s="377"/>
      <c r="B8" s="378" t="s">
        <v>349</v>
      </c>
      <c r="C8" s="377"/>
      <c r="D8" s="377"/>
      <c r="E8" s="377"/>
      <c r="F8" s="379"/>
      <c r="I8" s="363"/>
      <c r="J8" s="172"/>
      <c r="K8" s="402"/>
      <c r="L8" s="402"/>
      <c r="M8" s="363"/>
      <c r="N8" s="712"/>
    </row>
    <row r="9" spans="1:16" s="162" customFormat="1" ht="30" customHeight="1">
      <c r="A9" s="380" t="s">
        <v>350</v>
      </c>
      <c r="B9" s="381" t="s">
        <v>351</v>
      </c>
      <c r="C9" s="382"/>
      <c r="D9" s="383"/>
      <c r="E9" s="383"/>
      <c r="F9" s="384" t="s">
        <v>464</v>
      </c>
      <c r="G9" s="450" t="s">
        <v>366</v>
      </c>
      <c r="H9" s="427" t="s">
        <v>191</v>
      </c>
      <c r="I9" s="515" t="s">
        <v>483</v>
      </c>
      <c r="J9" s="334" t="s">
        <v>484</v>
      </c>
      <c r="K9" s="534" t="s">
        <v>48</v>
      </c>
      <c r="L9" s="534" t="s">
        <v>529</v>
      </c>
      <c r="M9" s="515" t="s">
        <v>648</v>
      </c>
      <c r="N9" s="713" t="s">
        <v>484</v>
      </c>
      <c r="O9" s="757" t="s">
        <v>366</v>
      </c>
      <c r="P9" s="757" t="s">
        <v>675</v>
      </c>
    </row>
    <row r="10" spans="1:16" s="162" customFormat="1" ht="30" customHeight="1" hidden="1">
      <c r="A10" s="380"/>
      <c r="B10" s="381"/>
      <c r="C10" s="382"/>
      <c r="D10" s="383"/>
      <c r="E10" s="383"/>
      <c r="F10" s="385" t="s">
        <v>454</v>
      </c>
      <c r="G10" s="409"/>
      <c r="H10" s="383"/>
      <c r="I10" s="132" t="s">
        <v>323</v>
      </c>
      <c r="J10" s="132" t="s">
        <v>482</v>
      </c>
      <c r="K10" s="409"/>
      <c r="L10" s="409"/>
      <c r="M10" s="499"/>
      <c r="N10" s="714"/>
      <c r="O10" s="499"/>
      <c r="P10" s="499"/>
    </row>
    <row r="11" spans="2:16" ht="12.75" customHeight="1">
      <c r="B11" s="386" t="s">
        <v>179</v>
      </c>
      <c r="C11" s="387" t="s">
        <v>121</v>
      </c>
      <c r="F11" s="388">
        <f>SUM('címrendes bevétel'!M117)</f>
        <v>156322</v>
      </c>
      <c r="G11" s="388">
        <v>0</v>
      </c>
      <c r="H11" s="388">
        <f>F11+G11</f>
        <v>156322</v>
      </c>
      <c r="I11" s="342">
        <v>70443</v>
      </c>
      <c r="J11" s="487">
        <f>SUM(I11/H11)*100</f>
        <v>45.062755082458004</v>
      </c>
      <c r="K11" s="388">
        <v>73895</v>
      </c>
      <c r="L11" s="388">
        <f>H11+K11</f>
        <v>230217</v>
      </c>
      <c r="M11" s="363">
        <v>217590</v>
      </c>
      <c r="N11" s="712">
        <f>SUM(M11/L11)*100</f>
        <v>94.5151748133283</v>
      </c>
      <c r="O11" s="342">
        <v>174567</v>
      </c>
      <c r="P11" s="342">
        <f>L11+O11</f>
        <v>404784</v>
      </c>
    </row>
    <row r="12" spans="2:16" ht="15">
      <c r="B12" s="386" t="s">
        <v>176</v>
      </c>
      <c r="C12" s="387" t="s">
        <v>352</v>
      </c>
      <c r="F12" s="388">
        <f>SUM('címrendes bevétel'!M118)</f>
        <v>685000</v>
      </c>
      <c r="G12" s="420">
        <v>0</v>
      </c>
      <c r="H12" s="420">
        <f>F12+G12</f>
        <v>685000</v>
      </c>
      <c r="I12" s="365">
        <v>255790</v>
      </c>
      <c r="J12" s="502">
        <f aca="true" t="shared" si="0" ref="J12:J63">SUM(I12/H12)*100</f>
        <v>37.34160583941606</v>
      </c>
      <c r="K12" s="388">
        <v>0</v>
      </c>
      <c r="L12" s="388">
        <f aca="true" t="shared" si="1" ref="L12:L63">H12+K12</f>
        <v>685000</v>
      </c>
      <c r="M12" s="365">
        <v>390099</v>
      </c>
      <c r="N12" s="712">
        <f aca="true" t="shared" si="2" ref="N12:N63">SUM(M12/L12)*100</f>
        <v>56.94875912408759</v>
      </c>
      <c r="O12" s="342">
        <v>190</v>
      </c>
      <c r="P12" s="342">
        <f aca="true" t="shared" si="3" ref="P12:P63">L12+O12</f>
        <v>685190</v>
      </c>
    </row>
    <row r="13" spans="1:16" s="162" customFormat="1" ht="15.75">
      <c r="A13" s="389" t="s">
        <v>51</v>
      </c>
      <c r="B13" s="390" t="s">
        <v>430</v>
      </c>
      <c r="C13" s="391"/>
      <c r="D13" s="392"/>
      <c r="E13" s="392"/>
      <c r="F13" s="393">
        <f>SUM(F11:F12)</f>
        <v>841322</v>
      </c>
      <c r="G13" s="393">
        <v>0</v>
      </c>
      <c r="H13" s="393">
        <f>F13+G13</f>
        <v>841322</v>
      </c>
      <c r="I13" s="516">
        <f>SUM(I11:I12)</f>
        <v>326233</v>
      </c>
      <c r="J13" s="367">
        <f t="shared" si="0"/>
        <v>38.776235496040755</v>
      </c>
      <c r="K13" s="393">
        <f>SUM(K11:K12)</f>
        <v>73895</v>
      </c>
      <c r="L13" s="393">
        <f t="shared" si="1"/>
        <v>915217</v>
      </c>
      <c r="M13" s="499">
        <f>SUM(M11:M12)</f>
        <v>607689</v>
      </c>
      <c r="N13" s="715">
        <f t="shared" si="2"/>
        <v>66.3983514292239</v>
      </c>
      <c r="O13" s="516">
        <f>SUM(O11:O12)</f>
        <v>174757</v>
      </c>
      <c r="P13" s="367">
        <f t="shared" si="3"/>
        <v>1089974</v>
      </c>
    </row>
    <row r="14" spans="1:16" s="162" customFormat="1" ht="15.75">
      <c r="A14" s="389" t="s">
        <v>81</v>
      </c>
      <c r="B14" s="390" t="s">
        <v>82</v>
      </c>
      <c r="C14" s="391"/>
      <c r="D14" s="392"/>
      <c r="E14" s="392"/>
      <c r="F14" s="393">
        <f>SUM('címrendes bevétel'!M120)</f>
        <v>315067</v>
      </c>
      <c r="G14" s="393">
        <v>105527</v>
      </c>
      <c r="H14" s="393">
        <f>F14+G14</f>
        <v>420594</v>
      </c>
      <c r="I14" s="516">
        <v>160935</v>
      </c>
      <c r="J14" s="367">
        <f t="shared" si="0"/>
        <v>38.26374128018944</v>
      </c>
      <c r="K14" s="409">
        <v>47930</v>
      </c>
      <c r="L14" s="409">
        <f t="shared" si="1"/>
        <v>468524</v>
      </c>
      <c r="M14" s="516">
        <v>373112</v>
      </c>
      <c r="N14" s="715">
        <f t="shared" si="2"/>
        <v>79.63562165438697</v>
      </c>
      <c r="O14" s="516">
        <v>147976</v>
      </c>
      <c r="P14" s="367">
        <f t="shared" si="3"/>
        <v>616500</v>
      </c>
    </row>
    <row r="15" spans="1:16" s="162" customFormat="1" ht="15.75">
      <c r="A15" s="394" t="s">
        <v>353</v>
      </c>
      <c r="B15" s="395" t="s">
        <v>98</v>
      </c>
      <c r="C15" s="396"/>
      <c r="D15" s="397"/>
      <c r="E15" s="397"/>
      <c r="F15" s="393">
        <f>SUM('címrendes bevétel'!M121)</f>
        <v>87530</v>
      </c>
      <c r="G15" s="393">
        <v>0</v>
      </c>
      <c r="H15" s="393">
        <f>F15+G15</f>
        <v>87530</v>
      </c>
      <c r="I15" s="516">
        <v>10225</v>
      </c>
      <c r="J15" s="367">
        <f t="shared" si="0"/>
        <v>11.681709128298868</v>
      </c>
      <c r="K15" s="393">
        <v>-30969</v>
      </c>
      <c r="L15" s="393">
        <f t="shared" si="1"/>
        <v>56561</v>
      </c>
      <c r="M15" s="516">
        <v>1800</v>
      </c>
      <c r="N15" s="715">
        <f t="shared" si="2"/>
        <v>3.182404837255352</v>
      </c>
      <c r="O15" s="516">
        <v>235</v>
      </c>
      <c r="P15" s="367">
        <f t="shared" si="3"/>
        <v>56796</v>
      </c>
    </row>
    <row r="16" spans="1:16" s="162" customFormat="1" ht="15.75">
      <c r="A16" s="380" t="s">
        <v>104</v>
      </c>
      <c r="B16" s="398" t="s">
        <v>130</v>
      </c>
      <c r="C16" s="399"/>
      <c r="D16" s="383"/>
      <c r="E16" s="383"/>
      <c r="F16" s="400"/>
      <c r="G16" s="409"/>
      <c r="H16" s="388"/>
      <c r="I16" s="499"/>
      <c r="J16" s="487"/>
      <c r="K16" s="409"/>
      <c r="L16" s="388"/>
      <c r="M16" s="499"/>
      <c r="N16" s="712"/>
      <c r="O16" s="499"/>
      <c r="P16" s="342"/>
    </row>
    <row r="17" spans="2:16" ht="15">
      <c r="B17" s="386" t="s">
        <v>49</v>
      </c>
      <c r="C17" s="401" t="s">
        <v>106</v>
      </c>
      <c r="F17" s="402">
        <f>SUM('címrendes bevétel'!M123)</f>
        <v>10618</v>
      </c>
      <c r="G17" s="388">
        <v>406</v>
      </c>
      <c r="H17" s="388">
        <f>F17+G17</f>
        <v>11024</v>
      </c>
      <c r="I17" s="342">
        <v>128261</v>
      </c>
      <c r="J17" s="487">
        <f t="shared" si="0"/>
        <v>1163.4706095791</v>
      </c>
      <c r="K17" s="388">
        <v>402589</v>
      </c>
      <c r="L17" s="388">
        <f t="shared" si="1"/>
        <v>413613</v>
      </c>
      <c r="M17" s="363">
        <v>252562</v>
      </c>
      <c r="N17" s="712">
        <f t="shared" si="2"/>
        <v>61.062394073687244</v>
      </c>
      <c r="O17" s="342">
        <v>32499</v>
      </c>
      <c r="P17" s="342">
        <f t="shared" si="3"/>
        <v>446112</v>
      </c>
    </row>
    <row r="18" spans="2:16" ht="15">
      <c r="B18" s="403" t="s">
        <v>54</v>
      </c>
      <c r="C18" s="404" t="s">
        <v>107</v>
      </c>
      <c r="F18" s="402">
        <f>SUM('címrendes bevétel'!M124)</f>
        <v>0</v>
      </c>
      <c r="G18" s="420">
        <v>264409</v>
      </c>
      <c r="H18" s="420">
        <f>F18+G18</f>
        <v>264409</v>
      </c>
      <c r="I18" s="365">
        <v>196697</v>
      </c>
      <c r="J18" s="502">
        <f t="shared" si="0"/>
        <v>74.39118940731973</v>
      </c>
      <c r="K18" s="388">
        <v>1960162</v>
      </c>
      <c r="L18" s="388">
        <f t="shared" si="1"/>
        <v>2224571</v>
      </c>
      <c r="M18" s="365">
        <v>492303</v>
      </c>
      <c r="N18" s="712">
        <f t="shared" si="2"/>
        <v>22.130244438141105</v>
      </c>
      <c r="O18" s="342">
        <v>41255</v>
      </c>
      <c r="P18" s="342">
        <f t="shared" si="3"/>
        <v>2265826</v>
      </c>
    </row>
    <row r="19" spans="1:16" s="162" customFormat="1" ht="15.75">
      <c r="A19" s="389" t="s">
        <v>104</v>
      </c>
      <c r="B19" s="390" t="s">
        <v>431</v>
      </c>
      <c r="C19" s="391"/>
      <c r="D19" s="392"/>
      <c r="E19" s="392"/>
      <c r="F19" s="393">
        <f>SUM(F17:F18)</f>
        <v>10618</v>
      </c>
      <c r="G19" s="393">
        <f>SUM(G17:G18)</f>
        <v>264815</v>
      </c>
      <c r="H19" s="393">
        <f>F19+G19</f>
        <v>275433</v>
      </c>
      <c r="I19" s="516">
        <f>SUM(I17:I18)</f>
        <v>324958</v>
      </c>
      <c r="J19" s="367">
        <f t="shared" si="0"/>
        <v>117.9807793546888</v>
      </c>
      <c r="K19" s="393">
        <f>SUM(K17:K18)</f>
        <v>2362751</v>
      </c>
      <c r="L19" s="393">
        <f t="shared" si="1"/>
        <v>2638184</v>
      </c>
      <c r="M19" s="516">
        <f>SUM(M17:M18)</f>
        <v>744865</v>
      </c>
      <c r="N19" s="715">
        <f t="shared" si="2"/>
        <v>28.234004906405314</v>
      </c>
      <c r="O19" s="516">
        <f>SUM(O17:O18)</f>
        <v>73754</v>
      </c>
      <c r="P19" s="367">
        <f t="shared" si="3"/>
        <v>2711938</v>
      </c>
    </row>
    <row r="20" spans="1:14" ht="15.75">
      <c r="A20" s="380" t="s">
        <v>109</v>
      </c>
      <c r="B20" s="398" t="s">
        <v>110</v>
      </c>
      <c r="C20" s="399"/>
      <c r="D20" s="383"/>
      <c r="E20" s="383"/>
      <c r="F20" s="400"/>
      <c r="H20" s="388"/>
      <c r="J20" s="487"/>
      <c r="N20" s="712"/>
    </row>
    <row r="21" spans="2:16" ht="15">
      <c r="B21" s="386" t="s">
        <v>49</v>
      </c>
      <c r="C21" s="387" t="s">
        <v>132</v>
      </c>
      <c r="F21" s="402">
        <f>SUM('címrendes bevétel'!M127)</f>
        <v>0</v>
      </c>
      <c r="G21" s="388">
        <v>0</v>
      </c>
      <c r="H21" s="388">
        <f>F21+G21</f>
        <v>0</v>
      </c>
      <c r="I21" s="342">
        <v>7796</v>
      </c>
      <c r="J21" s="487">
        <v>0</v>
      </c>
      <c r="K21" s="388">
        <v>8549</v>
      </c>
      <c r="L21" s="388">
        <f t="shared" si="1"/>
        <v>8549</v>
      </c>
      <c r="M21" s="363">
        <v>7790</v>
      </c>
      <c r="N21" s="712">
        <f t="shared" si="2"/>
        <v>91.12176862790969</v>
      </c>
      <c r="O21" s="342">
        <v>0</v>
      </c>
      <c r="P21" s="342">
        <f t="shared" si="3"/>
        <v>8549</v>
      </c>
    </row>
    <row r="22" spans="1:16" ht="15.75">
      <c r="A22" s="405"/>
      <c r="B22" s="403" t="s">
        <v>54</v>
      </c>
      <c r="C22" s="406" t="s">
        <v>112</v>
      </c>
      <c r="E22" s="277"/>
      <c r="F22" s="402">
        <f>SUM('címrendes bevétel'!M128)</f>
        <v>500</v>
      </c>
      <c r="G22" s="420">
        <v>0</v>
      </c>
      <c r="H22" s="420">
        <f>F22+G22</f>
        <v>500</v>
      </c>
      <c r="I22" s="365">
        <v>148</v>
      </c>
      <c r="J22" s="502">
        <f t="shared" si="0"/>
        <v>29.599999999999998</v>
      </c>
      <c r="K22" s="388">
        <v>0</v>
      </c>
      <c r="L22" s="388">
        <f t="shared" si="1"/>
        <v>500</v>
      </c>
      <c r="M22" s="365">
        <v>3266</v>
      </c>
      <c r="N22" s="712">
        <f t="shared" si="2"/>
        <v>653.2</v>
      </c>
      <c r="O22" s="342">
        <v>0</v>
      </c>
      <c r="P22" s="342">
        <f t="shared" si="3"/>
        <v>500</v>
      </c>
    </row>
    <row r="23" spans="1:16" s="162" customFormat="1" ht="15.75">
      <c r="A23" s="389" t="s">
        <v>109</v>
      </c>
      <c r="B23" s="390" t="s">
        <v>113</v>
      </c>
      <c r="C23" s="391"/>
      <c r="D23" s="392"/>
      <c r="E23" s="392"/>
      <c r="F23" s="393">
        <f>SUM(F21:F22)</f>
        <v>500</v>
      </c>
      <c r="G23" s="393">
        <v>0</v>
      </c>
      <c r="H23" s="393">
        <f>F23+G23</f>
        <v>500</v>
      </c>
      <c r="I23" s="516">
        <f>SUM(I21:I22)</f>
        <v>7944</v>
      </c>
      <c r="J23" s="367">
        <f t="shared" si="0"/>
        <v>1588.8</v>
      </c>
      <c r="K23" s="393">
        <f>SUM(K21:K22)</f>
        <v>8549</v>
      </c>
      <c r="L23" s="393">
        <f t="shared" si="1"/>
        <v>9049</v>
      </c>
      <c r="M23" s="499">
        <f>SUM(M21:M22)</f>
        <v>11056</v>
      </c>
      <c r="N23" s="715">
        <f t="shared" si="2"/>
        <v>122.17924632556083</v>
      </c>
      <c r="O23" s="516">
        <f>SUM(O21:O22)</f>
        <v>0</v>
      </c>
      <c r="P23" s="367">
        <f t="shared" si="3"/>
        <v>9049</v>
      </c>
    </row>
    <row r="24" spans="1:16" s="162" customFormat="1" ht="15.75">
      <c r="A24" s="389" t="s">
        <v>114</v>
      </c>
      <c r="B24" s="390" t="s">
        <v>438</v>
      </c>
      <c r="C24" s="391"/>
      <c r="D24" s="392"/>
      <c r="E24" s="392"/>
      <c r="F24" s="393">
        <f>SUM('címrendes bevétel'!M133)</f>
        <v>3100</v>
      </c>
      <c r="G24" s="393">
        <v>0</v>
      </c>
      <c r="H24" s="393">
        <f>F24+G24</f>
        <v>3100</v>
      </c>
      <c r="I24" s="516">
        <v>2934</v>
      </c>
      <c r="J24" s="367">
        <f t="shared" si="0"/>
        <v>94.64516129032258</v>
      </c>
      <c r="K24" s="409">
        <v>0</v>
      </c>
      <c r="L24" s="409">
        <f t="shared" si="1"/>
        <v>3100</v>
      </c>
      <c r="M24" s="516">
        <v>3735</v>
      </c>
      <c r="N24" s="715">
        <f t="shared" si="2"/>
        <v>120.48387096774194</v>
      </c>
      <c r="O24" s="499">
        <v>1946</v>
      </c>
      <c r="P24" s="758">
        <f t="shared" si="3"/>
        <v>5046</v>
      </c>
    </row>
    <row r="25" spans="1:16" s="162" customFormat="1" ht="15.75">
      <c r="A25" s="389" t="s">
        <v>87</v>
      </c>
      <c r="B25" s="390" t="s">
        <v>355</v>
      </c>
      <c r="C25" s="391"/>
      <c r="D25" s="392"/>
      <c r="E25" s="392"/>
      <c r="F25" s="393">
        <f>SUM(F13+F14+F15+F19+F23+F24)</f>
        <v>1258137</v>
      </c>
      <c r="G25" s="393">
        <f>G13+G14+G15+G19+G23+G24</f>
        <v>370342</v>
      </c>
      <c r="H25" s="393">
        <f>F25+G25</f>
        <v>1628479</v>
      </c>
      <c r="I25" s="517">
        <f>I13+I14+I15+I19+I23+I24</f>
        <v>833229</v>
      </c>
      <c r="J25" s="367">
        <f t="shared" si="0"/>
        <v>51.16608811043925</v>
      </c>
      <c r="K25" s="393">
        <f>K13+K14+K15+K19+K23+K24</f>
        <v>2462156</v>
      </c>
      <c r="L25" s="393">
        <f t="shared" si="1"/>
        <v>4090635</v>
      </c>
      <c r="M25" s="516">
        <f>M13+M14+M15+M19+M23+M24</f>
        <v>1742257</v>
      </c>
      <c r="N25" s="715">
        <f t="shared" si="2"/>
        <v>42.59135806543483</v>
      </c>
      <c r="O25" s="516">
        <f>O13+O14+O15+O19+O23+O24</f>
        <v>398668</v>
      </c>
      <c r="P25" s="367">
        <f>P13+P14+P15+P19+P23+P24</f>
        <v>4489303</v>
      </c>
    </row>
    <row r="26" spans="2:14" ht="15">
      <c r="B26" s="398"/>
      <c r="C26" s="399"/>
      <c r="F26" s="388"/>
      <c r="H26" s="388"/>
      <c r="J26" s="487"/>
      <c r="N26" s="712"/>
    </row>
    <row r="27" spans="2:14" ht="15">
      <c r="B27" s="408" t="s">
        <v>356</v>
      </c>
      <c r="C27" s="399"/>
      <c r="F27" s="388"/>
      <c r="H27" s="388"/>
      <c r="J27" s="487"/>
      <c r="N27" s="712"/>
    </row>
    <row r="28" spans="1:16" s="162" customFormat="1" ht="15.75">
      <c r="A28" s="380" t="s">
        <v>49</v>
      </c>
      <c r="B28" s="398" t="s">
        <v>150</v>
      </c>
      <c r="C28" s="399"/>
      <c r="D28" s="383"/>
      <c r="E28" s="383"/>
      <c r="F28" s="409"/>
      <c r="G28" s="409"/>
      <c r="H28" s="388"/>
      <c r="I28" s="499"/>
      <c r="J28" s="487"/>
      <c r="K28" s="409"/>
      <c r="L28" s="388"/>
      <c r="M28" s="499"/>
      <c r="N28" s="712"/>
      <c r="O28" s="499"/>
      <c r="P28" s="342"/>
    </row>
    <row r="29" spans="2:16" ht="15">
      <c r="B29" s="387" t="s">
        <v>84</v>
      </c>
      <c r="C29" s="406" t="s">
        <v>249</v>
      </c>
      <c r="F29" s="388">
        <f>SUM('címrendes kiadás'!M43)</f>
        <v>345173</v>
      </c>
      <c r="G29" s="388">
        <v>0</v>
      </c>
      <c r="H29" s="388">
        <f aca="true" t="shared" si="4" ref="H29:H38">F29+G29</f>
        <v>345173</v>
      </c>
      <c r="I29" s="342">
        <v>131840</v>
      </c>
      <c r="J29" s="487">
        <f t="shared" si="0"/>
        <v>38.19533972819427</v>
      </c>
      <c r="K29" s="388">
        <v>293581</v>
      </c>
      <c r="L29" s="388">
        <f t="shared" si="1"/>
        <v>638754</v>
      </c>
      <c r="M29" s="363">
        <v>279267</v>
      </c>
      <c r="N29" s="712">
        <f t="shared" si="2"/>
        <v>43.72058726833804</v>
      </c>
      <c r="O29" s="342">
        <v>11620</v>
      </c>
      <c r="P29" s="342">
        <f t="shared" si="3"/>
        <v>650374</v>
      </c>
    </row>
    <row r="30" spans="2:16" ht="15">
      <c r="B30" s="387" t="s">
        <v>88</v>
      </c>
      <c r="C30" s="410" t="s">
        <v>426</v>
      </c>
      <c r="F30" s="388">
        <f>SUM('címrendes kiadás'!M44)</f>
        <v>93125</v>
      </c>
      <c r="G30" s="388">
        <v>0</v>
      </c>
      <c r="H30" s="388">
        <f t="shared" si="4"/>
        <v>93125</v>
      </c>
      <c r="I30" s="342">
        <v>31532</v>
      </c>
      <c r="J30" s="487">
        <f t="shared" si="0"/>
        <v>33.85986577181208</v>
      </c>
      <c r="K30" s="388">
        <v>42034</v>
      </c>
      <c r="L30" s="388">
        <f t="shared" si="1"/>
        <v>135159</v>
      </c>
      <c r="M30" s="363">
        <v>60191</v>
      </c>
      <c r="N30" s="712">
        <f t="shared" si="2"/>
        <v>44.53347538824644</v>
      </c>
      <c r="O30" s="342">
        <v>2997</v>
      </c>
      <c r="P30" s="342">
        <f t="shared" si="3"/>
        <v>138156</v>
      </c>
    </row>
    <row r="31" spans="2:16" ht="15">
      <c r="B31" s="387" t="s">
        <v>152</v>
      </c>
      <c r="C31" s="406" t="s">
        <v>153</v>
      </c>
      <c r="F31" s="388">
        <f>SUM('címrendes kiadás'!M45)</f>
        <v>366927</v>
      </c>
      <c r="G31" s="388">
        <v>0</v>
      </c>
      <c r="H31" s="388">
        <f t="shared" si="4"/>
        <v>366927</v>
      </c>
      <c r="I31" s="342">
        <v>167346</v>
      </c>
      <c r="J31" s="487">
        <f t="shared" si="0"/>
        <v>45.60743690161803</v>
      </c>
      <c r="K31" s="388">
        <v>277640</v>
      </c>
      <c r="L31" s="388">
        <f t="shared" si="1"/>
        <v>644567</v>
      </c>
      <c r="M31" s="363">
        <v>303905</v>
      </c>
      <c r="N31" s="712">
        <f t="shared" si="2"/>
        <v>47.14870603056005</v>
      </c>
      <c r="O31" s="342">
        <v>142930</v>
      </c>
      <c r="P31" s="342">
        <f t="shared" si="3"/>
        <v>787497</v>
      </c>
    </row>
    <row r="32" spans="2:16" ht="15">
      <c r="B32" s="387" t="s">
        <v>162</v>
      </c>
      <c r="C32" s="406" t="s">
        <v>420</v>
      </c>
      <c r="F32" s="388">
        <v>0</v>
      </c>
      <c r="G32" s="388">
        <v>0</v>
      </c>
      <c r="H32" s="388">
        <f t="shared" si="4"/>
        <v>0</v>
      </c>
      <c r="I32" s="342">
        <v>0</v>
      </c>
      <c r="J32" s="487">
        <v>0</v>
      </c>
      <c r="K32" s="388">
        <v>0</v>
      </c>
      <c r="L32" s="388">
        <f t="shared" si="1"/>
        <v>0</v>
      </c>
      <c r="M32" s="363">
        <v>0</v>
      </c>
      <c r="N32" s="712">
        <v>0</v>
      </c>
      <c r="O32" s="342">
        <v>0</v>
      </c>
      <c r="P32" s="342">
        <f t="shared" si="3"/>
        <v>0</v>
      </c>
    </row>
    <row r="33" spans="2:16" ht="15">
      <c r="B33" s="387" t="s">
        <v>94</v>
      </c>
      <c r="C33" s="411" t="s">
        <v>154</v>
      </c>
      <c r="F33" s="388">
        <f>SUM('címrendes kiadás'!M47)</f>
        <v>45885</v>
      </c>
      <c r="G33" s="388">
        <v>0</v>
      </c>
      <c r="H33" s="388">
        <f t="shared" si="4"/>
        <v>45885</v>
      </c>
      <c r="I33" s="342">
        <v>5859</v>
      </c>
      <c r="J33" s="487">
        <f t="shared" si="0"/>
        <v>12.76887871853547</v>
      </c>
      <c r="K33" s="388">
        <v>20657</v>
      </c>
      <c r="L33" s="388">
        <f t="shared" si="1"/>
        <v>66542</v>
      </c>
      <c r="M33" s="363">
        <v>41771</v>
      </c>
      <c r="N33" s="712">
        <f t="shared" si="2"/>
        <v>62.77388716900604</v>
      </c>
      <c r="O33" s="342">
        <v>128758</v>
      </c>
      <c r="P33" s="342">
        <f t="shared" si="3"/>
        <v>195300</v>
      </c>
    </row>
    <row r="34" spans="2:16" ht="15">
      <c r="B34" s="387" t="s">
        <v>95</v>
      </c>
      <c r="C34" s="406" t="s">
        <v>357</v>
      </c>
      <c r="F34" s="388">
        <f>SUM('címrendes kiadás'!M48)</f>
        <v>189482</v>
      </c>
      <c r="G34" s="388">
        <v>0</v>
      </c>
      <c r="H34" s="388">
        <f t="shared" si="4"/>
        <v>189482</v>
      </c>
      <c r="I34" s="342">
        <v>32384</v>
      </c>
      <c r="J34" s="487">
        <f t="shared" si="0"/>
        <v>17.090805459093737</v>
      </c>
      <c r="K34" s="388">
        <v>24048</v>
      </c>
      <c r="L34" s="388">
        <f t="shared" si="1"/>
        <v>213530</v>
      </c>
      <c r="M34" s="363">
        <v>77977</v>
      </c>
      <c r="N34" s="712">
        <f t="shared" si="2"/>
        <v>36.518053669273634</v>
      </c>
      <c r="O34" s="342">
        <v>1094</v>
      </c>
      <c r="P34" s="342">
        <f t="shared" si="3"/>
        <v>214624</v>
      </c>
    </row>
    <row r="35" spans="2:16" ht="15">
      <c r="B35" s="387" t="s">
        <v>156</v>
      </c>
      <c r="C35" s="406" t="s">
        <v>157</v>
      </c>
      <c r="F35" s="388">
        <f>SUM('címrendes kiadás'!M49)</f>
        <v>52904</v>
      </c>
      <c r="G35" s="388">
        <v>23709</v>
      </c>
      <c r="H35" s="388">
        <f t="shared" si="4"/>
        <v>76613</v>
      </c>
      <c r="I35" s="342">
        <v>39261</v>
      </c>
      <c r="J35" s="487">
        <f t="shared" si="0"/>
        <v>51.24587211047733</v>
      </c>
      <c r="K35" s="388">
        <v>22284</v>
      </c>
      <c r="L35" s="388">
        <f t="shared" si="1"/>
        <v>98897</v>
      </c>
      <c r="M35" s="363">
        <v>62071</v>
      </c>
      <c r="N35" s="712">
        <f t="shared" si="2"/>
        <v>62.76327896700607</v>
      </c>
      <c r="O35" s="342">
        <v>18947</v>
      </c>
      <c r="P35" s="342">
        <f t="shared" si="3"/>
        <v>117844</v>
      </c>
    </row>
    <row r="36" spans="2:16" ht="15">
      <c r="B36" s="387" t="s">
        <v>158</v>
      </c>
      <c r="C36" s="406" t="s">
        <v>159</v>
      </c>
      <c r="F36" s="388">
        <f>SUM('címrendes kiadás'!M50)</f>
        <v>52500</v>
      </c>
      <c r="G36" s="388">
        <v>0</v>
      </c>
      <c r="H36" s="388">
        <f t="shared" si="4"/>
        <v>52500</v>
      </c>
      <c r="I36" s="342">
        <v>3999</v>
      </c>
      <c r="J36" s="487">
        <f t="shared" si="0"/>
        <v>7.617142857142857</v>
      </c>
      <c r="K36" s="388">
        <v>0</v>
      </c>
      <c r="L36" s="388">
        <f t="shared" si="1"/>
        <v>52500</v>
      </c>
      <c r="M36" s="363">
        <v>17185</v>
      </c>
      <c r="N36" s="712">
        <f t="shared" si="2"/>
        <v>32.733333333333334</v>
      </c>
      <c r="O36" s="342">
        <v>0</v>
      </c>
      <c r="P36" s="342">
        <f t="shared" si="3"/>
        <v>52500</v>
      </c>
    </row>
    <row r="37" spans="2:16" ht="15.75" customHeight="1">
      <c r="B37" s="387" t="s">
        <v>160</v>
      </c>
      <c r="C37" s="375" t="s">
        <v>164</v>
      </c>
      <c r="F37" s="388">
        <f>SUM('címrendes kiadás'!M51)</f>
        <v>0</v>
      </c>
      <c r="G37" s="420">
        <v>362</v>
      </c>
      <c r="H37" s="420">
        <f t="shared" si="4"/>
        <v>362</v>
      </c>
      <c r="I37" s="365">
        <v>0</v>
      </c>
      <c r="J37" s="502">
        <f t="shared" si="0"/>
        <v>0</v>
      </c>
      <c r="K37" s="388">
        <v>34505</v>
      </c>
      <c r="L37" s="388">
        <f t="shared" si="1"/>
        <v>34867</v>
      </c>
      <c r="M37" s="342">
        <v>0</v>
      </c>
      <c r="N37" s="712">
        <f t="shared" si="2"/>
        <v>0</v>
      </c>
      <c r="O37" s="342">
        <v>-4017</v>
      </c>
      <c r="P37" s="342">
        <f t="shared" si="3"/>
        <v>30850</v>
      </c>
    </row>
    <row r="38" spans="1:16" s="162" customFormat="1" ht="15.75">
      <c r="A38" s="389" t="s">
        <v>49</v>
      </c>
      <c r="B38" s="390" t="s">
        <v>163</v>
      </c>
      <c r="C38" s="412"/>
      <c r="D38" s="392"/>
      <c r="E38" s="392"/>
      <c r="F38" s="393">
        <f>SUM(F29:F37)</f>
        <v>1145996</v>
      </c>
      <c r="G38" s="393">
        <f>SUM(G29:G37)</f>
        <v>24071</v>
      </c>
      <c r="H38" s="393">
        <f t="shared" si="4"/>
        <v>1170067</v>
      </c>
      <c r="I38" s="516">
        <f>SUM(I29:I37)</f>
        <v>412221</v>
      </c>
      <c r="J38" s="367">
        <f t="shared" si="0"/>
        <v>35.230546626817095</v>
      </c>
      <c r="K38" s="393">
        <f>SUM(K29:K37)</f>
        <v>714749</v>
      </c>
      <c r="L38" s="393">
        <f t="shared" si="1"/>
        <v>1884816</v>
      </c>
      <c r="M38" s="516">
        <f>SUM(M29:M37)</f>
        <v>842367</v>
      </c>
      <c r="N38" s="715">
        <f t="shared" si="2"/>
        <v>44.69226704357349</v>
      </c>
      <c r="O38" s="516">
        <f>SUM(O29:O37)</f>
        <v>302329</v>
      </c>
      <c r="P38" s="367">
        <f t="shared" si="3"/>
        <v>2187145</v>
      </c>
    </row>
    <row r="39" spans="1:14" ht="15.75">
      <c r="A39" s="380" t="s">
        <v>54</v>
      </c>
      <c r="B39" s="398" t="s">
        <v>166</v>
      </c>
      <c r="C39" s="406"/>
      <c r="F39" s="388"/>
      <c r="H39" s="388"/>
      <c r="J39" s="487"/>
      <c r="N39" s="712"/>
    </row>
    <row r="40" spans="2:16" ht="15">
      <c r="B40" s="387" t="s">
        <v>167</v>
      </c>
      <c r="C40" s="406" t="s">
        <v>411</v>
      </c>
      <c r="F40" s="388">
        <f>SUM('címrendes kiadás'!M137)</f>
        <v>2000</v>
      </c>
      <c r="G40" s="388">
        <v>390050</v>
      </c>
      <c r="H40" s="388">
        <f aca="true" t="shared" si="5" ref="H40:H47">F40+G40</f>
        <v>392050</v>
      </c>
      <c r="I40" s="342">
        <v>232044</v>
      </c>
      <c r="J40" s="487">
        <f t="shared" si="0"/>
        <v>59.18734855248056</v>
      </c>
      <c r="K40" s="388">
        <v>2425423</v>
      </c>
      <c r="L40" s="388">
        <f t="shared" si="1"/>
        <v>2817473</v>
      </c>
      <c r="M40" s="363">
        <v>608818</v>
      </c>
      <c r="N40" s="712">
        <f t="shared" si="2"/>
        <v>21.60865427991679</v>
      </c>
      <c r="O40" s="342">
        <v>113408</v>
      </c>
      <c r="P40" s="342">
        <f t="shared" si="3"/>
        <v>2930881</v>
      </c>
    </row>
    <row r="41" spans="2:16" ht="15">
      <c r="B41" s="387" t="s">
        <v>56</v>
      </c>
      <c r="C41" s="406" t="s">
        <v>412</v>
      </c>
      <c r="F41" s="388">
        <f>SUM('címrendes kiadás'!M138)</f>
        <v>414</v>
      </c>
      <c r="G41" s="388">
        <v>0</v>
      </c>
      <c r="H41" s="388">
        <f t="shared" si="5"/>
        <v>414</v>
      </c>
      <c r="I41" s="342">
        <v>433</v>
      </c>
      <c r="J41" s="487">
        <f t="shared" si="0"/>
        <v>104.58937198067633</v>
      </c>
      <c r="K41" s="388">
        <v>5588</v>
      </c>
      <c r="L41" s="388">
        <f t="shared" si="1"/>
        <v>6002</v>
      </c>
      <c r="M41" s="363">
        <v>1395</v>
      </c>
      <c r="N41" s="712">
        <f t="shared" si="2"/>
        <v>23.24225258247251</v>
      </c>
      <c r="O41" s="342">
        <v>1405</v>
      </c>
      <c r="P41" s="342">
        <f t="shared" si="3"/>
        <v>7407</v>
      </c>
    </row>
    <row r="42" spans="2:16" ht="15">
      <c r="B42" s="387" t="s">
        <v>65</v>
      </c>
      <c r="C42" s="406" t="s">
        <v>358</v>
      </c>
      <c r="F42" s="388">
        <f>SUM('címrendes kiadás'!M139)</f>
        <v>158</v>
      </c>
      <c r="G42" s="388">
        <v>0</v>
      </c>
      <c r="H42" s="388">
        <f t="shared" si="5"/>
        <v>158</v>
      </c>
      <c r="I42" s="342">
        <v>8667</v>
      </c>
      <c r="J42" s="487">
        <f t="shared" si="0"/>
        <v>5485.443037974684</v>
      </c>
      <c r="K42" s="388">
        <v>15766</v>
      </c>
      <c r="L42" s="388">
        <f t="shared" si="1"/>
        <v>15924</v>
      </c>
      <c r="M42" s="363">
        <v>6024</v>
      </c>
      <c r="N42" s="712">
        <f t="shared" si="2"/>
        <v>37.829691032403915</v>
      </c>
      <c r="O42" s="342">
        <v>260</v>
      </c>
      <c r="P42" s="342">
        <f t="shared" si="3"/>
        <v>16184</v>
      </c>
    </row>
    <row r="43" spans="2:16" ht="15">
      <c r="B43" s="387" t="s">
        <v>69</v>
      </c>
      <c r="C43" s="406" t="s">
        <v>359</v>
      </c>
      <c r="F43" s="388">
        <f>SUM('címrendes kiadás'!M140)</f>
        <v>0</v>
      </c>
      <c r="G43" s="388">
        <v>24</v>
      </c>
      <c r="H43" s="388">
        <f t="shared" si="5"/>
        <v>24</v>
      </c>
      <c r="I43" s="342">
        <v>24</v>
      </c>
      <c r="J43" s="487">
        <f t="shared" si="0"/>
        <v>100</v>
      </c>
      <c r="K43" s="388">
        <v>2246</v>
      </c>
      <c r="L43" s="388">
        <f t="shared" si="1"/>
        <v>2270</v>
      </c>
      <c r="M43" s="363">
        <v>21</v>
      </c>
      <c r="N43" s="712">
        <f t="shared" si="2"/>
        <v>0.9251101321585903</v>
      </c>
      <c r="O43" s="342">
        <v>293</v>
      </c>
      <c r="P43" s="342">
        <f t="shared" si="3"/>
        <v>2563</v>
      </c>
    </row>
    <row r="44" spans="2:16" ht="15">
      <c r="B44" s="387" t="s">
        <v>171</v>
      </c>
      <c r="C44" s="406" t="s">
        <v>172</v>
      </c>
      <c r="F44" s="388">
        <f>SUM('címrendes kiadás'!M141)</f>
        <v>0</v>
      </c>
      <c r="G44" s="388">
        <v>0</v>
      </c>
      <c r="H44" s="388">
        <f t="shared" si="5"/>
        <v>0</v>
      </c>
      <c r="I44" s="342">
        <v>0</v>
      </c>
      <c r="J44" s="487">
        <v>0</v>
      </c>
      <c r="K44" s="388">
        <v>45000</v>
      </c>
      <c r="L44" s="388">
        <f t="shared" si="1"/>
        <v>45000</v>
      </c>
      <c r="M44" s="363">
        <v>0</v>
      </c>
      <c r="N44" s="712">
        <f t="shared" si="2"/>
        <v>0</v>
      </c>
      <c r="O44" s="342">
        <v>104</v>
      </c>
      <c r="P44" s="342">
        <f t="shared" si="3"/>
        <v>45104</v>
      </c>
    </row>
    <row r="45" spans="2:16" ht="15">
      <c r="B45" s="374" t="s">
        <v>173</v>
      </c>
      <c r="C45" s="406" t="s">
        <v>174</v>
      </c>
      <c r="F45" s="388">
        <f>SUM('címrendes kiadás'!M142)</f>
        <v>45670</v>
      </c>
      <c r="G45" s="420">
        <v>368</v>
      </c>
      <c r="H45" s="420">
        <f t="shared" si="5"/>
        <v>46038</v>
      </c>
      <c r="I45" s="365">
        <v>0</v>
      </c>
      <c r="J45" s="502">
        <f t="shared" si="0"/>
        <v>0</v>
      </c>
      <c r="K45" s="388">
        <v>1022429</v>
      </c>
      <c r="L45" s="388">
        <f t="shared" si="1"/>
        <v>1068467</v>
      </c>
      <c r="M45" s="365">
        <v>0</v>
      </c>
      <c r="N45" s="712">
        <f t="shared" si="2"/>
        <v>0</v>
      </c>
      <c r="O45" s="342">
        <v>78870</v>
      </c>
      <c r="P45" s="342">
        <f t="shared" si="3"/>
        <v>1147337</v>
      </c>
    </row>
    <row r="46" spans="1:16" s="162" customFormat="1" ht="15.75">
      <c r="A46" s="389" t="s">
        <v>54</v>
      </c>
      <c r="B46" s="390" t="s">
        <v>360</v>
      </c>
      <c r="C46" s="412"/>
      <c r="D46" s="392"/>
      <c r="E46" s="392"/>
      <c r="F46" s="393">
        <f>SUM(F40:F45)</f>
        <v>48242</v>
      </c>
      <c r="G46" s="393">
        <f>SUM(G40:G45)</f>
        <v>390442</v>
      </c>
      <c r="H46" s="393">
        <f t="shared" si="5"/>
        <v>438684</v>
      </c>
      <c r="I46" s="516">
        <f>SUM(I40:I45)</f>
        <v>241168</v>
      </c>
      <c r="J46" s="367">
        <f t="shared" si="0"/>
        <v>54.97533532109673</v>
      </c>
      <c r="K46" s="393">
        <f>SUM(K40:K45)</f>
        <v>3516452</v>
      </c>
      <c r="L46" s="393">
        <f t="shared" si="1"/>
        <v>3955136</v>
      </c>
      <c r="M46" s="499">
        <f>SUM(M40:M45)</f>
        <v>616258</v>
      </c>
      <c r="N46" s="715">
        <f t="shared" si="2"/>
        <v>15.581208838330717</v>
      </c>
      <c r="O46" s="516">
        <f>SUM(O40:O45)</f>
        <v>194340</v>
      </c>
      <c r="P46" s="367">
        <f t="shared" si="3"/>
        <v>4149476</v>
      </c>
    </row>
    <row r="47" spans="1:16" s="162" customFormat="1" ht="15.75">
      <c r="A47" s="389"/>
      <c r="B47" s="390" t="s">
        <v>361</v>
      </c>
      <c r="C47" s="412"/>
      <c r="D47" s="392"/>
      <c r="E47" s="392"/>
      <c r="F47" s="393">
        <f>SUM(F38+F46)</f>
        <v>1194238</v>
      </c>
      <c r="G47" s="393">
        <f>G38+G46</f>
        <v>414513</v>
      </c>
      <c r="H47" s="393">
        <f t="shared" si="5"/>
        <v>1608751</v>
      </c>
      <c r="I47" s="516">
        <f>I38+I46</f>
        <v>653389</v>
      </c>
      <c r="J47" s="367">
        <f t="shared" si="0"/>
        <v>40.614675608593245</v>
      </c>
      <c r="K47" s="393">
        <f>K38+K46</f>
        <v>4231201</v>
      </c>
      <c r="L47" s="393">
        <f t="shared" si="1"/>
        <v>5839952</v>
      </c>
      <c r="M47" s="516">
        <f>M38+M46</f>
        <v>1458625</v>
      </c>
      <c r="N47" s="715">
        <f t="shared" si="2"/>
        <v>24.976660767074797</v>
      </c>
      <c r="O47" s="516">
        <f>O38+O46</f>
        <v>496669</v>
      </c>
      <c r="P47" s="367">
        <f t="shared" si="3"/>
        <v>6336621</v>
      </c>
    </row>
    <row r="48" spans="3:14" ht="15">
      <c r="C48" s="413"/>
      <c r="F48" s="388"/>
      <c r="H48" s="388"/>
      <c r="J48" s="487"/>
      <c r="N48" s="712"/>
    </row>
    <row r="49" spans="1:16" s="162" customFormat="1" ht="15.75">
      <c r="A49" s="405"/>
      <c r="B49" s="398" t="s">
        <v>341</v>
      </c>
      <c r="C49" s="381"/>
      <c r="D49" s="277"/>
      <c r="E49" s="277"/>
      <c r="F49" s="277"/>
      <c r="G49" s="409"/>
      <c r="H49" s="388"/>
      <c r="I49" s="499"/>
      <c r="J49" s="487"/>
      <c r="K49" s="409"/>
      <c r="L49" s="388"/>
      <c r="M49" s="499"/>
      <c r="N49" s="712"/>
      <c r="O49" s="499"/>
      <c r="P49" s="342"/>
    </row>
    <row r="50" spans="1:16" s="162" customFormat="1" ht="15.75">
      <c r="A50" s="405" t="s">
        <v>137</v>
      </c>
      <c r="B50" s="398" t="s">
        <v>362</v>
      </c>
      <c r="C50" s="381"/>
      <c r="D50" s="277"/>
      <c r="E50" s="277"/>
      <c r="F50" s="277"/>
      <c r="G50" s="409"/>
      <c r="H50" s="388"/>
      <c r="I50" s="499"/>
      <c r="J50" s="487"/>
      <c r="K50" s="409"/>
      <c r="L50" s="388"/>
      <c r="M50" s="499"/>
      <c r="N50" s="712"/>
      <c r="O50" s="499"/>
      <c r="P50" s="342"/>
    </row>
    <row r="51" spans="1:16" ht="15">
      <c r="A51" s="414"/>
      <c r="B51" s="387" t="s">
        <v>49</v>
      </c>
      <c r="C51" s="415" t="s">
        <v>139</v>
      </c>
      <c r="D51" s="214"/>
      <c r="E51" s="214"/>
      <c r="F51" s="402">
        <f>SUM('címrendes bevétel'!M140)</f>
        <v>0</v>
      </c>
      <c r="G51" s="388">
        <v>0</v>
      </c>
      <c r="H51" s="388">
        <f>F51+G51</f>
        <v>0</v>
      </c>
      <c r="I51" s="342">
        <v>0</v>
      </c>
      <c r="J51" s="487">
        <v>0</v>
      </c>
      <c r="K51" s="388">
        <v>0</v>
      </c>
      <c r="L51" s="388">
        <f t="shared" si="1"/>
        <v>0</v>
      </c>
      <c r="M51" s="363">
        <v>0</v>
      </c>
      <c r="N51" s="712">
        <v>0</v>
      </c>
      <c r="O51" s="342">
        <v>0</v>
      </c>
      <c r="P51" s="342">
        <v>0</v>
      </c>
    </row>
    <row r="52" spans="1:16" ht="15">
      <c r="A52" s="416"/>
      <c r="B52" s="417" t="s">
        <v>54</v>
      </c>
      <c r="C52" s="418" t="s">
        <v>140</v>
      </c>
      <c r="D52" s="419"/>
      <c r="E52" s="419"/>
      <c r="F52" s="420">
        <f>SUM('címrendes bevétel'!M141+'címrendes bevétel'!M142)</f>
        <v>0</v>
      </c>
      <c r="G52" s="420">
        <v>16055</v>
      </c>
      <c r="H52" s="420">
        <f>F52+G52</f>
        <v>16055</v>
      </c>
      <c r="I52" s="365">
        <v>0</v>
      </c>
      <c r="J52" s="502">
        <f t="shared" si="0"/>
        <v>0</v>
      </c>
      <c r="K52" s="388">
        <v>39668</v>
      </c>
      <c r="L52" s="388">
        <f t="shared" si="1"/>
        <v>55723</v>
      </c>
      <c r="M52" s="365">
        <v>0</v>
      </c>
      <c r="N52" s="712">
        <f t="shared" si="2"/>
        <v>0</v>
      </c>
      <c r="O52" s="342">
        <v>98001</v>
      </c>
      <c r="P52" s="342">
        <f t="shared" si="3"/>
        <v>153724</v>
      </c>
    </row>
    <row r="53" spans="1:16" s="162" customFormat="1" ht="15.75">
      <c r="A53" s="405"/>
      <c r="B53" s="398" t="s">
        <v>142</v>
      </c>
      <c r="C53" s="381"/>
      <c r="D53" s="277"/>
      <c r="E53" s="277"/>
      <c r="F53" s="421">
        <f>SUM(F51:F52)</f>
        <v>0</v>
      </c>
      <c r="G53" s="393">
        <f>SUM(G51:G52)</f>
        <v>16055</v>
      </c>
      <c r="H53" s="393">
        <f>F53+G53</f>
        <v>16055</v>
      </c>
      <c r="I53" s="516">
        <f>SUM(I51:I52)</f>
        <v>0</v>
      </c>
      <c r="J53" s="367">
        <f t="shared" si="0"/>
        <v>0</v>
      </c>
      <c r="K53" s="393">
        <f>SUM(K51:K52)</f>
        <v>39668</v>
      </c>
      <c r="L53" s="393">
        <f t="shared" si="1"/>
        <v>55723</v>
      </c>
      <c r="M53" s="499">
        <f>SUM(M51:M52)</f>
        <v>0</v>
      </c>
      <c r="N53" s="715">
        <f t="shared" si="2"/>
        <v>0</v>
      </c>
      <c r="O53" s="516">
        <f>SUM(O51:O52)</f>
        <v>98001</v>
      </c>
      <c r="P53" s="367">
        <f t="shared" si="3"/>
        <v>153724</v>
      </c>
    </row>
    <row r="54" spans="1:16" s="162" customFormat="1" ht="15.75">
      <c r="A54" s="389" t="s">
        <v>143</v>
      </c>
      <c r="B54" s="390" t="s">
        <v>144</v>
      </c>
      <c r="C54" s="391"/>
      <c r="D54" s="392"/>
      <c r="E54" s="392"/>
      <c r="F54" s="393">
        <f>SUM('címrendes bevétel'!M145+'címrendes bevétel'!M150+'címrendes bevétel'!M154+'címrendes bevétel'!M158)</f>
        <v>144430</v>
      </c>
      <c r="G54" s="393">
        <v>28116</v>
      </c>
      <c r="H54" s="393">
        <f>F54+G54</f>
        <v>172546</v>
      </c>
      <c r="I54" s="516">
        <v>0</v>
      </c>
      <c r="J54" s="367">
        <f t="shared" si="0"/>
        <v>0</v>
      </c>
      <c r="K54" s="409">
        <v>1733008</v>
      </c>
      <c r="L54" s="409">
        <f t="shared" si="1"/>
        <v>1905554</v>
      </c>
      <c r="M54" s="516">
        <v>437589</v>
      </c>
      <c r="N54" s="715">
        <f t="shared" si="2"/>
        <v>22.963872973424003</v>
      </c>
      <c r="O54" s="499">
        <v>0</v>
      </c>
      <c r="P54" s="758">
        <f t="shared" si="3"/>
        <v>1905554</v>
      </c>
    </row>
    <row r="55" spans="1:16" s="162" customFormat="1" ht="15.75">
      <c r="A55" s="389"/>
      <c r="B55" s="390" t="s">
        <v>148</v>
      </c>
      <c r="C55" s="422"/>
      <c r="D55" s="392"/>
      <c r="E55" s="392"/>
      <c r="F55" s="393">
        <f>SUM(F53+F54)</f>
        <v>144430</v>
      </c>
      <c r="G55" s="393">
        <f>G53+G54</f>
        <v>44171</v>
      </c>
      <c r="H55" s="393">
        <f>F55+G55</f>
        <v>188601</v>
      </c>
      <c r="I55" s="516">
        <v>0</v>
      </c>
      <c r="J55" s="367">
        <f t="shared" si="0"/>
        <v>0</v>
      </c>
      <c r="K55" s="393">
        <f>SUM(K53:K54)</f>
        <v>1772676</v>
      </c>
      <c r="L55" s="393">
        <f t="shared" si="1"/>
        <v>1961277</v>
      </c>
      <c r="M55" s="516">
        <f>SUM(M54)</f>
        <v>437589</v>
      </c>
      <c r="N55" s="715">
        <f t="shared" si="2"/>
        <v>22.311432806278766</v>
      </c>
      <c r="O55" s="516">
        <f>O53+O54</f>
        <v>98001</v>
      </c>
      <c r="P55" s="367">
        <f t="shared" si="3"/>
        <v>2059278</v>
      </c>
    </row>
    <row r="56" spans="3:14" ht="15">
      <c r="C56" s="413"/>
      <c r="F56" s="388"/>
      <c r="H56" s="388"/>
      <c r="J56" s="487"/>
      <c r="N56" s="712"/>
    </row>
    <row r="57" spans="1:16" s="162" customFormat="1" ht="15.75">
      <c r="A57" s="405" t="s">
        <v>101</v>
      </c>
      <c r="B57" s="398" t="s">
        <v>363</v>
      </c>
      <c r="C57" s="381"/>
      <c r="D57" s="277"/>
      <c r="E57" s="277"/>
      <c r="F57" s="277"/>
      <c r="G57" s="409"/>
      <c r="H57" s="388"/>
      <c r="I57" s="499"/>
      <c r="J57" s="487"/>
      <c r="K57" s="409"/>
      <c r="L57" s="388"/>
      <c r="M57" s="499"/>
      <c r="N57" s="712"/>
      <c r="O57" s="499"/>
      <c r="P57" s="342"/>
    </row>
    <row r="58" spans="1:16" ht="15">
      <c r="A58" s="414"/>
      <c r="B58" s="423" t="s">
        <v>181</v>
      </c>
      <c r="C58" s="214" t="s">
        <v>364</v>
      </c>
      <c r="D58" s="214"/>
      <c r="E58" s="214"/>
      <c r="F58" s="402">
        <f>SUM('címrendes kiadás'!M161)</f>
        <v>69579</v>
      </c>
      <c r="G58" s="388">
        <v>0</v>
      </c>
      <c r="H58" s="388">
        <f>F58+G58</f>
        <v>69579</v>
      </c>
      <c r="I58" s="342">
        <v>26825</v>
      </c>
      <c r="J58" s="487">
        <f t="shared" si="0"/>
        <v>38.553299127610344</v>
      </c>
      <c r="K58" s="388">
        <v>3631</v>
      </c>
      <c r="L58" s="388">
        <f t="shared" si="1"/>
        <v>73210</v>
      </c>
      <c r="M58" s="363">
        <v>104947</v>
      </c>
      <c r="N58" s="712">
        <f t="shared" si="2"/>
        <v>143.35063515913126</v>
      </c>
      <c r="O58" s="342">
        <v>0</v>
      </c>
      <c r="P58" s="342">
        <f t="shared" si="3"/>
        <v>73210</v>
      </c>
    </row>
    <row r="59" spans="1:16" ht="15">
      <c r="A59" s="416"/>
      <c r="B59" s="424" t="s">
        <v>189</v>
      </c>
      <c r="C59" s="419" t="s">
        <v>186</v>
      </c>
      <c r="D59" s="419"/>
      <c r="E59" s="419"/>
      <c r="F59" s="420">
        <f>SUM('címrendes kiadás'!M165)</f>
        <v>138750</v>
      </c>
      <c r="G59" s="420">
        <v>0</v>
      </c>
      <c r="H59" s="420">
        <f>F59+G59</f>
        <v>138750</v>
      </c>
      <c r="I59" s="365">
        <v>62500</v>
      </c>
      <c r="J59" s="502">
        <f t="shared" si="0"/>
        <v>45.04504504504504</v>
      </c>
      <c r="K59" s="388">
        <v>0</v>
      </c>
      <c r="L59" s="388">
        <f t="shared" si="1"/>
        <v>138750</v>
      </c>
      <c r="M59" s="365">
        <v>92500</v>
      </c>
      <c r="N59" s="712">
        <f t="shared" si="2"/>
        <v>66.66666666666666</v>
      </c>
      <c r="O59" s="342">
        <v>0</v>
      </c>
      <c r="P59" s="342">
        <f t="shared" si="3"/>
        <v>138750</v>
      </c>
    </row>
    <row r="60" spans="1:16" s="162" customFormat="1" ht="15.75">
      <c r="A60" s="394"/>
      <c r="B60" s="395" t="s">
        <v>365</v>
      </c>
      <c r="C60" s="397"/>
      <c r="D60" s="397"/>
      <c r="E60" s="397"/>
      <c r="F60" s="425">
        <f>SUM(F58:F59)</f>
        <v>208329</v>
      </c>
      <c r="G60" s="393">
        <f>SUM(G58:G59)</f>
        <v>0</v>
      </c>
      <c r="H60" s="393">
        <f>F60+G60</f>
        <v>208329</v>
      </c>
      <c r="I60" s="516">
        <f>SUM(I58:I59)</f>
        <v>89325</v>
      </c>
      <c r="J60" s="367">
        <f t="shared" si="0"/>
        <v>42.87689183935026</v>
      </c>
      <c r="K60" s="393">
        <f>SUM(K58:K59)</f>
        <v>3631</v>
      </c>
      <c r="L60" s="393">
        <f t="shared" si="1"/>
        <v>211960</v>
      </c>
      <c r="M60" s="516">
        <f>SUM(M58:M59)</f>
        <v>197447</v>
      </c>
      <c r="N60" s="715">
        <f t="shared" si="2"/>
        <v>93.1529533874316</v>
      </c>
      <c r="O60" s="516">
        <f>SUM(O58:O59)</f>
        <v>0</v>
      </c>
      <c r="P60" s="367">
        <f t="shared" si="3"/>
        <v>211960</v>
      </c>
    </row>
    <row r="61" spans="1:16" s="162" customFormat="1" ht="15.75">
      <c r="A61" s="394"/>
      <c r="B61" s="395"/>
      <c r="C61" s="397"/>
      <c r="D61" s="397"/>
      <c r="E61" s="397"/>
      <c r="F61" s="425"/>
      <c r="G61" s="393"/>
      <c r="H61" s="428"/>
      <c r="I61" s="516"/>
      <c r="J61" s="369"/>
      <c r="K61" s="409"/>
      <c r="L61" s="388"/>
      <c r="M61" s="499"/>
      <c r="N61" s="712"/>
      <c r="O61" s="499"/>
      <c r="P61" s="342"/>
    </row>
    <row r="62" spans="1:16" s="162" customFormat="1" ht="15.75">
      <c r="A62" s="394"/>
      <c r="B62" s="395" t="s">
        <v>149</v>
      </c>
      <c r="C62" s="397"/>
      <c r="D62" s="397"/>
      <c r="E62" s="397"/>
      <c r="F62" s="425">
        <f>SUM(F55+F25)</f>
        <v>1402567</v>
      </c>
      <c r="G62" s="393">
        <f>G25+G55</f>
        <v>414513</v>
      </c>
      <c r="H62" s="393">
        <f>F62+G62</f>
        <v>1817080</v>
      </c>
      <c r="I62" s="516">
        <f>I25+I55</f>
        <v>833229</v>
      </c>
      <c r="J62" s="367">
        <f t="shared" si="0"/>
        <v>45.85538336231757</v>
      </c>
      <c r="K62" s="393">
        <f>K25+K55</f>
        <v>4234832</v>
      </c>
      <c r="L62" s="393">
        <f t="shared" si="1"/>
        <v>6051912</v>
      </c>
      <c r="M62" s="516">
        <f>M25+M55</f>
        <v>2179846</v>
      </c>
      <c r="N62" s="715">
        <f t="shared" si="2"/>
        <v>36.01912916116427</v>
      </c>
      <c r="O62" s="516">
        <f>O25+O55</f>
        <v>496669</v>
      </c>
      <c r="P62" s="367">
        <f t="shared" si="3"/>
        <v>6548581</v>
      </c>
    </row>
    <row r="63" spans="1:16" s="162" customFormat="1" ht="15.75">
      <c r="A63" s="389"/>
      <c r="B63" s="390" t="s">
        <v>348</v>
      </c>
      <c r="C63" s="392"/>
      <c r="D63" s="392"/>
      <c r="E63" s="392"/>
      <c r="F63" s="393">
        <f>SUM(F60+F47)</f>
        <v>1402567</v>
      </c>
      <c r="G63" s="393">
        <f>G47+G60</f>
        <v>414513</v>
      </c>
      <c r="H63" s="393">
        <f>F63+G63</f>
        <v>1817080</v>
      </c>
      <c r="I63" s="516">
        <f>I47+I60</f>
        <v>742714</v>
      </c>
      <c r="J63" s="367">
        <f t="shared" si="0"/>
        <v>40.87403966803883</v>
      </c>
      <c r="K63" s="393">
        <f>K47+K60</f>
        <v>4234832</v>
      </c>
      <c r="L63" s="393">
        <f t="shared" si="1"/>
        <v>6051912</v>
      </c>
      <c r="M63" s="516">
        <f>M47+M60</f>
        <v>1656072</v>
      </c>
      <c r="N63" s="715">
        <f t="shared" si="2"/>
        <v>27.364442840543617</v>
      </c>
      <c r="O63" s="516">
        <f>O47+O60</f>
        <v>496669</v>
      </c>
      <c r="P63" s="367">
        <f t="shared" si="3"/>
        <v>6548581</v>
      </c>
    </row>
    <row r="65" ht="15">
      <c r="A65" s="812" t="s">
        <v>827</v>
      </c>
    </row>
  </sheetData>
  <mergeCells count="4">
    <mergeCell ref="A7:E7"/>
    <mergeCell ref="D1:P1"/>
    <mergeCell ref="A3:P3"/>
    <mergeCell ref="F6:P6"/>
  </mergeCells>
  <printOptions/>
  <pageMargins left="0.75" right="0.75" top="0.5" bottom="0.5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Szarvas Város Önkormányzata</dc:creator>
  <cp:keywords/>
  <dc:description/>
  <cp:lastModifiedBy>Polgármesteri Hivtal Szarvas</cp:lastModifiedBy>
  <cp:lastPrinted>2013-09-20T06:24:03Z</cp:lastPrinted>
  <dcterms:created xsi:type="dcterms:W3CDTF">2009-11-09T12:52:48Z</dcterms:created>
  <dcterms:modified xsi:type="dcterms:W3CDTF">2013-09-20T06:24:43Z</dcterms:modified>
  <cp:category/>
  <cp:version/>
  <cp:contentType/>
  <cp:contentStatus/>
  <cp:revision>3</cp:revision>
</cp:coreProperties>
</file>