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45" windowWidth="15195" windowHeight="8370" tabRatio="903" activeTab="4"/>
  </bookViews>
  <sheets>
    <sheet name="1. info tábla" sheetId="1" r:id="rId1"/>
    <sheet name="2. info tábla" sheetId="2" r:id="rId2"/>
    <sheet name="3. info tábla" sheetId="3" r:id="rId3"/>
    <sheet name="4. info tábla" sheetId="4" r:id="rId4"/>
    <sheet name="5. info tábla" sheetId="5" r:id="rId5"/>
  </sheets>
  <definedNames>
    <definedName name="_xlnm.Print_Titles" localSheetId="0">'1. info tábla'!$A:$A,'1. info tábla'!$4:$4</definedName>
    <definedName name="_xlnm.Print_Titles" localSheetId="1">'2. info tábla'!$5:$6</definedName>
  </definedNames>
  <calcPr fullCalcOnLoad="1"/>
</workbook>
</file>

<file path=xl/sharedStrings.xml><?xml version="1.0" encoding="utf-8"?>
<sst xmlns="http://schemas.openxmlformats.org/spreadsheetml/2006/main" count="957" uniqueCount="422">
  <si>
    <t>Jogcím</t>
  </si>
  <si>
    <t>I.</t>
  </si>
  <si>
    <t>Összesen:</t>
  </si>
  <si>
    <t>1.</t>
  </si>
  <si>
    <t>2.</t>
  </si>
  <si>
    <t>3.</t>
  </si>
  <si>
    <t>4.</t>
  </si>
  <si>
    <t xml:space="preserve">II. </t>
  </si>
  <si>
    <t>III.</t>
  </si>
  <si>
    <t>IV.</t>
  </si>
  <si>
    <t>MINDÖSSZESEN:</t>
  </si>
  <si>
    <t>Dologi kiadások</t>
  </si>
  <si>
    <t>V.</t>
  </si>
  <si>
    <t>Összesen</t>
  </si>
  <si>
    <t>fő</t>
  </si>
  <si>
    <t>Ft</t>
  </si>
  <si>
    <t>ÖSSZESEN:</t>
  </si>
  <si>
    <t>Saját bevétel</t>
  </si>
  <si>
    <t>KIMUTATÁS</t>
  </si>
  <si>
    <t>Telekadó</t>
  </si>
  <si>
    <t>Kommunális adó</t>
  </si>
  <si>
    <t>Építményadó</t>
  </si>
  <si>
    <t>Jurisics vár turisztikai megújítása</t>
  </si>
  <si>
    <t>Működési célú pénzmaradvány</t>
  </si>
  <si>
    <t>Kőszeg Város Önkormányzata</t>
  </si>
  <si>
    <t>Megnevezés</t>
  </si>
  <si>
    <t>Bevétel</t>
  </si>
  <si>
    <t>Kiadás</t>
  </si>
  <si>
    <t>összeg</t>
  </si>
  <si>
    <t>megnevezés</t>
  </si>
  <si>
    <t>Polgári védelem</t>
  </si>
  <si>
    <t>dologi kiadás</t>
  </si>
  <si>
    <t>TÁMOGATÁSOK</t>
  </si>
  <si>
    <t>működési átadás</t>
  </si>
  <si>
    <t>Orvosi ügyelet (TKT-nak)</t>
  </si>
  <si>
    <t>(új szerződés alapján)</t>
  </si>
  <si>
    <t>Kőszegi SK</t>
  </si>
  <si>
    <t>Fitt Boksz Klub Kőszeg</t>
  </si>
  <si>
    <t>Kőszegfalvi SE</t>
  </si>
  <si>
    <t>KŐSZEG ÉS VIDÉKE</t>
  </si>
  <si>
    <t>saját bevétel</t>
  </si>
  <si>
    <t>személyi jutt.</t>
  </si>
  <si>
    <t>járulékok</t>
  </si>
  <si>
    <t>dologi kiadások</t>
  </si>
  <si>
    <t>Pénzeszköz átadás</t>
  </si>
  <si>
    <t>Szociális Gondozási Központ</t>
  </si>
  <si>
    <t>Intézményi elszámolások</t>
  </si>
  <si>
    <t>Önkormányzati programok működtetése</t>
  </si>
  <si>
    <t>Munkavédelmi feladatok</t>
  </si>
  <si>
    <t>Tűzvédelmi feladatok</t>
  </si>
  <si>
    <t>Könyvvizsgálat</t>
  </si>
  <si>
    <t>Jogtanácsos</t>
  </si>
  <si>
    <t>Pályázati tanácsadó</t>
  </si>
  <si>
    <t>Pénzügyi szolgáltatások díja</t>
  </si>
  <si>
    <t>Áfa befizetés önkormányzati feladatok</t>
  </si>
  <si>
    <t>Dologi kiadások összesen</t>
  </si>
  <si>
    <t>VÁROS ÉS KÖZSÉGGAZDÁLKODÁS</t>
  </si>
  <si>
    <t xml:space="preserve">zsilipkezelési szolgáltatás </t>
  </si>
  <si>
    <t>közkutak vízdíja (várható teljesítés)</t>
  </si>
  <si>
    <t>Köztéri berendezések áramellátása</t>
  </si>
  <si>
    <t>Szúnyogirtás, rágcsálóírtás</t>
  </si>
  <si>
    <t>Különböző egyesületi tagdíjak</t>
  </si>
  <si>
    <t>Vagyonhasznosítás, működtetés</t>
  </si>
  <si>
    <t>Végrehajtási költségek</t>
  </si>
  <si>
    <t>közterülethasználati díjak</t>
  </si>
  <si>
    <t>üdülő, vendégszobák működtetése</t>
  </si>
  <si>
    <t>Üdülési díjak</t>
  </si>
  <si>
    <t>Önkormányzati vagyonbiztosítás</t>
  </si>
  <si>
    <t>VOLÁN TÁMOGATÁS</t>
  </si>
  <si>
    <t>dologi kiadás: szolgáltatás</t>
  </si>
  <si>
    <t>TURISZTIKAI FELADATOK</t>
  </si>
  <si>
    <t>Naturpark tagdíj</t>
  </si>
  <si>
    <t>Céltartalék: turisztika elsz. Alapján</t>
  </si>
  <si>
    <t>KHT szolgáltatási díjak</t>
  </si>
  <si>
    <t>összesen:</t>
  </si>
  <si>
    <t>KÖZTEMETŐ FENNTARTÁS</t>
  </si>
  <si>
    <t>sírhely árbevétel</t>
  </si>
  <si>
    <t>temető fenntartási munkák</t>
  </si>
  <si>
    <t>KÖZVILÁGÍTÁS</t>
  </si>
  <si>
    <t>Helyi adók beszedése</t>
  </si>
  <si>
    <t xml:space="preserve">Idegenforgalmi adó </t>
  </si>
  <si>
    <t>Adóértesítések postázása</t>
  </si>
  <si>
    <t>Iparűzési adó</t>
  </si>
  <si>
    <t>Talajterhelési díj</t>
  </si>
  <si>
    <t>Egyéb bevételek</t>
  </si>
  <si>
    <t>Finanszírozási műveletek</t>
  </si>
  <si>
    <t>pénzeszköz átadás (vérszállítás)</t>
  </si>
  <si>
    <t>PÉNZBELI ELLÁTÁSOK, SEGÉLYEK</t>
  </si>
  <si>
    <t>Hulladékgazdálkodási társulás</t>
  </si>
  <si>
    <t>Átvett pénzeszköz</t>
  </si>
  <si>
    <t>Pénzeszköz átadás (működési hozzájárulás)</t>
  </si>
  <si>
    <t>DIÁKSPORT</t>
  </si>
  <si>
    <t>Bölcsőde</t>
  </si>
  <si>
    <t>Központi Óvoda</t>
  </si>
  <si>
    <t>Újvárosi Óvoda</t>
  </si>
  <si>
    <t>Chernel Kálmán Városi Könyvtár</t>
  </si>
  <si>
    <t>I.) TELEPÜLÉSI ÖNKORMÁNYZATOK MŰKÖDÉSÉNEK TÁMOGATÁSA</t>
  </si>
  <si>
    <t>1. a) Önkormányzati hivatal működésének támogatása</t>
  </si>
  <si>
    <t>II.) TELEPÜLÉSI ÖNKORMÁNYZATOK EGYES KÖZNEVELÉSI FELADATAINAK TÁMOGATÁSA</t>
  </si>
  <si>
    <t>Köznevelési intézmények működtetési feladatai</t>
  </si>
  <si>
    <t>Intézményi étkeztetés gimnázium</t>
  </si>
  <si>
    <t xml:space="preserve">Intézményi étkeztetés </t>
  </si>
  <si>
    <t>Vásárolt élelmezés</t>
  </si>
  <si>
    <t>Saját bevétel összesen:</t>
  </si>
  <si>
    <t>Intézményi étkeztetés Dr. Nagy László</t>
  </si>
  <si>
    <t>Saját bevétel:</t>
  </si>
  <si>
    <t>Személyi juttatás:</t>
  </si>
  <si>
    <t>Támogatás értékű bevétel</t>
  </si>
  <si>
    <t>Járulék:</t>
  </si>
  <si>
    <t>Pénzeszköz átvétel áht-n kívülről</t>
  </si>
  <si>
    <t>Dologi kiadás:</t>
  </si>
  <si>
    <t>Támogatás értékű kiadás:</t>
  </si>
  <si>
    <t>Pénzeszköz átadás áht-n kívülre:</t>
  </si>
  <si>
    <t>Működési tartalék:</t>
  </si>
  <si>
    <t>Finanszírozási műveletek (hiteltörlesztés)</t>
  </si>
  <si>
    <t>Társadalom és szociálpolitikai juttatás</t>
  </si>
  <si>
    <t>Mindösszesen:</t>
  </si>
  <si>
    <t>Intézményi étkeztetés (Balog  és Bersek Iskola)</t>
  </si>
  <si>
    <t xml:space="preserve">Főépítész </t>
  </si>
  <si>
    <t>Felsővárosi Óvoda</t>
  </si>
  <si>
    <t>Kőszegfalvi Óvoda</t>
  </si>
  <si>
    <t>Munkaszervezeti feladatok</t>
  </si>
  <si>
    <t>Áfa bevétel (Vasivíz)</t>
  </si>
  <si>
    <t>Társulási tagdíj</t>
  </si>
  <si>
    <t>Támogatás értékű bevétel összesen:</t>
  </si>
  <si>
    <t>Rendkívüli támogatás maradványa</t>
  </si>
  <si>
    <t>Működési célú maradvány:</t>
  </si>
  <si>
    <t>kiegészítő gyerekvédelmi támogatás</t>
  </si>
  <si>
    <t>Egyszeri pénzbeli támogatás</t>
  </si>
  <si>
    <t>Egészségház építés</t>
  </si>
  <si>
    <t>Kőszeg Város Önkormányzatának többéves kihatással járó kötelezettségeiről (E Ft)</t>
  </si>
  <si>
    <t xml:space="preserve">Kőszeg Város Önkormányzata által nyútott közvetett támogatásokról </t>
  </si>
  <si>
    <t>Ellátottak térítési díjának, ill. kártérítésének méltányossági alapon történő elengedése:</t>
  </si>
  <si>
    <t>Kedvezmények miatti csökkentés:</t>
  </si>
  <si>
    <t>Tervezett bevétel összesen:</t>
  </si>
  <si>
    <t>Térítési díj támogatás (szociális ellátás)</t>
  </si>
  <si>
    <t>Közvetett támogatás összesen:</t>
  </si>
  <si>
    <t>Lakosság részére lakásépítéshez, lakásfelújításhoz nyújtott kölcsönök elengedése:</t>
  </si>
  <si>
    <t>Helyi adónál, gépjárműadónál biztosított kedvezmény, mentesség összege adónemenként:</t>
  </si>
  <si>
    <t>Gépjárműadó</t>
  </si>
  <si>
    <t>Kedvezmények miatti csökkentés</t>
  </si>
  <si>
    <t>Mentességek miatti csökkentés:</t>
  </si>
  <si>
    <t>Helyiségek, eszközök hasznosításából származó bevételből nyújtott kedvezmény, mentesség:</t>
  </si>
  <si>
    <t>Helyiségek bérbeadása, hasznosítása (Városüzemeltető Kft. által kezelt ingatlanok):</t>
  </si>
  <si>
    <t>Egyéb nyújtott kedvezmény vagy kölcsön elengedés:</t>
  </si>
  <si>
    <t>Ingatlan értékesítés (lakások) vételára:</t>
  </si>
  <si>
    <t>KÖZVETETT TÁMOGATÁSOK MINDÖSSZESEN:</t>
  </si>
  <si>
    <t xml:space="preserve">I. </t>
  </si>
  <si>
    <t>Digitális közműtérkép továbbvezetése</t>
  </si>
  <si>
    <t>Helyszínbírság bevétele</t>
  </si>
  <si>
    <t>Dologi kiadások összesen:</t>
  </si>
  <si>
    <t>Orvosi rendelők közüzemi költségei</t>
  </si>
  <si>
    <t>Járóbeteg ellátással kapcsolatos hozzájárulás</t>
  </si>
  <si>
    <t>Képviselői tiszteletdíjak és juttatások</t>
  </si>
  <si>
    <t>Munkaadói járulékok</t>
  </si>
  <si>
    <t xml:space="preserve">Támogatás értékű bevételek </t>
  </si>
  <si>
    <t>a.) Kőszeg Város Önkormányzata kötelező feladatai</t>
  </si>
  <si>
    <t>b.) Kőszeg Város Önkormányzata önként vállalt feladatai</t>
  </si>
  <si>
    <t>a.) Chernel Kálmán Városi Könyvtár kötelező feladatai</t>
  </si>
  <si>
    <t xml:space="preserve">Közgyűjteményi, könyvtári szolgáltatások nyújtása </t>
  </si>
  <si>
    <t>Könyvtári állomány gyarapítása</t>
  </si>
  <si>
    <t>b.) Chernel Kálmán Városi Könyvtár önként vállalt feladatai</t>
  </si>
  <si>
    <t>a.) Jurisics-vár Művelődési Központ és Várszínház kötelező feladatai</t>
  </si>
  <si>
    <t>b.) Jurisics-vár Művelődési Központ és Várszínház önként vállalt feladatai</t>
  </si>
  <si>
    <t>Közművelődési feladatok ellátása</t>
  </si>
  <si>
    <t>Közművelődési feladatok ellátása: városi rendezvények, ünnepek szervezése</t>
  </si>
  <si>
    <t>Várszínházi rendezvények</t>
  </si>
  <si>
    <t>a.) Kőszegi Városi Múzeum kötelező feladatai</t>
  </si>
  <si>
    <t>Múzeumi, közgyűjteményi feladatok ellátása</t>
  </si>
  <si>
    <t>b.) Kőszegi Városi Múzeum önként vállalt feladatai</t>
  </si>
  <si>
    <t xml:space="preserve">V. </t>
  </si>
  <si>
    <t>a.) Kőszegi Közös Önkormányzati Hivatal kötelező feladatai</t>
  </si>
  <si>
    <t>b.)Kőszegi Közös Önkormányzati Hivatal önként vállalt feladatai</t>
  </si>
  <si>
    <t>c.) Kőszegi Közös Önkormányzati Hivatal államigazgatási feladatai</t>
  </si>
  <si>
    <t>Önkormányzatok igazgatási tevékenysége</t>
  </si>
  <si>
    <t>Települési önkormányzatok hozzájárulása közös hivatalhoz</t>
  </si>
  <si>
    <t>Települési önkormányzatok hozzájárulása munkaszervezeti feladatokhoz</t>
  </si>
  <si>
    <t>Kőszeg Város Önkormányzata és intézményei kötelező feladatai mindösszesen (I.a.), II.a), III.a.), IV.a), V.a)</t>
  </si>
  <si>
    <t>Kőszeg Város Önkormányzata és intézményei önként vállalt feladatai mindösszesen (I.b.), II.b), III.b.), IV.b), V.b)</t>
  </si>
  <si>
    <t>Kőszeg Város Önkormányzata és intézményei államigazgatási feladatai mindösszesen (V.c)</t>
  </si>
  <si>
    <t>Térítési díjak (kedvezmény jogszabályi előíráson alapul)</t>
  </si>
  <si>
    <t>Kőszeg Város Önkormányzata által igényelhető állami támogatások</t>
  </si>
  <si>
    <t>Kőszegi Közös Önkormányzati Hivatal</t>
  </si>
  <si>
    <t>Jurisics-vár  Művelődési Központ és Várszínház</t>
  </si>
  <si>
    <t>Kőszegi Városi Múzeum</t>
  </si>
  <si>
    <t>Horvátzsidányi Óvoda</t>
  </si>
  <si>
    <t>Peresznyei Óvoda</t>
  </si>
  <si>
    <t>Bölcsöde</t>
  </si>
  <si>
    <t>Központi Óvdoda összesen:</t>
  </si>
  <si>
    <t>Bozsoki Óvoda</t>
  </si>
  <si>
    <t>Velemi Óvoda</t>
  </si>
  <si>
    <t xml:space="preserve">Újvárosi Óvoda összesen: </t>
  </si>
  <si>
    <t xml:space="preserve">Szociális Gondozási Központ </t>
  </si>
  <si>
    <t>Gyermekétkeztetés Balog</t>
  </si>
  <si>
    <t>Gyermekétkeztetés Bersek Iskolában</t>
  </si>
  <si>
    <t>Gyermekétkeztetés K.szerdahelyi  Iskolában</t>
  </si>
  <si>
    <t>Gyermekétkeztetés Horvátzsidányi Iskolában</t>
  </si>
  <si>
    <t>Gyermekétkeztetés TÁRSULÁS ÁLTAL  összesen:</t>
  </si>
  <si>
    <t>2014.     Összesen</t>
  </si>
  <si>
    <t>2. MELLÉKLET ÁLTALÁNOS MŰKÖDÉSI ÉS ÁGAZATI FELADATOK TÁMOGATÁSA</t>
  </si>
  <si>
    <t>Közös hivatal működésének támogatása)(4 580 000 Ft/fő)</t>
  </si>
  <si>
    <t>1. b) Település-üzemeltetéshez kapcsolódó feladatellátás támogatása beszámítás után (79 184 607 - 13 517 169)</t>
  </si>
  <si>
    <t xml:space="preserve">1.   Óvodapedagógusok átlagbérének és közterheinek  </t>
  </si>
  <si>
    <t xml:space="preserve">1.  Óvodapedagógusok átlagbérének és közterheinek </t>
  </si>
  <si>
    <t xml:space="preserve">1.   Pótlólagos összeg 2014/2015. tanévre óvodapedagógusok </t>
  </si>
  <si>
    <t xml:space="preserve">1.  Óvodapedagógusok munkáját közvetlenül segítők      </t>
  </si>
  <si>
    <t xml:space="preserve">      bérének és járulékainak támogatása (8 hóra, 1800 E Ft /év)</t>
  </si>
  <si>
    <t>III.) TELEPÜLÉSI ÖNKORMÁNYZATOK SZOCIÁLIS, GYERMEKJÓLÉTI ÉS GYERMEKÉTKEZTETÉSI FELADATAINAK TÁMOGATÁSA</t>
  </si>
  <si>
    <t xml:space="preserve">2.        Hozzájárulás pénzbeli szociális ellátásokhoz </t>
  </si>
  <si>
    <t>beszámítás után ( 21 633 695- 10 816 848)</t>
  </si>
  <si>
    <t>3.aa.)   70000 fő lakosságszámig működési   engedéllyel-</t>
  </si>
  <si>
    <t xml:space="preserve">            családsegítés </t>
  </si>
  <si>
    <t>3.  ad.)    társulási kiegészítés-családsegítés</t>
  </si>
  <si>
    <t xml:space="preserve">            (300  Ft/társult lakosságszám)</t>
  </si>
  <si>
    <t>3. aa.)      70000 fő lakosságszámig működési engedéllyel</t>
  </si>
  <si>
    <t xml:space="preserve">              -gyermekjóléti szolgálat</t>
  </si>
  <si>
    <t xml:space="preserve"> 3.  ad.)   társulási kiegészítés-gyermekjóléti szolgálat</t>
  </si>
  <si>
    <t xml:space="preserve">           ( 1 200 Ft/ a települések 0-17 korosztály lakosságszáma)</t>
  </si>
  <si>
    <t>3. c.)  Szociális étkeztetés</t>
  </si>
  <si>
    <t xml:space="preserve">           (55 360  Ft/ellátott )</t>
  </si>
  <si>
    <t xml:space="preserve">3. c.)    társulási kiegészítés - szociális étkeztetésehez </t>
  </si>
  <si>
    <t xml:space="preserve">           (5 536  Ft/ellátott )</t>
  </si>
  <si>
    <t>3.  d.)   Házi segítségnyújtás</t>
  </si>
  <si>
    <t xml:space="preserve">          (145 000 Ft/ellátott)</t>
  </si>
  <si>
    <t xml:space="preserve">3. d.)    társulási kiegészítés - házi segítségnyújtáshoz </t>
  </si>
  <si>
    <t xml:space="preserve">           (43 500 Ft/ellátott )</t>
  </si>
  <si>
    <t xml:space="preserve">3. e.)   Falugondnoki vagy tanyagondnoki </t>
  </si>
  <si>
    <t>db</t>
  </si>
  <si>
    <t xml:space="preserve">           szolgálat összesen (Kiszsidány) </t>
  </si>
  <si>
    <t>3.  f. )   Időskorúak nappali intézményi ellátása</t>
  </si>
  <si>
    <t xml:space="preserve">           (109 000 Ft/ellátott )</t>
  </si>
  <si>
    <t xml:space="preserve">3.  f. )    társulási kiegészítés -időskorúak nappali </t>
  </si>
  <si>
    <t xml:space="preserve">          intézményi ellátása  (54 500 Ft/ellátott )</t>
  </si>
  <si>
    <t>3.  i.)  Hajléktalanok nappali intézményi ellátása</t>
  </si>
  <si>
    <t xml:space="preserve">           (206 100 Ft/ellátott )</t>
  </si>
  <si>
    <t xml:space="preserve">3.  i.)  társulási kiegészítés  -  Hajléktalanok </t>
  </si>
  <si>
    <t xml:space="preserve">            nappali intézményi ellátása  (41 220  Ft/ellátott )</t>
  </si>
  <si>
    <t>3.  ja.)  Bölcsödei ellátás-gyermekek napközbeni ellátása</t>
  </si>
  <si>
    <t xml:space="preserve">           (494 100 Ft/ellátott )</t>
  </si>
  <si>
    <t>3.  k.)   Hajléktalanok átmeneti szállása</t>
  </si>
  <si>
    <t xml:space="preserve">           (468 350 Ft/ellátott )</t>
  </si>
  <si>
    <t>3.  k.)  társulási kiegészítés  - hajléktalanok átmeneti szállása</t>
  </si>
  <si>
    <t xml:space="preserve">           (46 835 Ft/ellátott )</t>
  </si>
  <si>
    <t xml:space="preserve"> 5 . a.) Gyermekétkeztetés támogatása</t>
  </si>
  <si>
    <t>elismerhető dolgozók bértámogatása (1 632 000 Ft/fő)</t>
  </si>
  <si>
    <t xml:space="preserve"> 5 .b.)   Gyermekétkeztetés </t>
  </si>
  <si>
    <t>üzemeltetési támogatása</t>
  </si>
  <si>
    <t>IV.) TELEPÜLÉSI ÖNKORMÁNYZATOK KULTURÁLIS FELADATAINAK  TÁMOGATÁSA</t>
  </si>
  <si>
    <t xml:space="preserve">1.d.  )   Nyilvános könyvtári és közművelődési </t>
  </si>
  <si>
    <t xml:space="preserve">           feladatok támogatása  (1 140 Ft/fő)</t>
  </si>
  <si>
    <t xml:space="preserve">1. e. ) Települési önkormányzatok múzeális  intézményi </t>
  </si>
  <si>
    <t xml:space="preserve">          feladatainak támogatása  (2013.évi szinten)</t>
  </si>
  <si>
    <t>V.) BESZÁMÍTÁS ÖSSZEGE</t>
  </si>
  <si>
    <t>elvárt bevétel a 2012. évi iparűzési adóalap 0,5%-ának a 70 %-a</t>
  </si>
  <si>
    <t>(előző jogcímeknél levonva)</t>
  </si>
  <si>
    <t>3. MELLÉKLET KÖZPONTOSÍTOTT ELŐIRÁNYZATOK</t>
  </si>
  <si>
    <t xml:space="preserve">       (1,5 Ft / idegenforgalmi adóbevétel tartozkodás után)</t>
  </si>
  <si>
    <t xml:space="preserve">3. MELLÉKLET KÖZPONTOSÍTOTT ELŐIRÁNYZATOK </t>
  </si>
  <si>
    <t>KÖZPONTI TÁMOGATÁS MINDÖSSZESEN ÖNKORMÁNYZATI SZINTEN</t>
  </si>
  <si>
    <t>KŐSZEG</t>
  </si>
  <si>
    <t>KŐSZEG VÁROS ÉS TÉRSÉGE TÁRSULÁSA RÉSZÉRE TÁMOGATÁS ÉRTÉKŰ KIADÁSKÉNT ÁTADANDÓ</t>
  </si>
  <si>
    <t>Kőszeg Város és Térsége Társulása intézményekre vonatkozó állami támogatás átadása</t>
  </si>
  <si>
    <t>Intézményi feladatok ellátása, hozzájárulása</t>
  </si>
  <si>
    <t>áramdíj (új szerződés és teljesítés alapján)</t>
  </si>
  <si>
    <t>díszvilágítás karbantartása</t>
  </si>
  <si>
    <t>szolgáltatási díj (megtakarítás 20%-a)</t>
  </si>
  <si>
    <t xml:space="preserve">dologi kiadás </t>
  </si>
  <si>
    <t>társadalom és szociálpolitikai juttatások Kötelező</t>
  </si>
  <si>
    <t>Önkéntes tűzoltó egyesület Kőszeg</t>
  </si>
  <si>
    <t>Önkéntes tűzoltó egyesület Kőszegfalva</t>
  </si>
  <si>
    <t>Concordia Barátság Énekegyüttes</t>
  </si>
  <si>
    <t>Kőszeg Város Fúvószenekara</t>
  </si>
  <si>
    <t>Hajnalcsillag Néptánc Egyesület</t>
  </si>
  <si>
    <t>Ataru ütősegyüttes</t>
  </si>
  <si>
    <t>Kőszegi Művészeti Egyesület</t>
  </si>
  <si>
    <t>Polgárőrség</t>
  </si>
  <si>
    <t>Gyemeküdültetés</t>
  </si>
  <si>
    <t>Polgármesteri keret</t>
  </si>
  <si>
    <t>Nemzetiségi önkormányzatok támogatása</t>
  </si>
  <si>
    <t>3 önkormányzat*600 000 Ft/év</t>
  </si>
  <si>
    <t>Kőszegi Vonósok Művészeti Egyesület</t>
  </si>
  <si>
    <t>Pénzeszköz átadás összesen:</t>
  </si>
  <si>
    <t>Kamatbevételek</t>
  </si>
  <si>
    <t>Vagyonhasznosítási tartalék</t>
  </si>
  <si>
    <t>Árpádházi Óvoda támogatása</t>
  </si>
  <si>
    <t>Támogatás értékű bevételek:</t>
  </si>
  <si>
    <t>Munkáltatói járulékok</t>
  </si>
  <si>
    <t>működési célú pénzeszköz átadás: Naturpark támogatása</t>
  </si>
  <si>
    <t>Naturpark támogatása</t>
  </si>
  <si>
    <t>társadalom és szociálpolitikai juttatások önként vállalt</t>
  </si>
  <si>
    <t>EGYÉB SZÓRAKOZTATÓ TEVÉKENYSÉG, KITÜNTETÉSEK</t>
  </si>
  <si>
    <t>Személyi juttatások</t>
  </si>
  <si>
    <t>ORVOSI RENDELŐK, SZAKRENDELŐ</t>
  </si>
  <si>
    <t>Vár Kő-Közmű pályázat</t>
  </si>
  <si>
    <t>Működési célú maradvány</t>
  </si>
  <si>
    <t>Foglalkoztatási paktum II. pályázat</t>
  </si>
  <si>
    <t>2014.</t>
  </si>
  <si>
    <t>5.</t>
  </si>
  <si>
    <t>6.</t>
  </si>
  <si>
    <t>Mindösszesen (I.+II.+III.+IV.+V. pontok):</t>
  </si>
  <si>
    <t>Kőszeg Város Önkormányzata és intézményei 2015. évi működési bevételei és kiadásai feladatjelleg szerint (Ft)</t>
  </si>
  <si>
    <t>Statikai szakvélemények (Rákóczi u. 78., várfal)</t>
  </si>
  <si>
    <t>Gépjármű adó (itt maradó része)</t>
  </si>
  <si>
    <t>Kamat kiadások (dologi kiadás)</t>
  </si>
  <si>
    <t>Tartalék (közfoglalkoztatás saját erő)</t>
  </si>
  <si>
    <t>PÁLYÁZATOKKAL KAPCSOLATOS MŰKÖDÉSI KÖLTSÉGEK</t>
  </si>
  <si>
    <t>szolgáltatási díjak (2015. évi terv)</t>
  </si>
  <si>
    <t>Pályázati támogatás: Foglalkoztatási paktum II. (Támop pály.)</t>
  </si>
  <si>
    <t>Pályázati támogatás (ÁROP I. )</t>
  </si>
  <si>
    <t>Foglalkoztatási paktum:</t>
  </si>
  <si>
    <t>KRAFT projekt</t>
  </si>
  <si>
    <t>Egészségház projekt:</t>
  </si>
  <si>
    <t>Vár projekt</t>
  </si>
  <si>
    <t xml:space="preserve">Személyi juttatások összesen: </t>
  </si>
  <si>
    <t xml:space="preserve">Munkáltatói járulékok összesen: </t>
  </si>
  <si>
    <t>Egészségház projekt (menedzsment, nyilvánosság, könyvvizsgálat stb.)</t>
  </si>
  <si>
    <t>Egészségház építés projekt pályázati támogatása:</t>
  </si>
  <si>
    <t>Vár projekt pályázati támogatása</t>
  </si>
  <si>
    <t>Vár projekt (fordított áfa, menedzsment, nyilvánosság, könyvvizsgálat stb.)</t>
  </si>
  <si>
    <t>40 lakás tetőfelújítás (fordított áfa befizetése)</t>
  </si>
  <si>
    <t>Írottkő utcai parkolók (fordított áfa befizetése)</t>
  </si>
  <si>
    <t>Kraft projekt (fordított áfa, menedzsment, nyilvánosság, könyvvizsgálat stb.)</t>
  </si>
  <si>
    <t>KRAFT projekt támogatás maradványa</t>
  </si>
  <si>
    <t>Előző évi maradvány összesen:</t>
  </si>
  <si>
    <t>Biztosítási kártérítés (40 lakás)</t>
  </si>
  <si>
    <t>Saját bevételek összesen:</t>
  </si>
  <si>
    <t>ÁROP II. pályázat előkészítése (tanulmány készítés)</t>
  </si>
  <si>
    <t>Önkormányzati foglalkoztatás</t>
  </si>
  <si>
    <t>Személyi juttatások (polgármester, alpolgármester, takarítók)</t>
  </si>
  <si>
    <t>Személyi juttatások (képviselők, bizottsági tagok)</t>
  </si>
  <si>
    <t>Vízkár elhárítási és védekezési terv</t>
  </si>
  <si>
    <t>Közbeszerzési tanácsadás (étkeztetés)</t>
  </si>
  <si>
    <t>Elvonások, befizetések</t>
  </si>
  <si>
    <t>Erasmus+ pályázat</t>
  </si>
  <si>
    <t>Működési c. pályázati támogatás (2015-ben várható rész)</t>
  </si>
  <si>
    <t>150. jubileum</t>
  </si>
  <si>
    <t xml:space="preserve">rendelők továbbszámlázott bevétele </t>
  </si>
  <si>
    <t>ÁLTALÁNOS TARTALÉK</t>
  </si>
  <si>
    <t>a 2015. évi költségvetési törvény szerint</t>
  </si>
  <si>
    <t xml:space="preserve"> ba) Zöldterület gazdálkodással kapcsolatos feladatok támogatása </t>
  </si>
  <si>
    <t xml:space="preserve">bb) Közvilágítás fenntartásának támogatása   </t>
  </si>
  <si>
    <t>bc) Köztemető fenntartásának támogatása</t>
  </si>
  <si>
    <t xml:space="preserve">d) Közutak fenntartásának támogatása </t>
  </si>
  <si>
    <t>1. c) Egyéb kötelező önkormányzati feladatok támogatása</t>
  </si>
  <si>
    <t>beszámítás után (lakosságszám alapján 2 700 Ft/fő)           (31 077 000-19 291 359)</t>
  </si>
  <si>
    <t xml:space="preserve">1.d.)  Lakott  külterülettel kapcsolatos feladatok támogatása </t>
  </si>
  <si>
    <t xml:space="preserve">1.e .)   Üdülőhelyi feladatok támogatása </t>
  </si>
  <si>
    <t>2.  Nem közművel összegyűjtött háztartási szennyvíz ártalmatlanítása (100 Ft/km3)</t>
  </si>
  <si>
    <t xml:space="preserve">     elismert összege  ( 8 hónapra) (4 152 E Ft /létszám/év)</t>
  </si>
  <si>
    <t xml:space="preserve">       elismert összege  ( 4 hónapra) (4 152 E Ft /létszám/év)</t>
  </si>
  <si>
    <t xml:space="preserve">      átlagbéréhez és közterheihez  ( 3 hónapra) (35 E Ft /létszám/év)</t>
  </si>
  <si>
    <t xml:space="preserve">      bérének és járulékainak támogatása (4 hóra, 1800 Ft /év)</t>
  </si>
  <si>
    <t>2.   Óvodaműködtetési támogatás (8 hóra, 70 E Ft/fő/év)</t>
  </si>
  <si>
    <t>2.   Óvodamúködtetési támogatás (4 hóra  70 E Ft/fő/év)</t>
  </si>
  <si>
    <t>4. Köznevelési intézmények működtetéséhez kapcsolódó támogatás</t>
  </si>
  <si>
    <t xml:space="preserve">5.   Pedagógus II. kategóriába sorolt óvodapedagógusok  kiegészítő </t>
  </si>
  <si>
    <t xml:space="preserve">      támogatásra.  (352 E Ft /fő/11 hónap)</t>
  </si>
  <si>
    <t xml:space="preserve">1. Pénzbeli szociális ellátások kiegészítése </t>
  </si>
  <si>
    <t>hó</t>
  </si>
  <si>
    <t>1. információs tábla</t>
  </si>
  <si>
    <t xml:space="preserve">2. információs tábla </t>
  </si>
  <si>
    <t>Közhatalmi bevétel</t>
  </si>
  <si>
    <t>Működési bevétel</t>
  </si>
  <si>
    <t>Állami támogatások (önkormányzati feladatokra)</t>
  </si>
  <si>
    <t>Támogatás áht-n belülről (év közbeni igénylés önkormányzati feladatokra)</t>
  </si>
  <si>
    <t>Egyéb átvett pénzeszköz</t>
  </si>
  <si>
    <t>Egyéb támogatás áht-n belülről</t>
  </si>
  <si>
    <t>Támogatás értékű bevételek összesen:</t>
  </si>
  <si>
    <t>Működési bevételek</t>
  </si>
  <si>
    <t>Közhatalmi bevételek</t>
  </si>
  <si>
    <t>4. a.)    Telpülési önkormányzatok által biztosított egyes szociális szakosított ellátások támogatása: (Idősek otthona)  számított intézményvezetői és a segítői munkatárs létszámához kapcsolódó bértámogatás (2 606 040 Ft/fő)</t>
  </si>
  <si>
    <t>4.b.)    Telpülési önkormányzatok által biztosított egyes szociális szakosított ellátások támogatása: (Idősek otthona) intézmény-üzemeltetési támogatás</t>
  </si>
  <si>
    <t>ÁROP II. pályázat</t>
  </si>
  <si>
    <t>Bezerédy 3. tetőfelújítás</t>
  </si>
  <si>
    <t>Megjegyzés: A kimutatás a kiadások között jelentkező kötelezettségeket tartalmazza, a 1-6. pontokban felsorolt projektekhez 2015-ben 71 592 E Ft külső és 185 411 E Ft belső forrás kapcsolódik.</t>
  </si>
  <si>
    <t>2020-2027. 5 éven túli</t>
  </si>
  <si>
    <t>3. információs tábla</t>
  </si>
  <si>
    <t xml:space="preserve">4. információs tábla </t>
  </si>
  <si>
    <t>2015. évben E Ft-ban</t>
  </si>
  <si>
    <t>Közvetett támogatás összesen (gépjármű adóból 40%-a marad az önkormányzatnál):</t>
  </si>
  <si>
    <t>Ingyenes használatba adott ingatlanok éves bérleti díja 2015-ben:</t>
  </si>
  <si>
    <t>Ilyen kedvezmény nyújtását a 2015. évi költségvetésben nem terveztük.</t>
  </si>
  <si>
    <t>Tűzoltóság (köztestület) támogatása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</si>
  <si>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</si>
  <si>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</si>
  <si>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</si>
  <si>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</si>
  <si>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</si>
  <si>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</si>
  <si>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</si>
  <si>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</si>
  <si>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</si>
  <si>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</si>
  <si>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</si>
  <si>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</si>
  <si>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14. BEVÉTELEK ÖSSZESEN</t>
  </si>
  <si>
    <t>16. Ellátottak juttatásai</t>
  </si>
  <si>
    <t>21. Költségvetési kiadások összesen</t>
  </si>
  <si>
    <t>22. Finanszírozás kiadásai (Hiteltörlesztés)</t>
  </si>
  <si>
    <t>22. KIADÁSOK ÖSSZESEN</t>
  </si>
  <si>
    <t xml:space="preserve">5. információs tábla </t>
  </si>
  <si>
    <t>Kőszeg Város Önkormányzata előirányzat felhasználási és likviditási ütemterve 2015. évben E Ft-ban</t>
  </si>
  <si>
    <t>1. Működési c tám áht-n belülről</t>
  </si>
  <si>
    <t>6. Felhalmozási bevételek</t>
  </si>
  <si>
    <t>2. Közhatalmi bevételek</t>
  </si>
  <si>
    <t>3. Működési bevételek</t>
  </si>
  <si>
    <t>5. Felhalmozási c tám áht-n belülről</t>
  </si>
  <si>
    <t>7. Felhalmozási c átvett pénzeszközök</t>
  </si>
  <si>
    <t>8. Költségvetési bevételek összesen</t>
  </si>
  <si>
    <t>9. Hiány</t>
  </si>
  <si>
    <t>10. Belső fin. bevételei (Pénzmaradvány)</t>
  </si>
  <si>
    <t>11. Külső fin. Bevételei (hitelfelvétel)</t>
  </si>
  <si>
    <t>12. Külső fin. bevételei (működési hitel)</t>
  </si>
  <si>
    <t>4. Működési c átvett pénzeszközök</t>
  </si>
  <si>
    <t>13. Személyi juttatások</t>
  </si>
  <si>
    <t>14. Munkaadói járulék</t>
  </si>
  <si>
    <t>15. Dologi kiadás</t>
  </si>
  <si>
    <t>17. Egyéb működési c kiadások</t>
  </si>
  <si>
    <t>18. Beruházás</t>
  </si>
  <si>
    <t>19. Felújítás</t>
  </si>
  <si>
    <t>20. Egyéb felhalmozási c kiadások</t>
  </si>
  <si>
    <t>Kőszegi Testvérvárosi Egyesület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</si>
</sst>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000"/>
    <numFmt numFmtId="172" formatCode="#,##0.000000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E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34" fillId="3" borderId="0" applyNumberFormat="0" applyBorder="0" applyAlignment="0" applyProtection="0"/>
    <xf numFmtId="0" fontId="22" fillId="7" borderId="1" applyNumberFormat="0" applyAlignment="0" applyProtection="0"/>
    <xf numFmtId="0" fontId="36" fillId="20" borderId="1" applyNumberFormat="0" applyAlignment="0" applyProtection="0"/>
    <xf numFmtId="0" fontId="27" fillId="21" borderId="2" applyNumberFormat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2" fillId="7" borderId="1" applyNumberFormat="0" applyAlignment="0" applyProtection="0"/>
    <xf numFmtId="0" fontId="0" fillId="22" borderId="7" applyNumberFormat="0" applyFont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30" fillId="4" borderId="0" applyNumberFormat="0" applyBorder="0" applyAlignment="0" applyProtection="0"/>
    <xf numFmtId="0" fontId="31" fillId="20" borderId="8" applyNumberFormat="0" applyAlignment="0" applyProtection="0"/>
    <xf numFmtId="0" fontId="29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2" borderId="7" applyNumberFormat="0" applyFont="0" applyAlignment="0" applyProtection="0"/>
    <xf numFmtId="0" fontId="31" fillId="20" borderId="8" applyNumberFormat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 wrapText="1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4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4" fillId="0" borderId="12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/>
    </xf>
    <xf numFmtId="3" fontId="18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16" fillId="0" borderId="0" xfId="0" applyFont="1" applyAlignment="1">
      <alignment wrapText="1"/>
    </xf>
    <xf numFmtId="0" fontId="37" fillId="0" borderId="0" xfId="0" applyFont="1" applyAlignment="1">
      <alignment wrapText="1"/>
    </xf>
    <xf numFmtId="3" fontId="5" fillId="0" borderId="0" xfId="0" applyNumberFormat="1" applyFont="1" applyAlignment="1">
      <alignment/>
    </xf>
    <xf numFmtId="3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0" fontId="17" fillId="0" borderId="0" xfId="0" applyFont="1" applyBorder="1" applyAlignment="1">
      <alignment wrapText="1"/>
    </xf>
    <xf numFmtId="3" fontId="17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16" fillId="0" borderId="0" xfId="0" applyNumberFormat="1" applyFont="1" applyAlignment="1">
      <alignment horizontal="right"/>
    </xf>
    <xf numFmtId="3" fontId="18" fillId="0" borderId="0" xfId="0" applyNumberFormat="1" applyFont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/>
    </xf>
    <xf numFmtId="3" fontId="4" fillId="3" borderId="0" xfId="0" applyNumberFormat="1" applyFont="1" applyFill="1" applyAlignment="1">
      <alignment/>
    </xf>
    <xf numFmtId="0" fontId="19" fillId="3" borderId="18" xfId="0" applyFont="1" applyFill="1" applyBorder="1" applyAlignment="1">
      <alignment horizontal="center" wrapText="1"/>
    </xf>
    <xf numFmtId="3" fontId="19" fillId="3" borderId="18" xfId="0" applyNumberFormat="1" applyFont="1" applyFill="1" applyBorder="1" applyAlignment="1">
      <alignment horizontal="center" wrapText="1"/>
    </xf>
    <xf numFmtId="3" fontId="19" fillId="3" borderId="19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/>
    </xf>
    <xf numFmtId="0" fontId="5" fillId="3" borderId="11" xfId="0" applyFont="1" applyFill="1" applyBorder="1" applyAlignment="1">
      <alignment wrapText="1"/>
    </xf>
    <xf numFmtId="0" fontId="4" fillId="3" borderId="20" xfId="0" applyFont="1" applyFill="1" applyBorder="1" applyAlignment="1">
      <alignment/>
    </xf>
    <xf numFmtId="3" fontId="4" fillId="3" borderId="21" xfId="0" applyNumberFormat="1" applyFont="1" applyFill="1" applyBorder="1" applyAlignment="1">
      <alignment/>
    </xf>
    <xf numFmtId="0" fontId="5" fillId="3" borderId="20" xfId="0" applyFont="1" applyFill="1" applyBorder="1" applyAlignment="1">
      <alignment/>
    </xf>
    <xf numFmtId="0" fontId="5" fillId="3" borderId="0" xfId="0" applyFont="1" applyFill="1" applyBorder="1" applyAlignment="1">
      <alignment wrapText="1"/>
    </xf>
    <xf numFmtId="0" fontId="5" fillId="3" borderId="22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3" fontId="4" fillId="3" borderId="23" xfId="0" applyNumberFormat="1" applyFont="1" applyFill="1" applyBorder="1" applyAlignment="1">
      <alignment wrapText="1"/>
    </xf>
    <xf numFmtId="0" fontId="4" fillId="3" borderId="22" xfId="0" applyFont="1" applyFill="1" applyBorder="1" applyAlignment="1">
      <alignment wrapText="1"/>
    </xf>
    <xf numFmtId="0" fontId="5" fillId="3" borderId="24" xfId="0" applyFont="1" applyFill="1" applyBorder="1" applyAlignment="1">
      <alignment wrapText="1"/>
    </xf>
    <xf numFmtId="0" fontId="4" fillId="3" borderId="25" xfId="0" applyFont="1" applyFill="1" applyBorder="1" applyAlignment="1">
      <alignment wrapText="1"/>
    </xf>
    <xf numFmtId="3" fontId="5" fillId="3" borderId="26" xfId="0" applyNumberFormat="1" applyFont="1" applyFill="1" applyBorder="1" applyAlignment="1">
      <alignment wrapText="1"/>
    </xf>
    <xf numFmtId="3" fontId="5" fillId="3" borderId="0" xfId="0" applyNumberFormat="1" applyFont="1" applyFill="1" applyBorder="1" applyAlignment="1">
      <alignment wrapText="1"/>
    </xf>
    <xf numFmtId="0" fontId="5" fillId="3" borderId="27" xfId="0" applyFont="1" applyFill="1" applyBorder="1" applyAlignment="1">
      <alignment/>
    </xf>
    <xf numFmtId="0" fontId="5" fillId="3" borderId="28" xfId="0" applyFont="1" applyFill="1" applyBorder="1" applyAlignment="1">
      <alignment/>
    </xf>
    <xf numFmtId="3" fontId="5" fillId="3" borderId="29" xfId="0" applyNumberFormat="1" applyFont="1" applyFill="1" applyBorder="1" applyAlignment="1">
      <alignment/>
    </xf>
    <xf numFmtId="0" fontId="5" fillId="3" borderId="28" xfId="0" applyFont="1" applyFill="1" applyBorder="1" applyAlignment="1">
      <alignment wrapText="1"/>
    </xf>
    <xf numFmtId="0" fontId="4" fillId="3" borderId="30" xfId="0" applyFont="1" applyFill="1" applyBorder="1" applyAlignment="1">
      <alignment/>
    </xf>
    <xf numFmtId="3" fontId="4" fillId="3" borderId="20" xfId="0" applyNumberFormat="1" applyFont="1" applyFill="1" applyBorder="1" applyAlignment="1">
      <alignment/>
    </xf>
    <xf numFmtId="0" fontId="4" fillId="3" borderId="31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3" fontId="4" fillId="3" borderId="0" xfId="0" applyNumberFormat="1" applyFont="1" applyFill="1" applyBorder="1" applyAlignment="1">
      <alignment/>
    </xf>
    <xf numFmtId="3" fontId="4" fillId="3" borderId="23" xfId="0" applyNumberFormat="1" applyFont="1" applyFill="1" applyBorder="1" applyAlignment="1">
      <alignment/>
    </xf>
    <xf numFmtId="0" fontId="4" fillId="3" borderId="32" xfId="0" applyFont="1" applyFill="1" applyBorder="1" applyAlignment="1">
      <alignment/>
    </xf>
    <xf numFmtId="0" fontId="4" fillId="3" borderId="25" xfId="0" applyFont="1" applyFill="1" applyBorder="1" applyAlignment="1">
      <alignment/>
    </xf>
    <xf numFmtId="3" fontId="4" fillId="3" borderId="25" xfId="0" applyNumberFormat="1" applyFont="1" applyFill="1" applyBorder="1" applyAlignment="1">
      <alignment/>
    </xf>
    <xf numFmtId="3" fontId="4" fillId="3" borderId="26" xfId="0" applyNumberFormat="1" applyFont="1" applyFill="1" applyBorder="1" applyAlignment="1">
      <alignment/>
    </xf>
    <xf numFmtId="0" fontId="5" fillId="3" borderId="32" xfId="0" applyFont="1" applyFill="1" applyBorder="1" applyAlignment="1">
      <alignment/>
    </xf>
    <xf numFmtId="0" fontId="5" fillId="3" borderId="25" xfId="0" applyFont="1" applyFill="1" applyBorder="1" applyAlignment="1">
      <alignment/>
    </xf>
    <xf numFmtId="3" fontId="5" fillId="3" borderId="26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0" fontId="4" fillId="4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0" fontId="19" fillId="4" borderId="18" xfId="0" applyFont="1" applyFill="1" applyBorder="1" applyAlignment="1">
      <alignment horizontal="center" wrapText="1"/>
    </xf>
    <xf numFmtId="3" fontId="19" fillId="4" borderId="18" xfId="0" applyNumberFormat="1" applyFont="1" applyFill="1" applyBorder="1" applyAlignment="1">
      <alignment horizontal="center" wrapText="1"/>
    </xf>
    <xf numFmtId="3" fontId="19" fillId="4" borderId="19" xfId="0" applyNumberFormat="1" applyFont="1" applyFill="1" applyBorder="1" applyAlignment="1">
      <alignment horizontal="center" wrapText="1"/>
    </xf>
    <xf numFmtId="0" fontId="5" fillId="4" borderId="0" xfId="0" applyFont="1" applyFill="1" applyBorder="1" applyAlignment="1">
      <alignment/>
    </xf>
    <xf numFmtId="0" fontId="5" fillId="4" borderId="11" xfId="0" applyFont="1" applyFill="1" applyBorder="1" applyAlignment="1">
      <alignment wrapText="1"/>
    </xf>
    <xf numFmtId="0" fontId="4" fillId="4" borderId="20" xfId="0" applyFont="1" applyFill="1" applyBorder="1" applyAlignment="1">
      <alignment/>
    </xf>
    <xf numFmtId="3" fontId="4" fillId="4" borderId="21" xfId="0" applyNumberFormat="1" applyFont="1" applyFill="1" applyBorder="1" applyAlignment="1">
      <alignment/>
    </xf>
    <xf numFmtId="0" fontId="5" fillId="4" borderId="20" xfId="0" applyFont="1" applyFill="1" applyBorder="1" applyAlignment="1">
      <alignment/>
    </xf>
    <xf numFmtId="0" fontId="5" fillId="4" borderId="0" xfId="0" applyFont="1" applyFill="1" applyBorder="1" applyAlignment="1">
      <alignment wrapText="1"/>
    </xf>
    <xf numFmtId="0" fontId="5" fillId="4" borderId="22" xfId="0" applyFont="1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3" fontId="4" fillId="4" borderId="23" xfId="0" applyNumberFormat="1" applyFont="1" applyFill="1" applyBorder="1" applyAlignment="1">
      <alignment wrapText="1"/>
    </xf>
    <xf numFmtId="0" fontId="4" fillId="4" borderId="22" xfId="0" applyFont="1" applyFill="1" applyBorder="1" applyAlignment="1">
      <alignment wrapText="1"/>
    </xf>
    <xf numFmtId="0" fontId="5" fillId="4" borderId="24" xfId="0" applyFont="1" applyFill="1" applyBorder="1" applyAlignment="1">
      <alignment wrapText="1"/>
    </xf>
    <xf numFmtId="0" fontId="4" fillId="4" borderId="25" xfId="0" applyFont="1" applyFill="1" applyBorder="1" applyAlignment="1">
      <alignment wrapText="1"/>
    </xf>
    <xf numFmtId="3" fontId="5" fillId="4" borderId="26" xfId="0" applyNumberFormat="1" applyFont="1" applyFill="1" applyBorder="1" applyAlignment="1">
      <alignment wrapText="1"/>
    </xf>
    <xf numFmtId="3" fontId="5" fillId="4" borderId="0" xfId="0" applyNumberFormat="1" applyFont="1" applyFill="1" applyBorder="1" applyAlignment="1">
      <alignment wrapText="1"/>
    </xf>
    <xf numFmtId="0" fontId="5" fillId="4" borderId="27" xfId="0" applyFont="1" applyFill="1" applyBorder="1" applyAlignment="1">
      <alignment/>
    </xf>
    <xf numFmtId="0" fontId="5" fillId="4" borderId="28" xfId="0" applyFont="1" applyFill="1" applyBorder="1" applyAlignment="1">
      <alignment/>
    </xf>
    <xf numFmtId="3" fontId="5" fillId="4" borderId="29" xfId="0" applyNumberFormat="1" applyFont="1" applyFill="1" applyBorder="1" applyAlignment="1">
      <alignment/>
    </xf>
    <xf numFmtId="0" fontId="5" fillId="4" borderId="28" xfId="0" applyFont="1" applyFill="1" applyBorder="1" applyAlignment="1">
      <alignment wrapText="1"/>
    </xf>
    <xf numFmtId="0" fontId="4" fillId="4" borderId="30" xfId="0" applyFont="1" applyFill="1" applyBorder="1" applyAlignment="1">
      <alignment/>
    </xf>
    <xf numFmtId="3" fontId="4" fillId="4" borderId="20" xfId="0" applyNumberFormat="1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3" fontId="4" fillId="4" borderId="23" xfId="0" applyNumberFormat="1" applyFont="1" applyFill="1" applyBorder="1" applyAlignment="1">
      <alignment/>
    </xf>
    <xf numFmtId="0" fontId="4" fillId="4" borderId="32" xfId="0" applyFont="1" applyFill="1" applyBorder="1" applyAlignment="1">
      <alignment/>
    </xf>
    <xf numFmtId="0" fontId="4" fillId="4" borderId="25" xfId="0" applyFont="1" applyFill="1" applyBorder="1" applyAlignment="1">
      <alignment/>
    </xf>
    <xf numFmtId="3" fontId="4" fillId="4" borderId="25" xfId="0" applyNumberFormat="1" applyFont="1" applyFill="1" applyBorder="1" applyAlignment="1">
      <alignment/>
    </xf>
    <xf numFmtId="3" fontId="4" fillId="4" borderId="26" xfId="0" applyNumberFormat="1" applyFont="1" applyFill="1" applyBorder="1" applyAlignment="1">
      <alignment/>
    </xf>
    <xf numFmtId="0" fontId="5" fillId="4" borderId="32" xfId="0" applyFont="1" applyFill="1" applyBorder="1" applyAlignment="1">
      <alignment/>
    </xf>
    <xf numFmtId="0" fontId="5" fillId="4" borderId="25" xfId="0" applyFont="1" applyFill="1" applyBorder="1" applyAlignment="1">
      <alignment/>
    </xf>
    <xf numFmtId="3" fontId="5" fillId="4" borderId="26" xfId="0" applyNumberFormat="1" applyFont="1" applyFill="1" applyBorder="1" applyAlignment="1">
      <alignment/>
    </xf>
    <xf numFmtId="0" fontId="5" fillId="4" borderId="0" xfId="0" applyFont="1" applyFill="1" applyAlignment="1">
      <alignment horizontal="center"/>
    </xf>
    <xf numFmtId="0" fontId="5" fillId="4" borderId="23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3" fillId="4" borderId="25" xfId="0" applyFont="1" applyFill="1" applyBorder="1" applyAlignment="1">
      <alignment/>
    </xf>
    <xf numFmtId="3" fontId="3" fillId="4" borderId="26" xfId="0" applyNumberFormat="1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3" fontId="3" fillId="4" borderId="0" xfId="0" applyNumberFormat="1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4" fillId="4" borderId="22" xfId="0" applyFont="1" applyFill="1" applyBorder="1" applyAlignment="1">
      <alignment horizontal="left" indent="1"/>
    </xf>
    <xf numFmtId="0" fontId="6" fillId="4" borderId="22" xfId="0" applyFont="1" applyFill="1" applyBorder="1" applyAlignment="1">
      <alignment horizontal="left" indent="4"/>
    </xf>
    <xf numFmtId="0" fontId="6" fillId="4" borderId="0" xfId="0" applyFont="1" applyFill="1" applyBorder="1" applyAlignment="1">
      <alignment/>
    </xf>
    <xf numFmtId="3" fontId="6" fillId="4" borderId="23" xfId="0" applyNumberFormat="1" applyFont="1" applyFill="1" applyBorder="1" applyAlignment="1">
      <alignment/>
    </xf>
    <xf numFmtId="0" fontId="5" fillId="4" borderId="24" xfId="0" applyFont="1" applyFill="1" applyBorder="1" applyAlignment="1">
      <alignment horizontal="left" indent="3"/>
    </xf>
    <xf numFmtId="3" fontId="4" fillId="4" borderId="0" xfId="0" applyNumberFormat="1" applyFont="1" applyFill="1" applyBorder="1" applyAlignment="1">
      <alignment wrapText="1"/>
    </xf>
    <xf numFmtId="0" fontId="5" fillId="4" borderId="25" xfId="0" applyFont="1" applyFill="1" applyBorder="1" applyAlignment="1">
      <alignment wrapText="1"/>
    </xf>
    <xf numFmtId="0" fontId="5" fillId="4" borderId="27" xfId="0" applyFont="1" applyFill="1" applyBorder="1" applyAlignment="1">
      <alignment wrapText="1"/>
    </xf>
    <xf numFmtId="0" fontId="4" fillId="4" borderId="28" xfId="0" applyFont="1" applyFill="1" applyBorder="1" applyAlignment="1">
      <alignment wrapText="1"/>
    </xf>
    <xf numFmtId="3" fontId="4" fillId="4" borderId="29" xfId="0" applyNumberFormat="1" applyFont="1" applyFill="1" applyBorder="1" applyAlignment="1">
      <alignment wrapText="1"/>
    </xf>
    <xf numFmtId="0" fontId="5" fillId="4" borderId="33" xfId="0" applyFont="1" applyFill="1" applyBorder="1" applyAlignment="1">
      <alignment wrapText="1"/>
    </xf>
    <xf numFmtId="0" fontId="5" fillId="4" borderId="30" xfId="0" applyFont="1" applyFill="1" applyBorder="1" applyAlignment="1">
      <alignment/>
    </xf>
    <xf numFmtId="0" fontId="4" fillId="4" borderId="30" xfId="0" applyFont="1" applyFill="1" applyBorder="1" applyAlignment="1">
      <alignment wrapText="1"/>
    </xf>
    <xf numFmtId="0" fontId="4" fillId="4" borderId="31" xfId="0" applyFont="1" applyFill="1" applyBorder="1" applyAlignment="1">
      <alignment wrapText="1"/>
    </xf>
    <xf numFmtId="0" fontId="5" fillId="4" borderId="31" xfId="0" applyFont="1" applyFill="1" applyBorder="1" applyAlignment="1">
      <alignment wrapText="1"/>
    </xf>
    <xf numFmtId="3" fontId="5" fillId="4" borderId="23" xfId="0" applyNumberFormat="1" applyFont="1" applyFill="1" applyBorder="1" applyAlignment="1">
      <alignment wrapText="1"/>
    </xf>
    <xf numFmtId="0" fontId="5" fillId="4" borderId="32" xfId="0" applyFont="1" applyFill="1" applyBorder="1" applyAlignment="1">
      <alignment wrapText="1"/>
    </xf>
    <xf numFmtId="3" fontId="4" fillId="4" borderId="21" xfId="0" applyNumberFormat="1" applyFont="1" applyFill="1" applyBorder="1" applyAlignment="1">
      <alignment wrapText="1"/>
    </xf>
    <xf numFmtId="0" fontId="4" fillId="4" borderId="20" xfId="0" applyFont="1" applyFill="1" applyBorder="1" applyAlignment="1">
      <alignment wrapText="1"/>
    </xf>
    <xf numFmtId="3" fontId="5" fillId="4" borderId="29" xfId="0" applyNumberFormat="1" applyFont="1" applyFill="1" applyBorder="1" applyAlignment="1">
      <alignment wrapText="1"/>
    </xf>
    <xf numFmtId="0" fontId="5" fillId="4" borderId="20" xfId="0" applyFont="1" applyFill="1" applyBorder="1" applyAlignment="1">
      <alignment wrapText="1"/>
    </xf>
    <xf numFmtId="0" fontId="5" fillId="4" borderId="30" xfId="0" applyFont="1" applyFill="1" applyBorder="1" applyAlignment="1">
      <alignment wrapText="1"/>
    </xf>
    <xf numFmtId="0" fontId="4" fillId="4" borderId="0" xfId="0" applyFont="1" applyFill="1" applyAlignment="1">
      <alignment wrapText="1"/>
    </xf>
    <xf numFmtId="3" fontId="5" fillId="4" borderId="21" xfId="0" applyNumberFormat="1" applyFont="1" applyFill="1" applyBorder="1" applyAlignment="1">
      <alignment wrapText="1"/>
    </xf>
    <xf numFmtId="3" fontId="4" fillId="4" borderId="20" xfId="0" applyNumberFormat="1" applyFont="1" applyFill="1" applyBorder="1" applyAlignment="1">
      <alignment wrapText="1"/>
    </xf>
    <xf numFmtId="3" fontId="5" fillId="4" borderId="25" xfId="0" applyNumberFormat="1" applyFont="1" applyFill="1" applyBorder="1" applyAlignment="1">
      <alignment wrapText="1"/>
    </xf>
    <xf numFmtId="0" fontId="5" fillId="3" borderId="11" xfId="0" applyFont="1" applyFill="1" applyBorder="1" applyAlignment="1">
      <alignment/>
    </xf>
    <xf numFmtId="0" fontId="4" fillId="3" borderId="22" xfId="0" applyFont="1" applyFill="1" applyBorder="1" applyAlignment="1">
      <alignment horizontal="left" indent="1"/>
    </xf>
    <xf numFmtId="0" fontId="3" fillId="3" borderId="0" xfId="0" applyFont="1" applyFill="1" applyBorder="1" applyAlignment="1">
      <alignment/>
    </xf>
    <xf numFmtId="0" fontId="6" fillId="3" borderId="22" xfId="0" applyFont="1" applyFill="1" applyBorder="1" applyAlignment="1">
      <alignment horizontal="left" indent="1"/>
    </xf>
    <xf numFmtId="0" fontId="6" fillId="3" borderId="0" xfId="0" applyFont="1" applyFill="1" applyBorder="1" applyAlignment="1">
      <alignment/>
    </xf>
    <xf numFmtId="3" fontId="6" fillId="3" borderId="2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 indent="3"/>
    </xf>
    <xf numFmtId="0" fontId="5" fillId="3" borderId="25" xfId="0" applyFont="1" applyFill="1" applyBorder="1" applyAlignment="1">
      <alignment wrapText="1"/>
    </xf>
    <xf numFmtId="0" fontId="5" fillId="3" borderId="27" xfId="0" applyFont="1" applyFill="1" applyBorder="1" applyAlignment="1">
      <alignment wrapText="1"/>
    </xf>
    <xf numFmtId="0" fontId="4" fillId="3" borderId="28" xfId="0" applyFont="1" applyFill="1" applyBorder="1" applyAlignment="1">
      <alignment wrapText="1"/>
    </xf>
    <xf numFmtId="3" fontId="4" fillId="3" borderId="29" xfId="0" applyNumberFormat="1" applyFont="1" applyFill="1" applyBorder="1" applyAlignment="1">
      <alignment wrapText="1"/>
    </xf>
    <xf numFmtId="3" fontId="4" fillId="3" borderId="0" xfId="0" applyNumberFormat="1" applyFont="1" applyFill="1" applyBorder="1" applyAlignment="1">
      <alignment wrapText="1"/>
    </xf>
    <xf numFmtId="0" fontId="5" fillId="3" borderId="33" xfId="0" applyFont="1" applyFill="1" applyBorder="1" applyAlignment="1">
      <alignment wrapText="1"/>
    </xf>
    <xf numFmtId="0" fontId="5" fillId="3" borderId="30" xfId="0" applyFont="1" applyFill="1" applyBorder="1" applyAlignment="1">
      <alignment/>
    </xf>
    <xf numFmtId="0" fontId="4" fillId="3" borderId="30" xfId="0" applyFont="1" applyFill="1" applyBorder="1" applyAlignment="1">
      <alignment wrapText="1"/>
    </xf>
    <xf numFmtId="0" fontId="4" fillId="3" borderId="31" xfId="0" applyFont="1" applyFill="1" applyBorder="1" applyAlignment="1">
      <alignment wrapText="1"/>
    </xf>
    <xf numFmtId="0" fontId="5" fillId="3" borderId="31" xfId="0" applyFont="1" applyFill="1" applyBorder="1" applyAlignment="1">
      <alignment wrapText="1"/>
    </xf>
    <xf numFmtId="3" fontId="5" fillId="3" borderId="23" xfId="0" applyNumberFormat="1" applyFont="1" applyFill="1" applyBorder="1" applyAlignment="1">
      <alignment wrapText="1"/>
    </xf>
    <xf numFmtId="0" fontId="5" fillId="3" borderId="32" xfId="0" applyFont="1" applyFill="1" applyBorder="1" applyAlignment="1">
      <alignment wrapText="1"/>
    </xf>
    <xf numFmtId="3" fontId="4" fillId="3" borderId="21" xfId="0" applyNumberFormat="1" applyFont="1" applyFill="1" applyBorder="1" applyAlignment="1">
      <alignment wrapText="1"/>
    </xf>
    <xf numFmtId="0" fontId="4" fillId="3" borderId="20" xfId="0" applyFont="1" applyFill="1" applyBorder="1" applyAlignment="1">
      <alignment wrapText="1"/>
    </xf>
    <xf numFmtId="0" fontId="5" fillId="3" borderId="20" xfId="0" applyFont="1" applyFill="1" applyBorder="1" applyAlignment="1">
      <alignment wrapText="1"/>
    </xf>
    <xf numFmtId="3" fontId="5" fillId="3" borderId="21" xfId="0" applyNumberFormat="1" applyFont="1" applyFill="1" applyBorder="1" applyAlignment="1">
      <alignment wrapText="1"/>
    </xf>
    <xf numFmtId="0" fontId="4" fillId="3" borderId="0" xfId="0" applyFont="1" applyFill="1" applyAlignment="1">
      <alignment wrapText="1"/>
    </xf>
    <xf numFmtId="3" fontId="5" fillId="3" borderId="21" xfId="0" applyNumberFormat="1" applyFont="1" applyFill="1" applyBorder="1" applyAlignment="1">
      <alignment/>
    </xf>
    <xf numFmtId="0" fontId="5" fillId="3" borderId="30" xfId="0" applyFont="1" applyFill="1" applyBorder="1" applyAlignment="1">
      <alignment wrapText="1"/>
    </xf>
    <xf numFmtId="0" fontId="5" fillId="3" borderId="31" xfId="0" applyFont="1" applyFill="1" applyBorder="1" applyAlignment="1">
      <alignment/>
    </xf>
    <xf numFmtId="3" fontId="5" fillId="3" borderId="23" xfId="0" applyNumberFormat="1" applyFont="1" applyFill="1" applyBorder="1" applyAlignment="1">
      <alignment/>
    </xf>
    <xf numFmtId="3" fontId="4" fillId="3" borderId="20" xfId="0" applyNumberFormat="1" applyFont="1" applyFill="1" applyBorder="1" applyAlignment="1">
      <alignment wrapText="1"/>
    </xf>
    <xf numFmtId="3" fontId="5" fillId="3" borderId="25" xfId="0" applyNumberFormat="1" applyFont="1" applyFill="1" applyBorder="1" applyAlignment="1">
      <alignment wrapText="1"/>
    </xf>
    <xf numFmtId="0" fontId="4" fillId="3" borderId="32" xfId="0" applyFont="1" applyFill="1" applyBorder="1" applyAlignment="1">
      <alignment wrapText="1"/>
    </xf>
    <xf numFmtId="0" fontId="5" fillId="23" borderId="0" xfId="0" applyFont="1" applyFill="1" applyAlignment="1">
      <alignment/>
    </xf>
    <xf numFmtId="0" fontId="4" fillId="23" borderId="0" xfId="0" applyFont="1" applyFill="1" applyAlignment="1">
      <alignment/>
    </xf>
    <xf numFmtId="3" fontId="4" fillId="23" borderId="0" xfId="0" applyNumberFormat="1" applyFont="1" applyFill="1" applyAlignment="1">
      <alignment/>
    </xf>
    <xf numFmtId="0" fontId="19" fillId="23" borderId="18" xfId="0" applyFont="1" applyFill="1" applyBorder="1" applyAlignment="1">
      <alignment horizontal="center" wrapText="1"/>
    </xf>
    <xf numFmtId="3" fontId="19" fillId="23" borderId="18" xfId="0" applyNumberFormat="1" applyFont="1" applyFill="1" applyBorder="1" applyAlignment="1">
      <alignment horizontal="center" wrapText="1"/>
    </xf>
    <xf numFmtId="3" fontId="19" fillId="23" borderId="19" xfId="0" applyNumberFormat="1" applyFont="1" applyFill="1" applyBorder="1" applyAlignment="1">
      <alignment horizontal="center" wrapText="1"/>
    </xf>
    <xf numFmtId="0" fontId="5" fillId="23" borderId="0" xfId="0" applyFont="1" applyFill="1" applyBorder="1" applyAlignment="1">
      <alignment/>
    </xf>
    <xf numFmtId="0" fontId="5" fillId="23" borderId="11" xfId="0" applyFont="1" applyFill="1" applyBorder="1" applyAlignment="1">
      <alignment wrapText="1"/>
    </xf>
    <xf numFmtId="0" fontId="4" fillId="23" borderId="20" xfId="0" applyFont="1" applyFill="1" applyBorder="1" applyAlignment="1">
      <alignment/>
    </xf>
    <xf numFmtId="3" fontId="4" fillId="23" borderId="21" xfId="0" applyNumberFormat="1" applyFont="1" applyFill="1" applyBorder="1" applyAlignment="1">
      <alignment/>
    </xf>
    <xf numFmtId="0" fontId="5" fillId="23" borderId="20" xfId="0" applyFont="1" applyFill="1" applyBorder="1" applyAlignment="1">
      <alignment/>
    </xf>
    <xf numFmtId="0" fontId="5" fillId="23" borderId="0" xfId="0" applyFont="1" applyFill="1" applyBorder="1" applyAlignment="1">
      <alignment wrapText="1"/>
    </xf>
    <xf numFmtId="0" fontId="5" fillId="23" borderId="22" xfId="0" applyFont="1" applyFill="1" applyBorder="1" applyAlignment="1">
      <alignment wrapText="1"/>
    </xf>
    <xf numFmtId="0" fontId="4" fillId="23" borderId="0" xfId="0" applyFont="1" applyFill="1" applyBorder="1" applyAlignment="1">
      <alignment wrapText="1"/>
    </xf>
    <xf numFmtId="3" fontId="4" fillId="23" borderId="23" xfId="0" applyNumberFormat="1" applyFont="1" applyFill="1" applyBorder="1" applyAlignment="1">
      <alignment wrapText="1"/>
    </xf>
    <xf numFmtId="0" fontId="4" fillId="23" borderId="22" xfId="0" applyFont="1" applyFill="1" applyBorder="1" applyAlignment="1">
      <alignment wrapText="1"/>
    </xf>
    <xf numFmtId="0" fontId="5" fillId="23" borderId="24" xfId="0" applyFont="1" applyFill="1" applyBorder="1" applyAlignment="1">
      <alignment wrapText="1"/>
    </xf>
    <xf numFmtId="0" fontId="4" fillId="23" borderId="25" xfId="0" applyFont="1" applyFill="1" applyBorder="1" applyAlignment="1">
      <alignment wrapText="1"/>
    </xf>
    <xf numFmtId="3" fontId="5" fillId="23" borderId="26" xfId="0" applyNumberFormat="1" applyFont="1" applyFill="1" applyBorder="1" applyAlignment="1">
      <alignment wrapText="1"/>
    </xf>
    <xf numFmtId="3" fontId="5" fillId="23" borderId="0" xfId="0" applyNumberFormat="1" applyFont="1" applyFill="1" applyBorder="1" applyAlignment="1">
      <alignment wrapText="1"/>
    </xf>
    <xf numFmtId="0" fontId="5" fillId="23" borderId="27" xfId="0" applyFont="1" applyFill="1" applyBorder="1" applyAlignment="1">
      <alignment/>
    </xf>
    <xf numFmtId="0" fontId="5" fillId="23" borderId="28" xfId="0" applyFont="1" applyFill="1" applyBorder="1" applyAlignment="1">
      <alignment/>
    </xf>
    <xf numFmtId="3" fontId="5" fillId="23" borderId="29" xfId="0" applyNumberFormat="1" applyFont="1" applyFill="1" applyBorder="1" applyAlignment="1">
      <alignment/>
    </xf>
    <xf numFmtId="0" fontId="5" fillId="23" borderId="28" xfId="0" applyFont="1" applyFill="1" applyBorder="1" applyAlignment="1">
      <alignment wrapText="1"/>
    </xf>
    <xf numFmtId="0" fontId="4" fillId="23" borderId="30" xfId="0" applyFont="1" applyFill="1" applyBorder="1" applyAlignment="1">
      <alignment/>
    </xf>
    <xf numFmtId="3" fontId="4" fillId="23" borderId="20" xfId="0" applyNumberFormat="1" applyFont="1" applyFill="1" applyBorder="1" applyAlignment="1">
      <alignment/>
    </xf>
    <xf numFmtId="0" fontId="4" fillId="23" borderId="31" xfId="0" applyFont="1" applyFill="1" applyBorder="1" applyAlignment="1">
      <alignment/>
    </xf>
    <xf numFmtId="0" fontId="4" fillId="23" borderId="0" xfId="0" applyFont="1" applyFill="1" applyBorder="1" applyAlignment="1">
      <alignment/>
    </xf>
    <xf numFmtId="3" fontId="4" fillId="23" borderId="0" xfId="0" applyNumberFormat="1" applyFont="1" applyFill="1" applyBorder="1" applyAlignment="1">
      <alignment/>
    </xf>
    <xf numFmtId="3" fontId="4" fillId="23" borderId="23" xfId="0" applyNumberFormat="1" applyFont="1" applyFill="1" applyBorder="1" applyAlignment="1">
      <alignment/>
    </xf>
    <xf numFmtId="0" fontId="4" fillId="23" borderId="32" xfId="0" applyFont="1" applyFill="1" applyBorder="1" applyAlignment="1">
      <alignment/>
    </xf>
    <xf numFmtId="0" fontId="4" fillId="23" borderId="25" xfId="0" applyFont="1" applyFill="1" applyBorder="1" applyAlignment="1">
      <alignment/>
    </xf>
    <xf numFmtId="3" fontId="4" fillId="23" borderId="25" xfId="0" applyNumberFormat="1" applyFont="1" applyFill="1" applyBorder="1" applyAlignment="1">
      <alignment/>
    </xf>
    <xf numFmtId="3" fontId="4" fillId="23" borderId="26" xfId="0" applyNumberFormat="1" applyFont="1" applyFill="1" applyBorder="1" applyAlignment="1">
      <alignment/>
    </xf>
    <xf numFmtId="0" fontId="5" fillId="23" borderId="32" xfId="0" applyFont="1" applyFill="1" applyBorder="1" applyAlignment="1">
      <alignment/>
    </xf>
    <xf numFmtId="0" fontId="5" fillId="23" borderId="25" xfId="0" applyFont="1" applyFill="1" applyBorder="1" applyAlignment="1">
      <alignment/>
    </xf>
    <xf numFmtId="3" fontId="5" fillId="23" borderId="26" xfId="0" applyNumberFormat="1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0" fontId="5" fillId="3" borderId="0" xfId="0" applyFont="1" applyFill="1" applyAlignment="1">
      <alignment/>
    </xf>
    <xf numFmtId="0" fontId="5" fillId="23" borderId="0" xfId="0" applyFont="1" applyFill="1" applyAlignment="1">
      <alignment horizontal="left"/>
    </xf>
    <xf numFmtId="3" fontId="5" fillId="3" borderId="0" xfId="0" applyNumberFormat="1" applyFont="1" applyFill="1" applyBorder="1" applyAlignment="1">
      <alignment/>
    </xf>
    <xf numFmtId="0" fontId="3" fillId="0" borderId="0" xfId="94" applyFont="1" applyFill="1" applyAlignment="1">
      <alignment/>
      <protection/>
    </xf>
    <xf numFmtId="0" fontId="12" fillId="0" borderId="0" xfId="0" applyFont="1" applyFill="1" applyBorder="1" applyAlignment="1">
      <alignment vertical="top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4" fontId="4" fillId="24" borderId="13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5" fillId="24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wrapText="1"/>
    </xf>
    <xf numFmtId="0" fontId="5" fillId="20" borderId="34" xfId="0" applyFont="1" applyFill="1" applyBorder="1" applyAlignment="1">
      <alignment horizontal="center" wrapText="1"/>
    </xf>
    <xf numFmtId="0" fontId="5" fillId="20" borderId="35" xfId="0" applyFont="1" applyFill="1" applyBorder="1" applyAlignment="1">
      <alignment horizontal="center" wrapText="1"/>
    </xf>
    <xf numFmtId="0" fontId="5" fillId="11" borderId="34" xfId="0" applyFont="1" applyFill="1" applyBorder="1" applyAlignment="1">
      <alignment horizontal="center" wrapText="1"/>
    </xf>
    <xf numFmtId="0" fontId="5" fillId="11" borderId="35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15" borderId="13" xfId="0" applyFont="1" applyFill="1" applyBorder="1" applyAlignment="1">
      <alignment horizontal="center" wrapText="1"/>
    </xf>
    <xf numFmtId="0" fontId="5" fillId="15" borderId="35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wrapText="1" indent="4"/>
    </xf>
    <xf numFmtId="0" fontId="5" fillId="24" borderId="36" xfId="0" applyFont="1" applyFill="1" applyBorder="1" applyAlignment="1">
      <alignment horizontal="center"/>
    </xf>
    <xf numFmtId="0" fontId="5" fillId="24" borderId="37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5" fillId="25" borderId="38" xfId="0" applyFont="1" applyFill="1" applyBorder="1" applyAlignment="1">
      <alignment horizontal="center" wrapText="1"/>
    </xf>
    <xf numFmtId="0" fontId="5" fillId="25" borderId="37" xfId="0" applyFont="1" applyFill="1" applyBorder="1" applyAlignment="1">
      <alignment horizontal="center" wrapText="1"/>
    </xf>
    <xf numFmtId="0" fontId="5" fillId="20" borderId="39" xfId="0" applyFont="1" applyFill="1" applyBorder="1" applyAlignment="1">
      <alignment horizontal="center" wrapText="1"/>
    </xf>
    <xf numFmtId="0" fontId="5" fillId="20" borderId="40" xfId="0" applyFont="1" applyFill="1" applyBorder="1" applyAlignment="1">
      <alignment horizontal="center" wrapText="1"/>
    </xf>
    <xf numFmtId="0" fontId="5" fillId="11" borderId="39" xfId="0" applyFont="1" applyFill="1" applyBorder="1" applyAlignment="1">
      <alignment horizontal="center" wrapText="1"/>
    </xf>
    <xf numFmtId="0" fontId="5" fillId="11" borderId="40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wrapText="1"/>
    </xf>
    <xf numFmtId="0" fontId="5" fillId="15" borderId="36" xfId="0" applyFont="1" applyFill="1" applyBorder="1" applyAlignment="1">
      <alignment horizontal="center" wrapText="1"/>
    </xf>
    <xf numFmtId="0" fontId="5" fillId="15" borderId="40" xfId="0" applyFont="1" applyFill="1" applyBorder="1" applyAlignment="1">
      <alignment horizontal="center" wrapText="1"/>
    </xf>
    <xf numFmtId="0" fontId="5" fillId="5" borderId="37" xfId="0" applyFont="1" applyFill="1" applyBorder="1" applyAlignment="1">
      <alignment horizontal="center" wrapText="1"/>
    </xf>
    <xf numFmtId="3" fontId="5" fillId="24" borderId="0" xfId="0" applyNumberFormat="1" applyFont="1" applyFill="1" applyBorder="1" applyAlignment="1">
      <alignment horizontal="right"/>
    </xf>
    <xf numFmtId="3" fontId="5" fillId="24" borderId="10" xfId="0" applyNumberFormat="1" applyFont="1" applyFill="1" applyBorder="1" applyAlignment="1">
      <alignment horizontal="right"/>
    </xf>
    <xf numFmtId="0" fontId="5" fillId="24" borderId="41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25" borderId="41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center" wrapText="1"/>
    </xf>
    <xf numFmtId="0" fontId="5" fillId="20" borderId="31" xfId="0" applyFont="1" applyFill="1" applyBorder="1" applyAlignment="1">
      <alignment horizontal="center" wrapText="1"/>
    </xf>
    <xf numFmtId="0" fontId="5" fillId="20" borderId="23" xfId="0" applyFont="1" applyFill="1" applyBorder="1" applyAlignment="1">
      <alignment horizontal="center" wrapText="1"/>
    </xf>
    <xf numFmtId="0" fontId="5" fillId="11" borderId="31" xfId="0" applyFont="1" applyFill="1" applyBorder="1" applyAlignment="1">
      <alignment horizontal="center" wrapText="1"/>
    </xf>
    <xf numFmtId="0" fontId="5" fillId="11" borderId="23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15" borderId="0" xfId="0" applyFont="1" applyFill="1" applyBorder="1" applyAlignment="1">
      <alignment horizontal="center" wrapText="1"/>
    </xf>
    <xf numFmtId="0" fontId="5" fillId="15" borderId="23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horizontal="right"/>
    </xf>
    <xf numFmtId="0" fontId="4" fillId="24" borderId="14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 wrapText="1" indent="4"/>
    </xf>
    <xf numFmtId="0" fontId="7" fillId="0" borderId="2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25" borderId="41" xfId="0" applyFont="1" applyFill="1" applyBorder="1" applyAlignment="1">
      <alignment/>
    </xf>
    <xf numFmtId="0" fontId="4" fillId="25" borderId="10" xfId="0" applyFont="1" applyFill="1" applyBorder="1" applyAlignment="1">
      <alignment/>
    </xf>
    <xf numFmtId="0" fontId="4" fillId="20" borderId="31" xfId="0" applyFont="1" applyFill="1" applyBorder="1" applyAlignment="1">
      <alignment/>
    </xf>
    <xf numFmtId="0" fontId="4" fillId="20" borderId="23" xfId="0" applyFont="1" applyFill="1" applyBorder="1" applyAlignment="1">
      <alignment/>
    </xf>
    <xf numFmtId="0" fontId="4" fillId="11" borderId="31" xfId="0" applyFont="1" applyFill="1" applyBorder="1" applyAlignment="1">
      <alignment/>
    </xf>
    <xf numFmtId="0" fontId="4" fillId="11" borderId="23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15" borderId="0" xfId="0" applyFont="1" applyFill="1" applyBorder="1" applyAlignment="1">
      <alignment/>
    </xf>
    <xf numFmtId="0" fontId="4" fillId="15" borderId="23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23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3" fontId="5" fillId="5" borderId="25" xfId="0" applyNumberFormat="1" applyFont="1" applyFill="1" applyBorder="1" applyAlignment="1">
      <alignment/>
    </xf>
    <xf numFmtId="0" fontId="5" fillId="5" borderId="26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3" fontId="4" fillId="25" borderId="41" xfId="0" applyNumberFormat="1" applyFont="1" applyFill="1" applyBorder="1" applyAlignment="1">
      <alignment/>
    </xf>
    <xf numFmtId="3" fontId="4" fillId="11" borderId="34" xfId="0" applyNumberFormat="1" applyFont="1" applyFill="1" applyBorder="1" applyAlignment="1">
      <alignment/>
    </xf>
    <xf numFmtId="3" fontId="4" fillId="11" borderId="35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4" fillId="15" borderId="13" xfId="0" applyNumberFormat="1" applyFont="1" applyFill="1" applyBorder="1" applyAlignment="1">
      <alignment/>
    </xf>
    <xf numFmtId="3" fontId="4" fillId="15" borderId="35" xfId="0" applyNumberFormat="1" applyFont="1" applyFill="1" applyBorder="1" applyAlignment="1">
      <alignment/>
    </xf>
    <xf numFmtId="166" fontId="5" fillId="5" borderId="20" xfId="0" applyNumberFormat="1" applyFont="1" applyFill="1" applyBorder="1" applyAlignment="1">
      <alignment/>
    </xf>
    <xf numFmtId="0" fontId="5" fillId="5" borderId="21" xfId="0" applyFont="1" applyFill="1" applyBorder="1" applyAlignment="1">
      <alignment/>
    </xf>
    <xf numFmtId="0" fontId="4" fillId="0" borderId="36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4" fillId="0" borderId="38" xfId="0" applyFont="1" applyFill="1" applyBorder="1" applyAlignment="1">
      <alignment wrapText="1"/>
    </xf>
    <xf numFmtId="3" fontId="5" fillId="5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" fontId="5" fillId="5" borderId="20" xfId="0" applyNumberFormat="1" applyFont="1" applyFill="1" applyBorder="1" applyAlignment="1">
      <alignment/>
    </xf>
    <xf numFmtId="0" fontId="38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3" fontId="4" fillId="0" borderId="15" xfId="0" applyNumberFormat="1" applyFont="1" applyFill="1" applyBorder="1" applyAlignment="1">
      <alignment horizontal="right"/>
    </xf>
    <xf numFmtId="3" fontId="4" fillId="20" borderId="31" xfId="0" applyNumberFormat="1" applyFont="1" applyFill="1" applyBorder="1" applyAlignment="1">
      <alignment horizontal="right"/>
    </xf>
    <xf numFmtId="3" fontId="4" fillId="20" borderId="23" xfId="0" applyNumberFormat="1" applyFont="1" applyFill="1" applyBorder="1" applyAlignment="1">
      <alignment horizontal="right"/>
    </xf>
    <xf numFmtId="3" fontId="4" fillId="11" borderId="31" xfId="0" applyNumberFormat="1" applyFont="1" applyFill="1" applyBorder="1" applyAlignment="1">
      <alignment horizontal="right"/>
    </xf>
    <xf numFmtId="3" fontId="4" fillId="11" borderId="23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right"/>
    </xf>
    <xf numFmtId="3" fontId="4" fillId="15" borderId="0" xfId="0" applyNumberFormat="1" applyFont="1" applyFill="1" applyBorder="1" applyAlignment="1">
      <alignment horizontal="right"/>
    </xf>
    <xf numFmtId="3" fontId="4" fillId="15" borderId="23" xfId="0" applyNumberFormat="1" applyFont="1" applyFill="1" applyBorder="1" applyAlignment="1">
      <alignment horizontal="right"/>
    </xf>
    <xf numFmtId="186" fontId="5" fillId="5" borderId="20" xfId="0" applyNumberFormat="1" applyFont="1" applyFill="1" applyBorder="1" applyAlignment="1">
      <alignment/>
    </xf>
    <xf numFmtId="0" fontId="38" fillId="0" borderId="16" xfId="0" applyFont="1" applyFill="1" applyBorder="1" applyAlignment="1">
      <alignment wrapText="1"/>
    </xf>
    <xf numFmtId="0" fontId="4" fillId="0" borderId="38" xfId="0" applyFont="1" applyFill="1" applyBorder="1" applyAlignment="1">
      <alignment horizontal="left" wrapText="1"/>
    </xf>
    <xf numFmtId="0" fontId="4" fillId="0" borderId="37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left" wrapText="1"/>
    </xf>
    <xf numFmtId="3" fontId="5" fillId="5" borderId="36" xfId="0" applyNumberFormat="1" applyFont="1" applyFill="1" applyBorder="1" applyAlignment="1">
      <alignment horizontal="right" wrapText="1"/>
    </xf>
    <xf numFmtId="3" fontId="4" fillId="25" borderId="0" xfId="0" applyNumberFormat="1" applyFont="1" applyFill="1" applyBorder="1" applyAlignment="1">
      <alignment horizontal="right"/>
    </xf>
    <xf numFmtId="3" fontId="4" fillId="25" borderId="10" xfId="0" applyNumberFormat="1" applyFont="1" applyFill="1" applyBorder="1" applyAlignment="1">
      <alignment horizontal="right"/>
    </xf>
    <xf numFmtId="186" fontId="4" fillId="11" borderId="31" xfId="0" applyNumberFormat="1" applyFont="1" applyFill="1" applyBorder="1" applyAlignment="1">
      <alignment horizontal="right"/>
    </xf>
    <xf numFmtId="3" fontId="4" fillId="11" borderId="23" xfId="0" applyNumberFormat="1" applyFont="1" applyFill="1" applyBorder="1" applyAlignment="1">
      <alignment horizontal="right" wrapText="1"/>
    </xf>
    <xf numFmtId="3" fontId="9" fillId="11" borderId="23" xfId="0" applyNumberFormat="1" applyFont="1" applyFill="1" applyBorder="1" applyAlignment="1">
      <alignment horizontal="right" wrapText="1"/>
    </xf>
    <xf numFmtId="4" fontId="4" fillId="11" borderId="3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41" xfId="0" applyFont="1" applyFill="1" applyBorder="1" applyAlignment="1">
      <alignment horizontal="left" wrapText="1"/>
    </xf>
    <xf numFmtId="0" fontId="9" fillId="0" borderId="36" xfId="0" applyFont="1" applyFill="1" applyBorder="1" applyAlignment="1">
      <alignment horizontal="left" wrapText="1"/>
    </xf>
    <xf numFmtId="0" fontId="9" fillId="0" borderId="37" xfId="0" applyFont="1" applyFill="1" applyBorder="1" applyAlignment="1">
      <alignment horizontal="left" wrapText="1"/>
    </xf>
    <xf numFmtId="0" fontId="9" fillId="0" borderId="38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4" fillId="20" borderId="31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left" indent="3"/>
    </xf>
    <xf numFmtId="3" fontId="4" fillId="0" borderId="36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15" xfId="0" applyFont="1" applyFill="1" applyBorder="1" applyAlignment="1">
      <alignment horizontal="right" wrapText="1"/>
    </xf>
    <xf numFmtId="0" fontId="4" fillId="0" borderId="13" xfId="0" applyFont="1" applyFill="1" applyBorder="1" applyAlignment="1">
      <alignment horizontal="right" wrapText="1"/>
    </xf>
    <xf numFmtId="3" fontId="5" fillId="5" borderId="2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0" fontId="15" fillId="21" borderId="33" xfId="0" applyFont="1" applyFill="1" applyBorder="1" applyAlignment="1">
      <alignment horizontal="left" wrapText="1"/>
    </xf>
    <xf numFmtId="186" fontId="38" fillId="11" borderId="31" xfId="0" applyNumberFormat="1" applyFont="1" applyFill="1" applyBorder="1" applyAlignment="1">
      <alignment horizontal="right"/>
    </xf>
    <xf numFmtId="3" fontId="38" fillId="11" borderId="23" xfId="0" applyNumberFormat="1" applyFont="1" applyFill="1" applyBorder="1" applyAlignment="1">
      <alignment horizontal="right" wrapText="1"/>
    </xf>
    <xf numFmtId="186" fontId="39" fillId="5" borderId="20" xfId="0" applyNumberFormat="1" applyFont="1" applyFill="1" applyBorder="1" applyAlignment="1">
      <alignment/>
    </xf>
    <xf numFmtId="0" fontId="39" fillId="5" borderId="21" xfId="0" applyFont="1" applyFill="1" applyBorder="1" applyAlignment="1">
      <alignment/>
    </xf>
    <xf numFmtId="3" fontId="39" fillId="5" borderId="0" xfId="0" applyNumberFormat="1" applyFont="1" applyFill="1" applyBorder="1" applyAlignment="1">
      <alignment/>
    </xf>
    <xf numFmtId="0" fontId="39" fillId="5" borderId="23" xfId="0" applyFont="1" applyFill="1" applyBorder="1" applyAlignment="1">
      <alignment/>
    </xf>
    <xf numFmtId="0" fontId="5" fillId="21" borderId="0" xfId="0" applyFont="1" applyFill="1" applyBorder="1" applyAlignment="1">
      <alignment horizontal="left" wrapText="1"/>
    </xf>
    <xf numFmtId="0" fontId="5" fillId="21" borderId="10" xfId="0" applyFont="1" applyFill="1" applyBorder="1" applyAlignment="1">
      <alignment horizontal="left" wrapText="1"/>
    </xf>
    <xf numFmtId="0" fontId="5" fillId="21" borderId="41" xfId="0" applyFont="1" applyFill="1" applyBorder="1" applyAlignment="1">
      <alignment horizontal="left" wrapText="1"/>
    </xf>
    <xf numFmtId="3" fontId="5" fillId="21" borderId="0" xfId="0" applyNumberFormat="1" applyFont="1" applyFill="1" applyBorder="1" applyAlignment="1">
      <alignment horizontal="right"/>
    </xf>
    <xf numFmtId="3" fontId="5" fillId="21" borderId="41" xfId="0" applyNumberFormat="1" applyFont="1" applyFill="1" applyBorder="1" applyAlignment="1">
      <alignment horizontal="right"/>
    </xf>
    <xf numFmtId="3" fontId="5" fillId="21" borderId="10" xfId="0" applyNumberFormat="1" applyFont="1" applyFill="1" applyBorder="1" applyAlignment="1">
      <alignment horizontal="right"/>
    </xf>
    <xf numFmtId="3" fontId="5" fillId="21" borderId="31" xfId="0" applyNumberFormat="1" applyFont="1" applyFill="1" applyBorder="1" applyAlignment="1">
      <alignment horizontal="right"/>
    </xf>
    <xf numFmtId="3" fontId="5" fillId="21" borderId="23" xfId="0" applyNumberFormat="1" applyFont="1" applyFill="1" applyBorder="1" applyAlignment="1">
      <alignment horizontal="right"/>
    </xf>
    <xf numFmtId="3" fontId="5" fillId="21" borderId="23" xfId="0" applyNumberFormat="1" applyFont="1" applyFill="1" applyBorder="1" applyAlignment="1">
      <alignment horizontal="right" wrapText="1"/>
    </xf>
    <xf numFmtId="166" fontId="5" fillId="21" borderId="20" xfId="0" applyNumberFormat="1" applyFont="1" applyFill="1" applyBorder="1" applyAlignment="1">
      <alignment/>
    </xf>
    <xf numFmtId="0" fontId="5" fillId="21" borderId="21" xfId="0" applyFont="1" applyFill="1" applyBorder="1" applyAlignment="1">
      <alignment/>
    </xf>
    <xf numFmtId="3" fontId="5" fillId="21" borderId="0" xfId="0" applyNumberFormat="1" applyFont="1" applyFill="1" applyBorder="1" applyAlignment="1">
      <alignment/>
    </xf>
    <xf numFmtId="0" fontId="5" fillId="21" borderId="23" xfId="0" applyFont="1" applyFill="1" applyBorder="1" applyAlignment="1">
      <alignment/>
    </xf>
    <xf numFmtId="0" fontId="3" fillId="0" borderId="43" xfId="0" applyFont="1" applyFill="1" applyBorder="1" applyAlignment="1">
      <alignment wrapText="1"/>
    </xf>
    <xf numFmtId="0" fontId="6" fillId="4" borderId="22" xfId="0" applyFont="1" applyFill="1" applyBorder="1" applyAlignment="1">
      <alignment horizontal="left" indent="1"/>
    </xf>
    <xf numFmtId="3" fontId="15" fillId="4" borderId="29" xfId="0" applyNumberFormat="1" applyFont="1" applyFill="1" applyBorder="1" applyAlignment="1">
      <alignment wrapText="1"/>
    </xf>
    <xf numFmtId="3" fontId="5" fillId="4" borderId="28" xfId="0" applyNumberFormat="1" applyFont="1" applyFill="1" applyBorder="1" applyAlignment="1">
      <alignment/>
    </xf>
    <xf numFmtId="3" fontId="4" fillId="4" borderId="28" xfId="0" applyNumberFormat="1" applyFont="1" applyFill="1" applyBorder="1" applyAlignment="1">
      <alignment wrapText="1"/>
    </xf>
    <xf numFmtId="0" fontId="4" fillId="4" borderId="33" xfId="0" applyFont="1" applyFill="1" applyBorder="1" applyAlignment="1">
      <alignment wrapText="1"/>
    </xf>
    <xf numFmtId="3" fontId="5" fillId="3" borderId="20" xfId="0" applyNumberFormat="1" applyFont="1" applyFill="1" applyBorder="1" applyAlignment="1">
      <alignment wrapText="1"/>
    </xf>
    <xf numFmtId="0" fontId="12" fillId="0" borderId="0" xfId="0" applyFont="1" applyFill="1" applyAlignment="1">
      <alignment/>
    </xf>
    <xf numFmtId="0" fontId="12" fillId="0" borderId="27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3" fontId="15" fillId="0" borderId="29" xfId="0" applyNumberFormat="1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0" fontId="5" fillId="5" borderId="13" xfId="0" applyFont="1" applyFill="1" applyBorder="1" applyAlignment="1">
      <alignment horizontal="right" wrapText="1"/>
    </xf>
    <xf numFmtId="3" fontId="5" fillId="5" borderId="44" xfId="0" applyNumberFormat="1" applyFont="1" applyFill="1" applyBorder="1" applyAlignment="1">
      <alignment horizontal="right" wrapText="1"/>
    </xf>
    <xf numFmtId="0" fontId="5" fillId="5" borderId="34" xfId="0" applyFont="1" applyFill="1" applyBorder="1" applyAlignment="1">
      <alignment horizontal="right" wrapText="1"/>
    </xf>
    <xf numFmtId="0" fontId="4" fillId="24" borderId="13" xfId="0" applyFont="1" applyFill="1" applyBorder="1" applyAlignment="1">
      <alignment horizontal="left" wrapText="1"/>
    </xf>
    <xf numFmtId="0" fontId="4" fillId="24" borderId="14" xfId="0" applyFont="1" applyFill="1" applyBorder="1" applyAlignment="1">
      <alignment horizontal="left" wrapText="1"/>
    </xf>
    <xf numFmtId="0" fontId="4" fillId="24" borderId="15" xfId="0" applyFont="1" applyFill="1" applyBorder="1" applyAlignment="1">
      <alignment horizontal="left" wrapText="1"/>
    </xf>
    <xf numFmtId="186" fontId="5" fillId="5" borderId="20" xfId="0" applyNumberFormat="1" applyFont="1" applyFill="1" applyBorder="1" applyAlignment="1">
      <alignment horizontal="right"/>
    </xf>
    <xf numFmtId="0" fontId="4" fillId="24" borderId="38" xfId="0" applyFont="1" applyFill="1" applyBorder="1" applyAlignment="1">
      <alignment horizontal="left" wrapText="1"/>
    </xf>
    <xf numFmtId="0" fontId="4" fillId="24" borderId="37" xfId="0" applyFont="1" applyFill="1" applyBorder="1" applyAlignment="1">
      <alignment horizontal="left" wrapText="1"/>
    </xf>
    <xf numFmtId="0" fontId="4" fillId="24" borderId="36" xfId="0" applyFont="1" applyFill="1" applyBorder="1" applyAlignment="1">
      <alignment horizontal="left" wrapText="1"/>
    </xf>
    <xf numFmtId="3" fontId="4" fillId="24" borderId="13" xfId="0" applyNumberFormat="1" applyFont="1" applyFill="1" applyBorder="1" applyAlignment="1">
      <alignment horizontal="right" wrapText="1"/>
    </xf>
    <xf numFmtId="3" fontId="5" fillId="0" borderId="0" xfId="0" applyNumberFormat="1" applyFont="1" applyFill="1" applyAlignment="1">
      <alignment horizontal="center"/>
    </xf>
    <xf numFmtId="0" fontId="5" fillId="5" borderId="30" xfId="0" applyFont="1" applyFill="1" applyBorder="1" applyAlignment="1">
      <alignment/>
    </xf>
    <xf numFmtId="3" fontId="5" fillId="5" borderId="32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right"/>
    </xf>
    <xf numFmtId="3" fontId="38" fillId="0" borderId="10" xfId="0" applyNumberFormat="1" applyFont="1" applyFill="1" applyBorder="1" applyAlignment="1">
      <alignment horizontal="right"/>
    </xf>
    <xf numFmtId="3" fontId="38" fillId="25" borderId="41" xfId="0" applyNumberFormat="1" applyFont="1" applyFill="1" applyBorder="1" applyAlignment="1">
      <alignment/>
    </xf>
    <xf numFmtId="0" fontId="38" fillId="25" borderId="10" xfId="0" applyFont="1" applyFill="1" applyBorder="1" applyAlignment="1">
      <alignment/>
    </xf>
    <xf numFmtId="3" fontId="39" fillId="5" borderId="36" xfId="0" applyNumberFormat="1" applyFont="1" applyFill="1" applyBorder="1" applyAlignment="1">
      <alignment horizontal="right" wrapText="1"/>
    </xf>
    <xf numFmtId="0" fontId="0" fillId="0" borderId="0" xfId="93" applyFill="1">
      <alignment/>
      <protection/>
    </xf>
    <xf numFmtId="165" fontId="4" fillId="0" borderId="0" xfId="93" applyNumberFormat="1" applyFont="1" applyFill="1" applyBorder="1">
      <alignment/>
      <protection/>
    </xf>
    <xf numFmtId="0" fontId="4" fillId="0" borderId="0" xfId="93" applyFont="1" applyFill="1" applyBorder="1">
      <alignment/>
      <protection/>
    </xf>
    <xf numFmtId="0" fontId="4" fillId="0" borderId="0" xfId="93" applyFont="1" applyFill="1">
      <alignment/>
      <protection/>
    </xf>
    <xf numFmtId="0" fontId="5" fillId="0" borderId="0" xfId="93" applyFont="1" applyFill="1">
      <alignment/>
      <protection/>
    </xf>
    <xf numFmtId="165" fontId="4" fillId="0" borderId="0" xfId="93" applyNumberFormat="1" applyFont="1" applyFill="1">
      <alignment/>
      <protection/>
    </xf>
    <xf numFmtId="0" fontId="4" fillId="0" borderId="45" xfId="93" applyFont="1" applyFill="1" applyBorder="1" applyAlignment="1">
      <alignment horizontal="center" wrapText="1"/>
      <protection/>
    </xf>
    <xf numFmtId="0" fontId="5" fillId="0" borderId="46" xfId="93" applyFont="1" applyFill="1" applyBorder="1" applyAlignment="1">
      <alignment horizontal="center" wrapText="1"/>
      <protection/>
    </xf>
    <xf numFmtId="0" fontId="5" fillId="0" borderId="45" xfId="93" applyFont="1" applyFill="1" applyBorder="1" applyAlignment="1">
      <alignment horizontal="center" wrapText="1"/>
      <protection/>
    </xf>
    <xf numFmtId="165" fontId="4" fillId="0" borderId="0" xfId="93" applyNumberFormat="1" applyFont="1" applyFill="1" applyAlignment="1">
      <alignment horizontal="center" wrapText="1"/>
      <protection/>
    </xf>
    <xf numFmtId="0" fontId="4" fillId="0" borderId="0" xfId="93" applyFont="1" applyFill="1" applyAlignment="1">
      <alignment horizontal="center" wrapText="1"/>
      <protection/>
    </xf>
    <xf numFmtId="0" fontId="4" fillId="0" borderId="45" xfId="93" applyFont="1" applyFill="1" applyBorder="1">
      <alignment/>
      <protection/>
    </xf>
    <xf numFmtId="3" fontId="4" fillId="0" borderId="45" xfId="93" applyNumberFormat="1" applyFont="1" applyFill="1" applyBorder="1">
      <alignment/>
      <protection/>
    </xf>
    <xf numFmtId="3" fontId="5" fillId="0" borderId="45" xfId="93" applyNumberFormat="1" applyFont="1" applyFill="1" applyBorder="1">
      <alignment/>
      <protection/>
    </xf>
    <xf numFmtId="3" fontId="4" fillId="0" borderId="47" xfId="93" applyNumberFormat="1" applyFont="1" applyFill="1" applyBorder="1">
      <alignment/>
      <protection/>
    </xf>
    <xf numFmtId="3" fontId="4" fillId="0" borderId="46" xfId="93" applyNumberFormat="1" applyFont="1" applyFill="1" applyBorder="1">
      <alignment/>
      <protection/>
    </xf>
    <xf numFmtId="0" fontId="4" fillId="0" borderId="45" xfId="93" applyFont="1" applyFill="1" applyBorder="1" applyAlignment="1">
      <alignment wrapText="1"/>
      <protection/>
    </xf>
    <xf numFmtId="0" fontId="5" fillId="0" borderId="45" xfId="93" applyFont="1" applyFill="1" applyBorder="1">
      <alignment/>
      <protection/>
    </xf>
    <xf numFmtId="0" fontId="5" fillId="0" borderId="13" xfId="93" applyFont="1" applyFill="1" applyBorder="1">
      <alignment/>
      <protection/>
    </xf>
    <xf numFmtId="3" fontId="5" fillId="0" borderId="0" xfId="93" applyNumberFormat="1" applyFont="1" applyFill="1" applyBorder="1">
      <alignment/>
      <protection/>
    </xf>
    <xf numFmtId="3" fontId="5" fillId="0" borderId="13" xfId="93" applyNumberFormat="1" applyFont="1" applyFill="1" applyBorder="1">
      <alignment/>
      <protection/>
    </xf>
    <xf numFmtId="165" fontId="5" fillId="0" borderId="0" xfId="93" applyNumberFormat="1" applyFont="1" applyFill="1">
      <alignment/>
      <protection/>
    </xf>
    <xf numFmtId="0" fontId="5" fillId="0" borderId="48" xfId="0" applyFont="1" applyFill="1" applyBorder="1" applyAlignment="1">
      <alignment horizontal="center" wrapText="1"/>
    </xf>
    <xf numFmtId="185" fontId="4" fillId="24" borderId="39" xfId="68" applyNumberFormat="1" applyFont="1" applyFill="1" applyBorder="1" applyAlignment="1">
      <alignment horizontal="center" wrapText="1"/>
    </xf>
    <xf numFmtId="185" fontId="4" fillId="24" borderId="37" xfId="68" applyNumberFormat="1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center" wrapText="1"/>
    </xf>
    <xf numFmtId="3" fontId="4" fillId="11" borderId="39" xfId="0" applyNumberFormat="1" applyFont="1" applyFill="1" applyBorder="1" applyAlignment="1">
      <alignment horizontal="right"/>
    </xf>
    <xf numFmtId="3" fontId="4" fillId="11" borderId="40" xfId="0" applyNumberFormat="1" applyFont="1" applyFill="1" applyBorder="1" applyAlignment="1">
      <alignment horizontal="right"/>
    </xf>
    <xf numFmtId="3" fontId="4" fillId="25" borderId="38" xfId="0" applyNumberFormat="1" applyFont="1" applyFill="1" applyBorder="1" applyAlignment="1">
      <alignment horizontal="right"/>
    </xf>
    <xf numFmtId="3" fontId="4" fillId="15" borderId="36" xfId="0" applyNumberFormat="1" applyFont="1" applyFill="1" applyBorder="1" applyAlignment="1">
      <alignment horizontal="right"/>
    </xf>
    <xf numFmtId="3" fontId="4" fillId="15" borderId="40" xfId="0" applyNumberFormat="1" applyFont="1" applyFill="1" applyBorder="1" applyAlignment="1">
      <alignment horizontal="right"/>
    </xf>
    <xf numFmtId="3" fontId="4" fillId="20" borderId="39" xfId="0" applyNumberFormat="1" applyFont="1" applyFill="1" applyBorder="1" applyAlignment="1">
      <alignment horizontal="right"/>
    </xf>
    <xf numFmtId="3" fontId="4" fillId="20" borderId="40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center" wrapText="1"/>
    </xf>
    <xf numFmtId="0" fontId="4" fillId="0" borderId="37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3" fontId="5" fillId="0" borderId="51" xfId="0" applyNumberFormat="1" applyFont="1" applyFill="1" applyBorder="1" applyAlignment="1">
      <alignment horizontal="center"/>
    </xf>
    <xf numFmtId="3" fontId="8" fillId="0" borderId="52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3" fontId="8" fillId="0" borderId="54" xfId="0" applyNumberFormat="1" applyFon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3" fontId="5" fillId="0" borderId="56" xfId="0" applyNumberFormat="1" applyFont="1" applyFill="1" applyBorder="1" applyAlignment="1">
      <alignment horizontal="right"/>
    </xf>
    <xf numFmtId="3" fontId="5" fillId="0" borderId="57" xfId="0" applyNumberFormat="1" applyFont="1" applyFill="1" applyBorder="1" applyAlignment="1">
      <alignment horizontal="right"/>
    </xf>
    <xf numFmtId="185" fontId="5" fillId="21" borderId="36" xfId="0" applyNumberFormat="1" applyFont="1" applyFill="1" applyBorder="1" applyAlignment="1">
      <alignment horizontal="center" wrapText="1"/>
    </xf>
    <xf numFmtId="185" fontId="5" fillId="21" borderId="37" xfId="0" applyNumberFormat="1" applyFont="1" applyFill="1" applyBorder="1" applyAlignment="1">
      <alignment horizontal="center" wrapText="1"/>
    </xf>
    <xf numFmtId="0" fontId="15" fillId="21" borderId="30" xfId="0" applyFont="1" applyFill="1" applyBorder="1" applyAlignment="1">
      <alignment horizontal="left" wrapText="1"/>
    </xf>
    <xf numFmtId="0" fontId="15" fillId="21" borderId="39" xfId="0" applyFont="1" applyFill="1" applyBorder="1" applyAlignment="1">
      <alignment horizontal="left" wrapText="1"/>
    </xf>
    <xf numFmtId="3" fontId="38" fillId="11" borderId="39" xfId="0" applyNumberFormat="1" applyFont="1" applyFill="1" applyBorder="1" applyAlignment="1">
      <alignment/>
    </xf>
    <xf numFmtId="0" fontId="38" fillId="11" borderId="4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right"/>
    </xf>
    <xf numFmtId="3" fontId="4" fillId="0" borderId="37" xfId="0" applyNumberFormat="1" applyFont="1" applyFill="1" applyBorder="1" applyAlignment="1">
      <alignment horizontal="right"/>
    </xf>
    <xf numFmtId="3" fontId="4" fillId="25" borderId="36" xfId="0" applyNumberFormat="1" applyFont="1" applyFill="1" applyBorder="1" applyAlignment="1">
      <alignment horizontal="right"/>
    </xf>
    <xf numFmtId="3" fontId="4" fillId="25" borderId="37" xfId="0" applyNumberFormat="1" applyFont="1" applyFill="1" applyBorder="1" applyAlignment="1">
      <alignment horizontal="right"/>
    </xf>
    <xf numFmtId="3" fontId="4" fillId="0" borderId="36" xfId="0" applyNumberFormat="1" applyFont="1" applyFill="1" applyBorder="1" applyAlignment="1">
      <alignment horizontal="right"/>
    </xf>
    <xf numFmtId="3" fontId="4" fillId="0" borderId="38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3" fontId="5" fillId="21" borderId="45" xfId="0" applyNumberFormat="1" applyFont="1" applyFill="1" applyBorder="1" applyAlignment="1">
      <alignment horizontal="right"/>
    </xf>
    <xf numFmtId="3" fontId="4" fillId="0" borderId="36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3" fontId="4" fillId="0" borderId="40" xfId="0" applyNumberFormat="1" applyFont="1" applyFill="1" applyBorder="1" applyAlignment="1">
      <alignment horizontal="right"/>
    </xf>
    <xf numFmtId="3" fontId="4" fillId="15" borderId="38" xfId="0" applyNumberFormat="1" applyFont="1" applyFill="1" applyBorder="1" applyAlignment="1">
      <alignment horizontal="right"/>
    </xf>
    <xf numFmtId="3" fontId="4" fillId="11" borderId="39" xfId="0" applyNumberFormat="1" applyFont="1" applyFill="1" applyBorder="1" applyAlignment="1">
      <alignment/>
    </xf>
    <xf numFmtId="3" fontId="4" fillId="11" borderId="40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wrapText="1"/>
    </xf>
    <xf numFmtId="3" fontId="4" fillId="0" borderId="37" xfId="0" applyNumberFormat="1" applyFont="1" applyFill="1" applyBorder="1" applyAlignment="1">
      <alignment horizontal="center" wrapText="1"/>
    </xf>
    <xf numFmtId="185" fontId="4" fillId="0" borderId="39" xfId="68" applyNumberFormat="1" applyFont="1" applyFill="1" applyBorder="1" applyAlignment="1">
      <alignment horizontal="center" wrapText="1"/>
    </xf>
    <xf numFmtId="185" fontId="4" fillId="0" borderId="37" xfId="68" applyNumberFormat="1" applyFont="1" applyFill="1" applyBorder="1" applyAlignment="1">
      <alignment horizontal="center" wrapText="1"/>
    </xf>
    <xf numFmtId="3" fontId="4" fillId="0" borderId="38" xfId="0" applyNumberFormat="1" applyFont="1" applyFill="1" applyBorder="1" applyAlignment="1">
      <alignment horizontal="center" wrapText="1"/>
    </xf>
    <xf numFmtId="3" fontId="4" fillId="0" borderId="36" xfId="0" applyNumberFormat="1" applyFont="1" applyFill="1" applyBorder="1" applyAlignment="1">
      <alignment horizontal="center" wrapText="1"/>
    </xf>
    <xf numFmtId="0" fontId="4" fillId="11" borderId="40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3" fontId="4" fillId="15" borderId="36" xfId="0" applyNumberFormat="1" applyFont="1" applyFill="1" applyBorder="1" applyAlignment="1">
      <alignment/>
    </xf>
    <xf numFmtId="0" fontId="4" fillId="15" borderId="40" xfId="0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3" fontId="4" fillId="0" borderId="37" xfId="0" applyNumberFormat="1" applyFont="1" applyFill="1" applyBorder="1" applyAlignment="1">
      <alignment horizontal="center"/>
    </xf>
    <xf numFmtId="3" fontId="4" fillId="0" borderId="36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3" fontId="4" fillId="0" borderId="58" xfId="0" applyNumberFormat="1" applyFont="1" applyFill="1" applyBorder="1" applyAlignment="1">
      <alignment horizontal="right"/>
    </xf>
    <xf numFmtId="3" fontId="4" fillId="0" borderId="59" xfId="0" applyNumberFormat="1" applyFont="1" applyFill="1" applyBorder="1" applyAlignment="1">
      <alignment horizontal="right"/>
    </xf>
    <xf numFmtId="3" fontId="4" fillId="0" borderId="3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4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8" fillId="0" borderId="36" xfId="0" applyNumberFormat="1" applyFont="1" applyFill="1" applyBorder="1" applyAlignment="1">
      <alignment/>
    </xf>
    <xf numFmtId="0" fontId="38" fillId="0" borderId="37" xfId="0" applyFont="1" applyFill="1" applyBorder="1" applyAlignment="1">
      <alignment/>
    </xf>
    <xf numFmtId="3" fontId="38" fillId="25" borderId="38" xfId="0" applyNumberFormat="1" applyFont="1" applyFill="1" applyBorder="1" applyAlignment="1">
      <alignment horizontal="right"/>
    </xf>
    <xf numFmtId="3" fontId="38" fillId="25" borderId="37" xfId="0" applyNumberFormat="1" applyFont="1" applyFill="1" applyBorder="1" applyAlignment="1">
      <alignment horizontal="right"/>
    </xf>
    <xf numFmtId="0" fontId="5" fillId="0" borderId="60" xfId="0" applyFont="1" applyFill="1" applyBorder="1" applyAlignment="1">
      <alignment horizontal="center" wrapText="1"/>
    </xf>
    <xf numFmtId="0" fontId="5" fillId="0" borderId="6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0" fontId="0" fillId="0" borderId="16" xfId="0" applyFont="1" applyBorder="1" applyAlignment="1">
      <alignment/>
    </xf>
    <xf numFmtId="0" fontId="4" fillId="0" borderId="12" xfId="0" applyFont="1" applyFill="1" applyBorder="1" applyAlignment="1">
      <alignment horizontal="left" wrapText="1" indent="4" shrinkToFit="1"/>
    </xf>
    <xf numFmtId="0" fontId="4" fillId="0" borderId="16" xfId="0" applyFont="1" applyFill="1" applyBorder="1" applyAlignment="1">
      <alignment horizontal="left" wrapText="1" indent="4" shrinkToFit="1"/>
    </xf>
    <xf numFmtId="3" fontId="4" fillId="24" borderId="39" xfId="0" applyNumberFormat="1" applyFont="1" applyFill="1" applyBorder="1" applyAlignment="1">
      <alignment/>
    </xf>
    <xf numFmtId="0" fontId="4" fillId="24" borderId="37" xfId="0" applyFont="1" applyFill="1" applyBorder="1" applyAlignment="1">
      <alignment/>
    </xf>
    <xf numFmtId="3" fontId="4" fillId="24" borderId="39" xfId="0" applyNumberFormat="1" applyFont="1" applyFill="1" applyBorder="1" applyAlignment="1">
      <alignment horizontal="right" wrapText="1"/>
    </xf>
    <xf numFmtId="3" fontId="4" fillId="24" borderId="37" xfId="0" applyNumberFormat="1" applyFont="1" applyFill="1" applyBorder="1" applyAlignment="1">
      <alignment horizontal="right" wrapText="1"/>
    </xf>
    <xf numFmtId="3" fontId="4" fillId="24" borderId="44" xfId="0" applyNumberFormat="1" applyFont="1" applyFill="1" applyBorder="1" applyAlignment="1">
      <alignment horizontal="right"/>
    </xf>
    <xf numFmtId="3" fontId="4" fillId="24" borderId="48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wrapText="1" indent="4"/>
    </xf>
    <xf numFmtId="0" fontId="4" fillId="0" borderId="16" xfId="0" applyFont="1" applyFill="1" applyBorder="1" applyAlignment="1">
      <alignment horizontal="left" wrapText="1" indent="4"/>
    </xf>
    <xf numFmtId="3" fontId="4" fillId="24" borderId="38" xfId="0" applyNumberFormat="1" applyFont="1" applyFill="1" applyBorder="1" applyAlignment="1">
      <alignment/>
    </xf>
    <xf numFmtId="3" fontId="4" fillId="24" borderId="36" xfId="0" applyNumberFormat="1" applyFont="1" applyFill="1" applyBorder="1" applyAlignment="1">
      <alignment horizontal="right"/>
    </xf>
    <xf numFmtId="3" fontId="4" fillId="24" borderId="37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left" wrapText="1" indent="4"/>
    </xf>
    <xf numFmtId="0" fontId="5" fillId="5" borderId="30" xfId="0" applyFont="1" applyFill="1" applyBorder="1" applyAlignment="1">
      <alignment horizontal="center" wrapText="1"/>
    </xf>
    <xf numFmtId="0" fontId="5" fillId="5" borderId="21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20" borderId="30" xfId="0" applyFont="1" applyFill="1" applyBorder="1" applyAlignment="1">
      <alignment horizontal="center" wrapText="1"/>
    </xf>
    <xf numFmtId="0" fontId="5" fillId="20" borderId="21" xfId="0" applyFont="1" applyFill="1" applyBorder="1" applyAlignment="1">
      <alignment horizontal="center" wrapText="1"/>
    </xf>
    <xf numFmtId="0" fontId="5" fillId="11" borderId="30" xfId="0" applyFont="1" applyFill="1" applyBorder="1" applyAlignment="1">
      <alignment horizontal="center" wrapText="1"/>
    </xf>
    <xf numFmtId="0" fontId="5" fillId="11" borderId="2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15" borderId="30" xfId="0" applyFont="1" applyFill="1" applyBorder="1" applyAlignment="1">
      <alignment horizontal="center" wrapText="1"/>
    </xf>
    <xf numFmtId="0" fontId="5" fillId="15" borderId="20" xfId="0" applyFont="1" applyFill="1" applyBorder="1" applyAlignment="1">
      <alignment horizontal="center" wrapText="1"/>
    </xf>
    <xf numFmtId="0" fontId="5" fillId="25" borderId="30" xfId="0" applyFont="1" applyFill="1" applyBorder="1" applyAlignment="1">
      <alignment horizontal="center" wrapText="1"/>
    </xf>
    <xf numFmtId="0" fontId="5" fillId="25" borderId="2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top"/>
    </xf>
    <xf numFmtId="3" fontId="5" fillId="24" borderId="34" xfId="0" applyNumberFormat="1" applyFont="1" applyFill="1" applyBorder="1" applyAlignment="1">
      <alignment horizontal="right"/>
    </xf>
    <xf numFmtId="3" fontId="5" fillId="24" borderId="14" xfId="0" applyNumberFormat="1" applyFont="1" applyFill="1" applyBorder="1" applyAlignment="1">
      <alignment horizontal="right"/>
    </xf>
    <xf numFmtId="0" fontId="5" fillId="24" borderId="20" xfId="0" applyFont="1" applyFill="1" applyBorder="1" applyAlignment="1">
      <alignment horizontal="center" wrapText="1"/>
    </xf>
    <xf numFmtId="0" fontId="5" fillId="24" borderId="21" xfId="0" applyFont="1" applyFill="1" applyBorder="1" applyAlignment="1">
      <alignment horizontal="center" wrapText="1"/>
    </xf>
    <xf numFmtId="0" fontId="5" fillId="24" borderId="30" xfId="0" applyFont="1" applyFill="1" applyBorder="1" applyAlignment="1">
      <alignment horizontal="center" wrapText="1"/>
    </xf>
    <xf numFmtId="185" fontId="38" fillId="0" borderId="39" xfId="68" applyNumberFormat="1" applyFont="1" applyFill="1" applyBorder="1" applyAlignment="1">
      <alignment horizontal="center" wrapText="1"/>
    </xf>
    <xf numFmtId="185" fontId="38" fillId="0" borderId="37" xfId="68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wrapText="1"/>
    </xf>
    <xf numFmtId="0" fontId="3" fillId="0" borderId="0" xfId="94" applyFont="1" applyFill="1" applyAlignment="1">
      <alignment horizontal="left"/>
      <protection/>
    </xf>
    <xf numFmtId="0" fontId="5" fillId="4" borderId="30" xfId="0" applyFont="1" applyFill="1" applyBorder="1" applyAlignment="1">
      <alignment horizontal="left" wrapText="1"/>
    </xf>
    <xf numFmtId="0" fontId="5" fillId="4" borderId="20" xfId="0" applyFont="1" applyFill="1" applyBorder="1" applyAlignment="1">
      <alignment horizontal="left" wrapText="1"/>
    </xf>
    <xf numFmtId="0" fontId="5" fillId="2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19" fillId="3" borderId="53" xfId="0" applyFont="1" applyFill="1" applyBorder="1" applyAlignment="1">
      <alignment horizontal="center" wrapText="1"/>
    </xf>
    <xf numFmtId="0" fontId="19" fillId="3" borderId="54" xfId="0" applyFont="1" applyFill="1" applyBorder="1" applyAlignment="1">
      <alignment horizontal="center" wrapText="1"/>
    </xf>
    <xf numFmtId="0" fontId="5" fillId="23" borderId="0" xfId="0" applyFont="1" applyFill="1" applyAlignment="1">
      <alignment horizontal="left"/>
    </xf>
    <xf numFmtId="0" fontId="19" fillId="23" borderId="0" xfId="0" applyFont="1" applyFill="1" applyBorder="1" applyAlignment="1">
      <alignment horizontal="center" wrapText="1"/>
    </xf>
    <xf numFmtId="0" fontId="19" fillId="23" borderId="52" xfId="0" applyFont="1" applyFill="1" applyBorder="1" applyAlignment="1">
      <alignment horizontal="center" wrapText="1"/>
    </xf>
    <xf numFmtId="0" fontId="19" fillId="23" borderId="55" xfId="0" applyFont="1" applyFill="1" applyBorder="1" applyAlignment="1">
      <alignment horizontal="center" wrapText="1"/>
    </xf>
    <xf numFmtId="0" fontId="19" fillId="23" borderId="53" xfId="0" applyFont="1" applyFill="1" applyBorder="1" applyAlignment="1">
      <alignment horizontal="center" wrapText="1"/>
    </xf>
    <xf numFmtId="0" fontId="19" fillId="23" borderId="54" xfId="0" applyFont="1" applyFill="1" applyBorder="1" applyAlignment="1">
      <alignment horizontal="center" wrapText="1"/>
    </xf>
    <xf numFmtId="0" fontId="5" fillId="3" borderId="0" xfId="0" applyFont="1" applyFill="1" applyAlignment="1">
      <alignment horizontal="left"/>
    </xf>
    <xf numFmtId="0" fontId="19" fillId="3" borderId="0" xfId="0" applyFont="1" applyFill="1" applyBorder="1" applyAlignment="1">
      <alignment horizontal="center" wrapText="1"/>
    </xf>
    <xf numFmtId="0" fontId="19" fillId="3" borderId="52" xfId="0" applyFont="1" applyFill="1" applyBorder="1" applyAlignment="1">
      <alignment horizontal="center" wrapText="1"/>
    </xf>
    <xf numFmtId="0" fontId="19" fillId="3" borderId="55" xfId="0" applyFont="1" applyFill="1" applyBorder="1" applyAlignment="1">
      <alignment horizontal="center" wrapText="1"/>
    </xf>
    <xf numFmtId="0" fontId="5" fillId="4" borderId="0" xfId="0" applyFont="1" applyFill="1" applyAlignment="1">
      <alignment horizontal="left"/>
    </xf>
    <xf numFmtId="0" fontId="19" fillId="4" borderId="0" xfId="0" applyFont="1" applyFill="1" applyBorder="1" applyAlignment="1">
      <alignment horizontal="center" wrapText="1"/>
    </xf>
    <xf numFmtId="0" fontId="19" fillId="4" borderId="52" xfId="0" applyFont="1" applyFill="1" applyBorder="1" applyAlignment="1">
      <alignment horizontal="center" wrapText="1"/>
    </xf>
    <xf numFmtId="0" fontId="19" fillId="4" borderId="55" xfId="0" applyFont="1" applyFill="1" applyBorder="1" applyAlignment="1">
      <alignment horizontal="center" wrapText="1"/>
    </xf>
    <xf numFmtId="0" fontId="19" fillId="4" borderId="53" xfId="0" applyFont="1" applyFill="1" applyBorder="1" applyAlignment="1">
      <alignment horizontal="center" wrapText="1"/>
    </xf>
    <xf numFmtId="0" fontId="19" fillId="4" borderId="54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4" borderId="0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  <xf numFmtId="3" fontId="5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0" borderId="0" xfId="93" applyFont="1" applyFill="1" applyAlignment="1">
      <alignment horizontal="center"/>
      <protection/>
    </xf>
  </cellXfs>
  <cellStyles count="9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 2" xfId="92"/>
    <cellStyle name="Normál 2_mellékletek 2013. III. névi rendelethez Kőszeg" xfId="93"/>
    <cellStyle name="Normál_2013. költségvetés mell Bozsok" xfId="94"/>
    <cellStyle name="Note" xfId="95"/>
    <cellStyle name="Output" xfId="96"/>
    <cellStyle name="Összesen" xfId="97"/>
    <cellStyle name="Currency" xfId="98"/>
    <cellStyle name="Currency [0]" xfId="99"/>
    <cellStyle name="Rossz" xfId="100"/>
    <cellStyle name="Semleges" xfId="101"/>
    <cellStyle name="Számítás" xfId="102"/>
    <cellStyle name="Percent" xfId="103"/>
    <cellStyle name="Title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9"/>
  <sheetViews>
    <sheetView view="pageBreakPreview" zoomScaleSheetLayoutView="100" workbookViewId="0" topLeftCell="A1">
      <pane xSplit="1" ySplit="6" topLeftCell="B8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5" sqref="A85"/>
    </sheetView>
  </sheetViews>
  <sheetFormatPr defaultColWidth="9.00390625" defaultRowHeight="12.75"/>
  <cols>
    <col min="1" max="1" width="50.75390625" style="2" customWidth="1"/>
    <col min="2" max="2" width="11.625" style="2" customWidth="1"/>
    <col min="3" max="3" width="3.25390625" style="2" customWidth="1"/>
    <col min="4" max="4" width="10.25390625" style="2" customWidth="1"/>
    <col min="5" max="5" width="2.875" style="2" customWidth="1"/>
    <col min="6" max="6" width="10.00390625" style="2" customWidth="1"/>
    <col min="7" max="7" width="2.875" style="2" customWidth="1"/>
    <col min="8" max="8" width="9.75390625" style="2" customWidth="1"/>
    <col min="9" max="9" width="2.25390625" style="2" customWidth="1"/>
    <col min="10" max="10" width="10.625" style="2" customWidth="1"/>
    <col min="11" max="11" width="1.875" style="2" customWidth="1"/>
    <col min="12" max="12" width="7.875" style="2" customWidth="1"/>
    <col min="13" max="13" width="3.625" style="2" customWidth="1"/>
    <col min="14" max="14" width="8.625" style="2" customWidth="1"/>
    <col min="15" max="15" width="2.625" style="2" customWidth="1"/>
    <col min="16" max="16" width="7.375" style="2" customWidth="1"/>
    <col min="17" max="17" width="2.625" style="2" customWidth="1"/>
    <col min="18" max="18" width="7.00390625" style="2" customWidth="1"/>
    <col min="19" max="19" width="2.625" style="2" customWidth="1"/>
    <col min="20" max="20" width="7.25390625" style="2" customWidth="1"/>
    <col min="21" max="21" width="2.875" style="2" customWidth="1"/>
    <col min="22" max="22" width="8.25390625" style="2" customWidth="1"/>
    <col min="23" max="23" width="2.625" style="2" customWidth="1"/>
    <col min="24" max="24" width="8.25390625" style="2" customWidth="1"/>
    <col min="25" max="25" width="2.625" style="2" customWidth="1"/>
    <col min="26" max="26" width="8.25390625" style="2" customWidth="1"/>
    <col min="27" max="27" width="2.625" style="2" customWidth="1"/>
    <col min="28" max="28" width="8.25390625" style="2" customWidth="1"/>
    <col min="29" max="29" width="2.625" style="2" customWidth="1"/>
    <col min="30" max="30" width="7.375" style="2" customWidth="1"/>
    <col min="31" max="31" width="2.625" style="2" customWidth="1"/>
    <col min="32" max="32" width="8.00390625" style="2" customWidth="1"/>
    <col min="33" max="33" width="3.125" style="2" customWidth="1"/>
    <col min="34" max="34" width="8.25390625" style="2" customWidth="1"/>
    <col min="35" max="35" width="2.625" style="2" customWidth="1"/>
    <col min="36" max="36" width="8.25390625" style="2" customWidth="1"/>
    <col min="37" max="37" width="2.625" style="2" customWidth="1"/>
    <col min="38" max="38" width="8.25390625" style="2" customWidth="1"/>
    <col min="39" max="39" width="2.625" style="2" customWidth="1"/>
    <col min="40" max="40" width="8.25390625" style="2" customWidth="1"/>
    <col min="41" max="41" width="3.625" style="2" customWidth="1"/>
    <col min="42" max="42" width="8.25390625" style="2" customWidth="1"/>
    <col min="43" max="43" width="3.25390625" style="2" customWidth="1"/>
    <col min="44" max="44" width="8.25390625" style="2" customWidth="1"/>
    <col min="45" max="45" width="3.25390625" style="2" customWidth="1"/>
    <col min="46" max="46" width="15.00390625" style="5" bestFit="1" customWidth="1"/>
    <col min="47" max="47" width="4.00390625" style="5" customWidth="1"/>
    <col min="48" max="48" width="14.875" style="2" customWidth="1"/>
    <col min="49" max="16384" width="9.125" style="2" customWidth="1"/>
  </cols>
  <sheetData>
    <row r="1" spans="1:48" ht="15.75">
      <c r="A1" s="249" t="s">
        <v>359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584" t="s">
        <v>181</v>
      </c>
      <c r="M1" s="584"/>
      <c r="N1" s="584"/>
      <c r="O1" s="584"/>
      <c r="P1" s="584"/>
      <c r="Q1" s="584"/>
      <c r="R1" s="584"/>
      <c r="S1" s="584"/>
      <c r="T1" s="584"/>
      <c r="U1" s="584"/>
      <c r="V1" s="584"/>
      <c r="W1" s="584"/>
      <c r="X1" s="584"/>
      <c r="Y1" s="584"/>
      <c r="Z1" s="584"/>
      <c r="AA1" s="584"/>
      <c r="AB1" s="584"/>
      <c r="AC1" s="584"/>
      <c r="AD1" s="584"/>
      <c r="AE1" s="584"/>
      <c r="AF1" s="584"/>
      <c r="AG1" s="584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</row>
    <row r="2" spans="12:48" ht="15.75">
      <c r="L2" s="584" t="s">
        <v>338</v>
      </c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4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</row>
    <row r="3" spans="1:46" ht="8.2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</row>
    <row r="4" spans="1:47" s="1" customFormat="1" ht="66.75" customHeight="1">
      <c r="A4" s="16" t="s">
        <v>0</v>
      </c>
      <c r="B4" s="587" t="s">
        <v>24</v>
      </c>
      <c r="C4" s="588"/>
      <c r="D4" s="589" t="s">
        <v>182</v>
      </c>
      <c r="E4" s="588"/>
      <c r="F4" s="589" t="s">
        <v>95</v>
      </c>
      <c r="G4" s="588"/>
      <c r="H4" s="589" t="s">
        <v>183</v>
      </c>
      <c r="I4" s="588"/>
      <c r="J4" s="589" t="s">
        <v>184</v>
      </c>
      <c r="K4" s="588"/>
      <c r="L4" s="573" t="s">
        <v>93</v>
      </c>
      <c r="M4" s="579"/>
      <c r="N4" s="573" t="s">
        <v>119</v>
      </c>
      <c r="O4" s="579"/>
      <c r="P4" s="574" t="s">
        <v>185</v>
      </c>
      <c r="Q4" s="579"/>
      <c r="R4" s="574" t="s">
        <v>186</v>
      </c>
      <c r="S4" s="579"/>
      <c r="T4" s="573" t="s">
        <v>187</v>
      </c>
      <c r="U4" s="579"/>
      <c r="V4" s="582" t="s">
        <v>188</v>
      </c>
      <c r="W4" s="583"/>
      <c r="X4" s="573" t="s">
        <v>94</v>
      </c>
      <c r="Y4" s="579"/>
      <c r="Z4" s="573" t="s">
        <v>120</v>
      </c>
      <c r="AA4" s="579"/>
      <c r="AB4" s="573" t="s">
        <v>189</v>
      </c>
      <c r="AC4" s="579"/>
      <c r="AD4" s="573" t="s">
        <v>190</v>
      </c>
      <c r="AE4" s="574"/>
      <c r="AF4" s="575" t="s">
        <v>191</v>
      </c>
      <c r="AG4" s="576"/>
      <c r="AH4" s="577" t="s">
        <v>192</v>
      </c>
      <c r="AI4" s="578"/>
      <c r="AJ4" s="573" t="s">
        <v>193</v>
      </c>
      <c r="AK4" s="579"/>
      <c r="AL4" s="573" t="s">
        <v>194</v>
      </c>
      <c r="AM4" s="579"/>
      <c r="AN4" s="573" t="s">
        <v>195</v>
      </c>
      <c r="AO4" s="579"/>
      <c r="AP4" s="573" t="s">
        <v>196</v>
      </c>
      <c r="AQ4" s="579"/>
      <c r="AR4" s="580" t="s">
        <v>197</v>
      </c>
      <c r="AS4" s="581"/>
      <c r="AT4" s="571" t="s">
        <v>198</v>
      </c>
      <c r="AU4" s="572"/>
    </row>
    <row r="5" spans="1:47" s="1" customFormat="1" ht="20.25" customHeight="1">
      <c r="A5" s="475" t="s">
        <v>199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6"/>
      <c r="M5" s="476"/>
      <c r="N5" s="476"/>
      <c r="O5" s="476"/>
      <c r="P5" s="476"/>
      <c r="Q5" s="476"/>
      <c r="R5" s="476"/>
      <c r="S5" s="476"/>
      <c r="T5" s="476"/>
      <c r="U5" s="476"/>
      <c r="V5" s="476"/>
      <c r="W5" s="476"/>
      <c r="X5" s="476"/>
      <c r="Y5" s="476"/>
      <c r="Z5" s="476"/>
      <c r="AA5" s="476"/>
      <c r="AB5" s="476"/>
      <c r="AC5" s="476"/>
      <c r="AD5" s="476"/>
      <c r="AE5" s="476"/>
      <c r="AF5" s="476"/>
      <c r="AG5" s="476"/>
      <c r="AH5" s="476"/>
      <c r="AI5" s="476"/>
      <c r="AJ5" s="476"/>
      <c r="AK5" s="476"/>
      <c r="AL5" s="476"/>
      <c r="AM5" s="476"/>
      <c r="AN5" s="476"/>
      <c r="AO5" s="476"/>
      <c r="AP5" s="476"/>
      <c r="AQ5" s="476"/>
      <c r="AR5" s="476"/>
      <c r="AS5" s="476"/>
      <c r="AT5" s="477"/>
      <c r="AU5" s="472"/>
    </row>
    <row r="6" spans="1:47" s="1" customFormat="1" ht="20.25" customHeight="1">
      <c r="A6" s="475" t="s">
        <v>96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476"/>
      <c r="AN6" s="476"/>
      <c r="AO6" s="476"/>
      <c r="AP6" s="476"/>
      <c r="AQ6" s="476"/>
      <c r="AR6" s="476"/>
      <c r="AS6" s="476"/>
      <c r="AT6" s="477"/>
      <c r="AU6" s="472"/>
    </row>
    <row r="7" spans="1:47" s="1" customFormat="1" ht="12.75">
      <c r="A7" s="19" t="s">
        <v>97</v>
      </c>
      <c r="B7" s="250"/>
      <c r="C7" s="251"/>
      <c r="D7" s="252">
        <v>35.16</v>
      </c>
      <c r="E7" s="253" t="s">
        <v>14</v>
      </c>
      <c r="F7" s="250"/>
      <c r="G7" s="250"/>
      <c r="H7" s="254"/>
      <c r="I7" s="251"/>
      <c r="J7" s="254"/>
      <c r="K7" s="251"/>
      <c r="L7" s="255"/>
      <c r="M7" s="255"/>
      <c r="N7" s="256"/>
      <c r="O7" s="257"/>
      <c r="P7" s="256"/>
      <c r="Q7" s="257"/>
      <c r="R7" s="256"/>
      <c r="S7" s="257"/>
      <c r="T7" s="256"/>
      <c r="U7" s="257"/>
      <c r="V7" s="258"/>
      <c r="W7" s="259"/>
      <c r="X7" s="256"/>
      <c r="Y7" s="257"/>
      <c r="Z7" s="256"/>
      <c r="AA7" s="257"/>
      <c r="AB7" s="256"/>
      <c r="AC7" s="257"/>
      <c r="AD7" s="255"/>
      <c r="AE7" s="255"/>
      <c r="AF7" s="260"/>
      <c r="AG7" s="261"/>
      <c r="AH7" s="262"/>
      <c r="AI7" s="263"/>
      <c r="AJ7" s="264"/>
      <c r="AK7" s="257"/>
      <c r="AL7" s="256"/>
      <c r="AM7" s="257"/>
      <c r="AN7" s="256"/>
      <c r="AO7" s="257"/>
      <c r="AP7" s="256"/>
      <c r="AQ7" s="257"/>
      <c r="AR7" s="265"/>
      <c r="AS7" s="266"/>
      <c r="AT7" s="431"/>
      <c r="AU7" s="267"/>
    </row>
    <row r="8" spans="1:47" s="1" customFormat="1" ht="15" customHeight="1">
      <c r="A8" s="268" t="s">
        <v>200</v>
      </c>
      <c r="B8" s="269"/>
      <c r="C8" s="270"/>
      <c r="D8" s="568">
        <f>ROUND(D7*4580000,0)</f>
        <v>161032800</v>
      </c>
      <c r="E8" s="569"/>
      <c r="F8" s="269"/>
      <c r="G8" s="269"/>
      <c r="H8" s="271"/>
      <c r="I8" s="270"/>
      <c r="J8" s="271"/>
      <c r="K8" s="270"/>
      <c r="L8" s="272"/>
      <c r="M8" s="272"/>
      <c r="N8" s="273"/>
      <c r="O8" s="274"/>
      <c r="P8" s="273"/>
      <c r="Q8" s="274"/>
      <c r="R8" s="273"/>
      <c r="S8" s="274"/>
      <c r="T8" s="273"/>
      <c r="U8" s="274"/>
      <c r="V8" s="275"/>
      <c r="W8" s="276"/>
      <c r="X8" s="273"/>
      <c r="Y8" s="274"/>
      <c r="Z8" s="273"/>
      <c r="AA8" s="274"/>
      <c r="AB8" s="273"/>
      <c r="AC8" s="274"/>
      <c r="AD8" s="272"/>
      <c r="AE8" s="272"/>
      <c r="AF8" s="277"/>
      <c r="AG8" s="278"/>
      <c r="AH8" s="279"/>
      <c r="AI8" s="280"/>
      <c r="AJ8" s="281"/>
      <c r="AK8" s="274"/>
      <c r="AL8" s="273"/>
      <c r="AM8" s="274"/>
      <c r="AN8" s="273"/>
      <c r="AO8" s="274"/>
      <c r="AP8" s="273"/>
      <c r="AQ8" s="274"/>
      <c r="AR8" s="282"/>
      <c r="AS8" s="283"/>
      <c r="AT8" s="369">
        <f>B8+D8+F8+H8+J8+V8+AF8+AH8+AR8</f>
        <v>161032800</v>
      </c>
      <c r="AU8" s="284"/>
    </row>
    <row r="9" spans="1:47" s="1" customFormat="1" ht="25.5">
      <c r="A9" s="19" t="s">
        <v>201</v>
      </c>
      <c r="B9" s="585">
        <f>B11+B13+B15+B17</f>
        <v>83003600</v>
      </c>
      <c r="C9" s="586"/>
      <c r="D9" s="254"/>
      <c r="E9" s="251"/>
      <c r="F9" s="250"/>
      <c r="G9" s="250"/>
      <c r="H9" s="254"/>
      <c r="I9" s="251"/>
      <c r="J9" s="254"/>
      <c r="K9" s="251"/>
      <c r="L9" s="255"/>
      <c r="M9" s="255"/>
      <c r="N9" s="256"/>
      <c r="O9" s="257"/>
      <c r="P9" s="256"/>
      <c r="Q9" s="257"/>
      <c r="R9" s="256"/>
      <c r="S9" s="257"/>
      <c r="T9" s="256"/>
      <c r="U9" s="257"/>
      <c r="V9" s="258"/>
      <c r="W9" s="259"/>
      <c r="X9" s="256"/>
      <c r="Y9" s="257"/>
      <c r="Z9" s="256"/>
      <c r="AA9" s="257"/>
      <c r="AB9" s="256"/>
      <c r="AC9" s="257"/>
      <c r="AD9" s="255"/>
      <c r="AE9" s="255"/>
      <c r="AF9" s="260"/>
      <c r="AG9" s="261"/>
      <c r="AH9" s="262"/>
      <c r="AI9" s="263"/>
      <c r="AJ9" s="264"/>
      <c r="AK9" s="257"/>
      <c r="AL9" s="256"/>
      <c r="AM9" s="257"/>
      <c r="AN9" s="256"/>
      <c r="AO9" s="257"/>
      <c r="AP9" s="256"/>
      <c r="AQ9" s="257"/>
      <c r="AR9" s="265"/>
      <c r="AS9" s="266"/>
      <c r="AT9" s="432">
        <f>B9+D9+F9+H9+J9+V9+AF9+AH9+AR9</f>
        <v>83003600</v>
      </c>
      <c r="AU9" s="267"/>
    </row>
    <row r="10" spans="1:47" s="1" customFormat="1" ht="25.5" customHeight="1">
      <c r="A10" s="570" t="s">
        <v>339</v>
      </c>
      <c r="B10" s="285"/>
      <c r="C10" s="286"/>
      <c r="D10" s="287"/>
      <c r="E10" s="288"/>
      <c r="F10" s="289"/>
      <c r="G10" s="289"/>
      <c r="H10" s="287"/>
      <c r="I10" s="288"/>
      <c r="J10" s="287"/>
      <c r="K10" s="288"/>
      <c r="L10" s="11"/>
      <c r="M10" s="11"/>
      <c r="N10" s="290"/>
      <c r="O10" s="291"/>
      <c r="P10" s="290"/>
      <c r="Q10" s="291"/>
      <c r="R10" s="290"/>
      <c r="S10" s="291"/>
      <c r="T10" s="290"/>
      <c r="U10" s="291"/>
      <c r="V10" s="292"/>
      <c r="W10" s="293"/>
      <c r="X10" s="290"/>
      <c r="Y10" s="291"/>
      <c r="Z10" s="290"/>
      <c r="AA10" s="291"/>
      <c r="AB10" s="290"/>
      <c r="AC10" s="291"/>
      <c r="AD10" s="11"/>
      <c r="AE10" s="11"/>
      <c r="AF10" s="294"/>
      <c r="AG10" s="295"/>
      <c r="AH10" s="296"/>
      <c r="AI10" s="297"/>
      <c r="AJ10" s="298"/>
      <c r="AK10" s="291"/>
      <c r="AL10" s="290"/>
      <c r="AM10" s="291"/>
      <c r="AN10" s="290"/>
      <c r="AO10" s="291"/>
      <c r="AP10" s="290"/>
      <c r="AQ10" s="291"/>
      <c r="AR10" s="299"/>
      <c r="AS10" s="300"/>
      <c r="AT10" s="433"/>
      <c r="AU10" s="301"/>
    </row>
    <row r="11" spans="1:47" s="1" customFormat="1" ht="12.75">
      <c r="A11" s="566"/>
      <c r="B11" s="568">
        <v>13488588</v>
      </c>
      <c r="C11" s="569"/>
      <c r="D11" s="271"/>
      <c r="E11" s="270"/>
      <c r="F11" s="269"/>
      <c r="G11" s="269"/>
      <c r="H11" s="271"/>
      <c r="I11" s="270"/>
      <c r="J11" s="271"/>
      <c r="K11" s="270"/>
      <c r="L11" s="272"/>
      <c r="M11" s="272"/>
      <c r="N11" s="273"/>
      <c r="O11" s="274"/>
      <c r="P11" s="273"/>
      <c r="Q11" s="274"/>
      <c r="R11" s="273"/>
      <c r="S11" s="274"/>
      <c r="T11" s="273"/>
      <c r="U11" s="274"/>
      <c r="V11" s="275"/>
      <c r="W11" s="276"/>
      <c r="X11" s="273"/>
      <c r="Y11" s="274"/>
      <c r="Z11" s="273"/>
      <c r="AA11" s="274"/>
      <c r="AB11" s="273"/>
      <c r="AC11" s="274"/>
      <c r="AD11" s="272"/>
      <c r="AE11" s="272"/>
      <c r="AF11" s="277"/>
      <c r="AG11" s="278"/>
      <c r="AH11" s="279"/>
      <c r="AI11" s="280"/>
      <c r="AJ11" s="281"/>
      <c r="AK11" s="274"/>
      <c r="AL11" s="273"/>
      <c r="AM11" s="274"/>
      <c r="AN11" s="273"/>
      <c r="AO11" s="274"/>
      <c r="AP11" s="273"/>
      <c r="AQ11" s="274"/>
      <c r="AR11" s="282"/>
      <c r="AS11" s="283"/>
      <c r="AT11" s="369">
        <f>B11+D11+F11+H11+J11+V11+AF11+AH11+AR11</f>
        <v>13488588</v>
      </c>
      <c r="AU11" s="284"/>
    </row>
    <row r="12" spans="1:47" s="1" customFormat="1" ht="12.75">
      <c r="A12" s="565" t="s">
        <v>340</v>
      </c>
      <c r="B12" s="250"/>
      <c r="C12" s="251"/>
      <c r="D12" s="254"/>
      <c r="E12" s="251"/>
      <c r="F12" s="250"/>
      <c r="G12" s="250"/>
      <c r="H12" s="254"/>
      <c r="I12" s="251"/>
      <c r="J12" s="254"/>
      <c r="K12" s="251"/>
      <c r="L12" s="255"/>
      <c r="M12" s="255"/>
      <c r="N12" s="256"/>
      <c r="O12" s="257"/>
      <c r="P12" s="256"/>
      <c r="Q12" s="257"/>
      <c r="R12" s="256"/>
      <c r="S12" s="257"/>
      <c r="T12" s="256"/>
      <c r="U12" s="257"/>
      <c r="V12" s="258"/>
      <c r="W12" s="259"/>
      <c r="X12" s="256"/>
      <c r="Y12" s="257"/>
      <c r="Z12" s="256"/>
      <c r="AA12" s="257"/>
      <c r="AB12" s="256"/>
      <c r="AC12" s="257"/>
      <c r="AD12" s="255"/>
      <c r="AE12" s="255"/>
      <c r="AF12" s="260"/>
      <c r="AG12" s="261"/>
      <c r="AH12" s="262"/>
      <c r="AI12" s="263"/>
      <c r="AJ12" s="264"/>
      <c r="AK12" s="257"/>
      <c r="AL12" s="256"/>
      <c r="AM12" s="257"/>
      <c r="AN12" s="256"/>
      <c r="AO12" s="257"/>
      <c r="AP12" s="256"/>
      <c r="AQ12" s="257"/>
      <c r="AR12" s="265"/>
      <c r="AS12" s="266"/>
      <c r="AT12" s="431"/>
      <c r="AU12" s="267"/>
    </row>
    <row r="13" spans="1:47" s="1" customFormat="1" ht="12.75">
      <c r="A13" s="566"/>
      <c r="B13" s="567">
        <v>45200000</v>
      </c>
      <c r="C13" s="560"/>
      <c r="D13" s="271"/>
      <c r="E13" s="270"/>
      <c r="F13" s="269"/>
      <c r="G13" s="269"/>
      <c r="H13" s="271"/>
      <c r="I13" s="270"/>
      <c r="J13" s="271"/>
      <c r="K13" s="270"/>
      <c r="L13" s="272"/>
      <c r="M13" s="272"/>
      <c r="N13" s="273"/>
      <c r="O13" s="274"/>
      <c r="P13" s="273"/>
      <c r="Q13" s="274"/>
      <c r="R13" s="273"/>
      <c r="S13" s="274"/>
      <c r="T13" s="273"/>
      <c r="U13" s="274"/>
      <c r="V13" s="275"/>
      <c r="W13" s="276"/>
      <c r="X13" s="273"/>
      <c r="Y13" s="274"/>
      <c r="Z13" s="273"/>
      <c r="AA13" s="274"/>
      <c r="AB13" s="273"/>
      <c r="AC13" s="274"/>
      <c r="AD13" s="272"/>
      <c r="AE13" s="272"/>
      <c r="AF13" s="277"/>
      <c r="AG13" s="278"/>
      <c r="AH13" s="279"/>
      <c r="AI13" s="280"/>
      <c r="AJ13" s="281"/>
      <c r="AK13" s="274"/>
      <c r="AL13" s="273"/>
      <c r="AM13" s="274"/>
      <c r="AN13" s="273"/>
      <c r="AO13" s="274"/>
      <c r="AP13" s="273"/>
      <c r="AQ13" s="274"/>
      <c r="AR13" s="282"/>
      <c r="AS13" s="283"/>
      <c r="AT13" s="369">
        <f>B13+D13+F13+H13+J13+V13+AF13+AH13+AR13</f>
        <v>45200000</v>
      </c>
      <c r="AU13" s="284"/>
    </row>
    <row r="14" spans="1:47" s="1" customFormat="1" ht="12.75">
      <c r="A14" s="565" t="s">
        <v>341</v>
      </c>
      <c r="B14" s="250"/>
      <c r="C14" s="251"/>
      <c r="D14" s="254"/>
      <c r="E14" s="251"/>
      <c r="F14" s="250"/>
      <c r="G14" s="250"/>
      <c r="H14" s="254"/>
      <c r="I14" s="251"/>
      <c r="J14" s="254"/>
      <c r="K14" s="251"/>
      <c r="L14" s="255"/>
      <c r="M14" s="255"/>
      <c r="N14" s="256"/>
      <c r="O14" s="257"/>
      <c r="P14" s="256"/>
      <c r="Q14" s="257"/>
      <c r="R14" s="256"/>
      <c r="S14" s="257"/>
      <c r="T14" s="256"/>
      <c r="U14" s="257"/>
      <c r="V14" s="258"/>
      <c r="W14" s="259"/>
      <c r="X14" s="256"/>
      <c r="Y14" s="257"/>
      <c r="Z14" s="256"/>
      <c r="AA14" s="257"/>
      <c r="AB14" s="256"/>
      <c r="AC14" s="257"/>
      <c r="AD14" s="255"/>
      <c r="AE14" s="255"/>
      <c r="AF14" s="260"/>
      <c r="AG14" s="261"/>
      <c r="AH14" s="262"/>
      <c r="AI14" s="263"/>
      <c r="AJ14" s="264"/>
      <c r="AK14" s="257"/>
      <c r="AL14" s="256"/>
      <c r="AM14" s="257"/>
      <c r="AN14" s="256"/>
      <c r="AO14" s="257"/>
      <c r="AP14" s="256"/>
      <c r="AQ14" s="257"/>
      <c r="AR14" s="265"/>
      <c r="AS14" s="266"/>
      <c r="AT14" s="431"/>
      <c r="AU14" s="267"/>
    </row>
    <row r="15" spans="1:47" s="1" customFormat="1" ht="12.75">
      <c r="A15" s="566"/>
      <c r="B15" s="567">
        <v>3588312</v>
      </c>
      <c r="C15" s="560"/>
      <c r="D15" s="271"/>
      <c r="E15" s="270"/>
      <c r="F15" s="269"/>
      <c r="G15" s="269"/>
      <c r="H15" s="271"/>
      <c r="I15" s="270"/>
      <c r="J15" s="271"/>
      <c r="K15" s="270"/>
      <c r="L15" s="272"/>
      <c r="M15" s="272"/>
      <c r="N15" s="273"/>
      <c r="O15" s="274"/>
      <c r="P15" s="273"/>
      <c r="Q15" s="274"/>
      <c r="R15" s="273"/>
      <c r="S15" s="274"/>
      <c r="T15" s="273"/>
      <c r="U15" s="274"/>
      <c r="V15" s="275"/>
      <c r="W15" s="276"/>
      <c r="X15" s="273"/>
      <c r="Y15" s="274"/>
      <c r="Z15" s="273"/>
      <c r="AA15" s="274"/>
      <c r="AB15" s="273"/>
      <c r="AC15" s="274"/>
      <c r="AD15" s="272"/>
      <c r="AE15" s="272"/>
      <c r="AF15" s="277"/>
      <c r="AG15" s="278"/>
      <c r="AH15" s="279"/>
      <c r="AI15" s="280"/>
      <c r="AJ15" s="281"/>
      <c r="AK15" s="274"/>
      <c r="AL15" s="273"/>
      <c r="AM15" s="274"/>
      <c r="AN15" s="273"/>
      <c r="AO15" s="274"/>
      <c r="AP15" s="273"/>
      <c r="AQ15" s="274"/>
      <c r="AR15" s="282"/>
      <c r="AS15" s="283"/>
      <c r="AT15" s="369">
        <f>B15+D15+F15+H15+J15+V15+AF15+AH15+AR15</f>
        <v>3588312</v>
      </c>
      <c r="AU15" s="284"/>
    </row>
    <row r="16" spans="1:47" s="1" customFormat="1" ht="12.75" customHeight="1">
      <c r="A16" s="557" t="s">
        <v>342</v>
      </c>
      <c r="B16" s="250"/>
      <c r="C16" s="251"/>
      <c r="D16" s="254"/>
      <c r="E16" s="251"/>
      <c r="F16" s="250"/>
      <c r="G16" s="250"/>
      <c r="H16" s="254"/>
      <c r="I16" s="251"/>
      <c r="J16" s="254"/>
      <c r="K16" s="251"/>
      <c r="L16" s="255"/>
      <c r="M16" s="255"/>
      <c r="N16" s="256"/>
      <c r="O16" s="257"/>
      <c r="P16" s="256"/>
      <c r="Q16" s="257"/>
      <c r="R16" s="256"/>
      <c r="S16" s="257"/>
      <c r="T16" s="256"/>
      <c r="U16" s="257"/>
      <c r="V16" s="258"/>
      <c r="W16" s="259"/>
      <c r="X16" s="256"/>
      <c r="Y16" s="257"/>
      <c r="Z16" s="256"/>
      <c r="AA16" s="257"/>
      <c r="AB16" s="256"/>
      <c r="AC16" s="257"/>
      <c r="AD16" s="255"/>
      <c r="AE16" s="255"/>
      <c r="AF16" s="260"/>
      <c r="AG16" s="261"/>
      <c r="AH16" s="262"/>
      <c r="AI16" s="263"/>
      <c r="AJ16" s="264"/>
      <c r="AK16" s="257"/>
      <c r="AL16" s="256"/>
      <c r="AM16" s="257"/>
      <c r="AN16" s="256"/>
      <c r="AO16" s="257"/>
      <c r="AP16" s="256"/>
      <c r="AQ16" s="257"/>
      <c r="AR16" s="265"/>
      <c r="AS16" s="266"/>
      <c r="AT16" s="431"/>
      <c r="AU16" s="267"/>
    </row>
    <row r="17" spans="1:47" s="1" customFormat="1" ht="12.75">
      <c r="A17" s="558"/>
      <c r="B17" s="559">
        <v>20726700</v>
      </c>
      <c r="C17" s="560"/>
      <c r="D17" s="271"/>
      <c r="E17" s="270"/>
      <c r="F17" s="269"/>
      <c r="G17" s="269"/>
      <c r="H17" s="271"/>
      <c r="I17" s="270"/>
      <c r="J17" s="271"/>
      <c r="K17" s="270"/>
      <c r="L17" s="272"/>
      <c r="M17" s="272"/>
      <c r="N17" s="273"/>
      <c r="O17" s="274"/>
      <c r="P17" s="273"/>
      <c r="Q17" s="274"/>
      <c r="R17" s="273"/>
      <c r="S17" s="274"/>
      <c r="T17" s="273"/>
      <c r="U17" s="274"/>
      <c r="V17" s="275"/>
      <c r="W17" s="276"/>
      <c r="X17" s="273"/>
      <c r="Y17" s="274"/>
      <c r="Z17" s="273"/>
      <c r="AA17" s="274"/>
      <c r="AB17" s="273"/>
      <c r="AC17" s="274"/>
      <c r="AD17" s="272"/>
      <c r="AE17" s="272"/>
      <c r="AF17" s="277"/>
      <c r="AG17" s="278"/>
      <c r="AH17" s="279"/>
      <c r="AI17" s="280"/>
      <c r="AJ17" s="281"/>
      <c r="AK17" s="274"/>
      <c r="AL17" s="273"/>
      <c r="AM17" s="274"/>
      <c r="AN17" s="273"/>
      <c r="AO17" s="274"/>
      <c r="AP17" s="273"/>
      <c r="AQ17" s="274"/>
      <c r="AR17" s="282"/>
      <c r="AS17" s="283"/>
      <c r="AT17" s="369">
        <f>B17+D17+F17+H17+J17+V17+AF17+AH17+AR17</f>
        <v>20726700</v>
      </c>
      <c r="AU17" s="284"/>
    </row>
    <row r="18" spans="1:47" s="1" customFormat="1" ht="12.75">
      <c r="A18" s="46" t="s">
        <v>343</v>
      </c>
      <c r="B18" s="302">
        <v>11510</v>
      </c>
      <c r="C18" s="303" t="s">
        <v>14</v>
      </c>
      <c r="D18" s="254"/>
      <c r="E18" s="251"/>
      <c r="F18" s="250"/>
      <c r="G18" s="250"/>
      <c r="H18" s="254"/>
      <c r="I18" s="251"/>
      <c r="J18" s="254"/>
      <c r="K18" s="251"/>
      <c r="L18" s="255"/>
      <c r="M18" s="255"/>
      <c r="N18" s="256"/>
      <c r="O18" s="257"/>
      <c r="P18" s="256"/>
      <c r="Q18" s="257"/>
      <c r="R18" s="256"/>
      <c r="S18" s="257"/>
      <c r="T18" s="256"/>
      <c r="U18" s="257"/>
      <c r="V18" s="258"/>
      <c r="W18" s="259"/>
      <c r="X18" s="256"/>
      <c r="Y18" s="257"/>
      <c r="Z18" s="256"/>
      <c r="AA18" s="257"/>
      <c r="AB18" s="256"/>
      <c r="AC18" s="257"/>
      <c r="AD18" s="255"/>
      <c r="AE18" s="255"/>
      <c r="AF18" s="260"/>
      <c r="AG18" s="261"/>
      <c r="AH18" s="262"/>
      <c r="AI18" s="263"/>
      <c r="AJ18" s="264"/>
      <c r="AK18" s="257"/>
      <c r="AL18" s="256"/>
      <c r="AM18" s="257"/>
      <c r="AN18" s="256"/>
      <c r="AO18" s="257"/>
      <c r="AP18" s="256"/>
      <c r="AQ18" s="257"/>
      <c r="AR18" s="265"/>
      <c r="AS18" s="266"/>
      <c r="AT18" s="431"/>
      <c r="AU18" s="267"/>
    </row>
    <row r="19" spans="1:47" s="1" customFormat="1" ht="26.25" customHeight="1" thickBot="1">
      <c r="A19" s="304" t="s">
        <v>344</v>
      </c>
      <c r="B19" s="561">
        <f>B18*2700-19291359</f>
        <v>11785641</v>
      </c>
      <c r="C19" s="562"/>
      <c r="D19" s="271"/>
      <c r="E19" s="270"/>
      <c r="F19" s="269"/>
      <c r="G19" s="269"/>
      <c r="H19" s="271"/>
      <c r="I19" s="270"/>
      <c r="J19" s="271"/>
      <c r="K19" s="270"/>
      <c r="L19" s="272"/>
      <c r="M19" s="272"/>
      <c r="N19" s="273"/>
      <c r="O19" s="274"/>
      <c r="P19" s="273"/>
      <c r="Q19" s="274"/>
      <c r="R19" s="273"/>
      <c r="S19" s="274"/>
      <c r="T19" s="273"/>
      <c r="U19" s="274"/>
      <c r="V19" s="275"/>
      <c r="W19" s="276"/>
      <c r="X19" s="273"/>
      <c r="Y19" s="274"/>
      <c r="Z19" s="273"/>
      <c r="AA19" s="274"/>
      <c r="AB19" s="273"/>
      <c r="AC19" s="274"/>
      <c r="AD19" s="272"/>
      <c r="AE19" s="272"/>
      <c r="AF19" s="277"/>
      <c r="AG19" s="278"/>
      <c r="AH19" s="279"/>
      <c r="AI19" s="280"/>
      <c r="AJ19" s="281"/>
      <c r="AK19" s="274"/>
      <c r="AL19" s="273"/>
      <c r="AM19" s="274"/>
      <c r="AN19" s="273"/>
      <c r="AO19" s="274"/>
      <c r="AP19" s="273"/>
      <c r="AQ19" s="274"/>
      <c r="AR19" s="282"/>
      <c r="AS19" s="283"/>
      <c r="AT19" s="369">
        <f>B19+D19+F19+H19+J19+V19+AF19+AH19+AR19</f>
        <v>11785641</v>
      </c>
      <c r="AU19" s="284"/>
    </row>
    <row r="20" spans="1:47" ht="16.5" customHeight="1">
      <c r="A20" s="19" t="s">
        <v>345</v>
      </c>
      <c r="B20" s="434"/>
      <c r="C20" s="435"/>
      <c r="D20" s="436"/>
      <c r="E20" s="435"/>
      <c r="F20" s="434"/>
      <c r="G20" s="434"/>
      <c r="H20" s="436"/>
      <c r="I20" s="435"/>
      <c r="J20" s="436"/>
      <c r="K20" s="435"/>
      <c r="L20" s="26"/>
      <c r="M20" s="346"/>
      <c r="N20" s="355"/>
      <c r="O20" s="23"/>
      <c r="P20" s="26"/>
      <c r="Q20" s="23"/>
      <c r="R20" s="26"/>
      <c r="S20" s="23"/>
      <c r="T20" s="12"/>
      <c r="U20" s="13"/>
      <c r="V20" s="331"/>
      <c r="W20" s="312"/>
      <c r="X20" s="12"/>
      <c r="Y20" s="13"/>
      <c r="Z20" s="12"/>
      <c r="AA20" s="13"/>
      <c r="AB20" s="12"/>
      <c r="AC20" s="13"/>
      <c r="AD20" s="12"/>
      <c r="AE20" s="12"/>
      <c r="AF20" s="356"/>
      <c r="AG20" s="357"/>
      <c r="AH20" s="358"/>
      <c r="AI20" s="359"/>
      <c r="AJ20" s="360"/>
      <c r="AK20" s="13"/>
      <c r="AL20" s="361"/>
      <c r="AM20" s="13"/>
      <c r="AN20" s="361"/>
      <c r="AO20" s="13"/>
      <c r="AP20" s="361"/>
      <c r="AQ20" s="13"/>
      <c r="AR20" s="362"/>
      <c r="AS20" s="363"/>
      <c r="AT20" s="437"/>
      <c r="AU20" s="338"/>
    </row>
    <row r="21" spans="1:47" ht="16.5" customHeight="1" thickBot="1">
      <c r="A21" s="47"/>
      <c r="B21" s="473">
        <v>328950</v>
      </c>
      <c r="C21" s="474"/>
      <c r="D21" s="438"/>
      <c r="E21" s="439"/>
      <c r="F21" s="440"/>
      <c r="G21" s="440"/>
      <c r="H21" s="438"/>
      <c r="I21" s="439"/>
      <c r="J21" s="438"/>
      <c r="K21" s="439"/>
      <c r="L21" s="511"/>
      <c r="M21" s="487"/>
      <c r="N21" s="512"/>
      <c r="O21" s="488"/>
      <c r="P21" s="511"/>
      <c r="Q21" s="488"/>
      <c r="R21" s="511"/>
      <c r="S21" s="488"/>
      <c r="T21" s="518"/>
      <c r="U21" s="519"/>
      <c r="V21" s="480"/>
      <c r="W21" s="510"/>
      <c r="X21" s="511"/>
      <c r="Y21" s="508"/>
      <c r="Z21" s="511"/>
      <c r="AA21" s="508"/>
      <c r="AB21" s="511"/>
      <c r="AC21" s="508"/>
      <c r="AD21" s="511"/>
      <c r="AE21" s="511"/>
      <c r="AF21" s="483"/>
      <c r="AG21" s="484"/>
      <c r="AH21" s="478"/>
      <c r="AI21" s="479"/>
      <c r="AJ21" s="507"/>
      <c r="AK21" s="508"/>
      <c r="AL21" s="512"/>
      <c r="AM21" s="508"/>
      <c r="AN21" s="512"/>
      <c r="AO21" s="508"/>
      <c r="AP21" s="512"/>
      <c r="AQ21" s="508"/>
      <c r="AR21" s="481"/>
      <c r="AS21" s="482"/>
      <c r="AT21" s="369">
        <f>B21+D21+F21+H21+J21+V21+AF21+AH21+AR21</f>
        <v>328950</v>
      </c>
      <c r="AU21" s="321"/>
    </row>
    <row r="22" spans="1:47" ht="16.5" customHeight="1">
      <c r="A22" s="19" t="s">
        <v>346</v>
      </c>
      <c r="B22" s="441">
        <v>10561700</v>
      </c>
      <c r="C22" s="435" t="s">
        <v>15</v>
      </c>
      <c r="D22" s="436"/>
      <c r="E22" s="435"/>
      <c r="F22" s="434"/>
      <c r="G22" s="434"/>
      <c r="H22" s="436"/>
      <c r="I22" s="435"/>
      <c r="J22" s="436"/>
      <c r="K22" s="435"/>
      <c r="L22" s="26"/>
      <c r="M22" s="346"/>
      <c r="N22" s="355"/>
      <c r="O22" s="23"/>
      <c r="P22" s="26"/>
      <c r="Q22" s="23"/>
      <c r="R22" s="26"/>
      <c r="S22" s="23"/>
      <c r="T22" s="12"/>
      <c r="U22" s="13"/>
      <c r="V22" s="331"/>
      <c r="W22" s="312"/>
      <c r="X22" s="12"/>
      <c r="Y22" s="13"/>
      <c r="Z22" s="12"/>
      <c r="AA22" s="13"/>
      <c r="AB22" s="12"/>
      <c r="AC22" s="13"/>
      <c r="AD22" s="12"/>
      <c r="AE22" s="12"/>
      <c r="AF22" s="356"/>
      <c r="AG22" s="357"/>
      <c r="AH22" s="358"/>
      <c r="AI22" s="359"/>
      <c r="AJ22" s="360"/>
      <c r="AK22" s="13"/>
      <c r="AL22" s="361"/>
      <c r="AM22" s="13"/>
      <c r="AN22" s="361"/>
      <c r="AO22" s="13"/>
      <c r="AP22" s="361"/>
      <c r="AQ22" s="13"/>
      <c r="AR22" s="362"/>
      <c r="AS22" s="363"/>
      <c r="AT22" s="437"/>
      <c r="AU22" s="338"/>
    </row>
    <row r="23" spans="1:47" ht="16.5" customHeight="1">
      <c r="A23" s="47" t="s">
        <v>256</v>
      </c>
      <c r="B23" s="473">
        <f>B22*1.5</f>
        <v>15842550</v>
      </c>
      <c r="C23" s="474"/>
      <c r="D23" s="438"/>
      <c r="E23" s="439"/>
      <c r="F23" s="440"/>
      <c r="G23" s="440"/>
      <c r="H23" s="438"/>
      <c r="I23" s="439"/>
      <c r="J23" s="438"/>
      <c r="K23" s="439"/>
      <c r="L23" s="511"/>
      <c r="M23" s="487"/>
      <c r="N23" s="512"/>
      <c r="O23" s="488"/>
      <c r="P23" s="511"/>
      <c r="Q23" s="488"/>
      <c r="R23" s="511"/>
      <c r="S23" s="488"/>
      <c r="T23" s="518"/>
      <c r="U23" s="519"/>
      <c r="V23" s="480"/>
      <c r="W23" s="510"/>
      <c r="X23" s="511"/>
      <c r="Y23" s="508"/>
      <c r="Z23" s="511"/>
      <c r="AA23" s="508"/>
      <c r="AB23" s="511"/>
      <c r="AC23" s="508"/>
      <c r="AD23" s="511"/>
      <c r="AE23" s="511"/>
      <c r="AF23" s="483"/>
      <c r="AG23" s="484"/>
      <c r="AH23" s="478"/>
      <c r="AI23" s="479"/>
      <c r="AJ23" s="507"/>
      <c r="AK23" s="508"/>
      <c r="AL23" s="512"/>
      <c r="AM23" s="508"/>
      <c r="AN23" s="512"/>
      <c r="AO23" s="508"/>
      <c r="AP23" s="512"/>
      <c r="AQ23" s="508"/>
      <c r="AR23" s="481"/>
      <c r="AS23" s="482"/>
      <c r="AT23" s="369">
        <f>B23+D23+F23+H23+J23+V23+AF23+AH23+AR23</f>
        <v>15842550</v>
      </c>
      <c r="AU23" s="321"/>
    </row>
    <row r="24" spans="1:48" s="1" customFormat="1" ht="25.5">
      <c r="A24" s="46" t="s">
        <v>347</v>
      </c>
      <c r="B24" s="563">
        <v>50000</v>
      </c>
      <c r="C24" s="564"/>
      <c r="D24" s="254"/>
      <c r="E24" s="251"/>
      <c r="F24" s="250"/>
      <c r="G24" s="250"/>
      <c r="H24" s="254"/>
      <c r="I24" s="251"/>
      <c r="J24" s="254"/>
      <c r="K24" s="251"/>
      <c r="L24" s="255"/>
      <c r="M24" s="255"/>
      <c r="N24" s="256"/>
      <c r="O24" s="257"/>
      <c r="P24" s="256"/>
      <c r="Q24" s="257"/>
      <c r="R24" s="256"/>
      <c r="S24" s="257"/>
      <c r="T24" s="256"/>
      <c r="U24" s="257"/>
      <c r="V24" s="258"/>
      <c r="W24" s="259"/>
      <c r="X24" s="256"/>
      <c r="Y24" s="257"/>
      <c r="Z24" s="256"/>
      <c r="AA24" s="257"/>
      <c r="AB24" s="256"/>
      <c r="AC24" s="257"/>
      <c r="AD24" s="255"/>
      <c r="AE24" s="255"/>
      <c r="AF24" s="260"/>
      <c r="AG24" s="261"/>
      <c r="AH24" s="262"/>
      <c r="AI24" s="263"/>
      <c r="AJ24" s="264"/>
      <c r="AK24" s="257"/>
      <c r="AL24" s="256"/>
      <c r="AM24" s="257"/>
      <c r="AN24" s="256"/>
      <c r="AO24" s="257"/>
      <c r="AP24" s="256"/>
      <c r="AQ24" s="257"/>
      <c r="AR24" s="265"/>
      <c r="AS24" s="266"/>
      <c r="AT24" s="369">
        <f>B24+D24+F24+H24+J24+V24+AF24+AH24+AR24</f>
        <v>50000</v>
      </c>
      <c r="AU24" s="267"/>
      <c r="AV24" s="442">
        <f>AT8+AT9+AT19+AT21+AT23</f>
        <v>271993541</v>
      </c>
    </row>
    <row r="25" spans="1:47" s="1" customFormat="1" ht="20.25" customHeight="1">
      <c r="A25" s="475" t="s">
        <v>98</v>
      </c>
      <c r="B25" s="476"/>
      <c r="C25" s="476"/>
      <c r="D25" s="476"/>
      <c r="E25" s="476"/>
      <c r="F25" s="476"/>
      <c r="G25" s="476"/>
      <c r="H25" s="476"/>
      <c r="I25" s="476"/>
      <c r="J25" s="476"/>
      <c r="K25" s="476"/>
      <c r="L25" s="476"/>
      <c r="M25" s="476"/>
      <c r="N25" s="476"/>
      <c r="O25" s="476"/>
      <c r="P25" s="476"/>
      <c r="Q25" s="476"/>
      <c r="R25" s="476"/>
      <c r="S25" s="476"/>
      <c r="T25" s="476"/>
      <c r="U25" s="476"/>
      <c r="V25" s="476"/>
      <c r="W25" s="476"/>
      <c r="X25" s="476"/>
      <c r="Y25" s="476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6"/>
      <c r="AK25" s="476"/>
      <c r="AL25" s="476"/>
      <c r="AM25" s="476"/>
      <c r="AN25" s="476"/>
      <c r="AO25" s="476"/>
      <c r="AP25" s="476"/>
      <c r="AQ25" s="476"/>
      <c r="AR25" s="476"/>
      <c r="AS25" s="476"/>
      <c r="AT25" s="477"/>
      <c r="AU25" s="472"/>
    </row>
    <row r="26" spans="1:47" ht="14.25" customHeight="1">
      <c r="A26" s="305" t="s">
        <v>202</v>
      </c>
      <c r="B26" s="306"/>
      <c r="C26" s="307"/>
      <c r="D26" s="308"/>
      <c r="E26" s="307"/>
      <c r="F26" s="306"/>
      <c r="G26" s="306"/>
      <c r="H26" s="308"/>
      <c r="I26" s="307"/>
      <c r="J26" s="308"/>
      <c r="K26" s="307"/>
      <c r="L26" s="309">
        <v>11</v>
      </c>
      <c r="M26" s="23" t="s">
        <v>14</v>
      </c>
      <c r="N26" s="309">
        <v>5.2</v>
      </c>
      <c r="O26" s="23" t="s">
        <v>14</v>
      </c>
      <c r="P26" s="309">
        <v>2.6</v>
      </c>
      <c r="Q26" s="23" t="s">
        <v>14</v>
      </c>
      <c r="R26" s="309">
        <v>1.8</v>
      </c>
      <c r="S26" s="23" t="s">
        <v>14</v>
      </c>
      <c r="T26" s="310"/>
      <c r="U26" s="18"/>
      <c r="V26" s="311">
        <f aca="true" t="shared" si="0" ref="V26:V31">T26+R26+P26+N26+L26</f>
        <v>20.6</v>
      </c>
      <c r="W26" s="312" t="s">
        <v>14</v>
      </c>
      <c r="X26" s="309">
        <v>9.4</v>
      </c>
      <c r="Y26" s="23" t="s">
        <v>14</v>
      </c>
      <c r="Z26" s="309">
        <v>2.2</v>
      </c>
      <c r="AA26" s="23" t="s">
        <v>14</v>
      </c>
      <c r="AB26" s="309">
        <v>1.9</v>
      </c>
      <c r="AC26" s="23" t="s">
        <v>14</v>
      </c>
      <c r="AD26" s="309">
        <v>1.2</v>
      </c>
      <c r="AE26" s="23" t="s">
        <v>14</v>
      </c>
      <c r="AF26" s="313">
        <f aca="true" t="shared" si="1" ref="AF26:AF39">X26+Z26+AB26+AD26</f>
        <v>14.700000000000001</v>
      </c>
      <c r="AG26" s="314" t="s">
        <v>14</v>
      </c>
      <c r="AH26" s="315"/>
      <c r="AI26" s="316"/>
      <c r="AJ26" s="317"/>
      <c r="AK26" s="18"/>
      <c r="AL26" s="310"/>
      <c r="AM26" s="18"/>
      <c r="AN26" s="310"/>
      <c r="AO26" s="18"/>
      <c r="AP26" s="310"/>
      <c r="AQ26" s="18"/>
      <c r="AR26" s="318"/>
      <c r="AS26" s="319"/>
      <c r="AT26" s="320">
        <f>V26+AF26+AH26+AR26</f>
        <v>35.300000000000004</v>
      </c>
      <c r="AU26" s="321" t="s">
        <v>14</v>
      </c>
    </row>
    <row r="27" spans="1:47" ht="14.25" customHeight="1" thickBot="1">
      <c r="A27" s="322" t="s">
        <v>348</v>
      </c>
      <c r="B27" s="323"/>
      <c r="C27" s="324"/>
      <c r="D27" s="325"/>
      <c r="E27" s="324"/>
      <c r="F27" s="323"/>
      <c r="G27" s="323"/>
      <c r="H27" s="325"/>
      <c r="I27" s="324"/>
      <c r="J27" s="325"/>
      <c r="K27" s="324"/>
      <c r="L27" s="512">
        <f>ROUND(L26*4152000*8/12,0)</f>
        <v>30448000</v>
      </c>
      <c r="M27" s="508"/>
      <c r="N27" s="512">
        <f>ROUND(N26*4152000*8/12,0)</f>
        <v>14393600</v>
      </c>
      <c r="O27" s="508"/>
      <c r="P27" s="512">
        <f>ROUND(P26*4152000*8/12,0)</f>
        <v>7196800</v>
      </c>
      <c r="Q27" s="508"/>
      <c r="R27" s="512">
        <f>ROUND(R26*4152000*8/12,0)</f>
        <v>4982400</v>
      </c>
      <c r="S27" s="508"/>
      <c r="T27" s="511"/>
      <c r="U27" s="508"/>
      <c r="V27" s="509">
        <f t="shared" si="0"/>
        <v>57020800</v>
      </c>
      <c r="W27" s="510"/>
      <c r="X27" s="512">
        <f>ROUND(X26*4152000*8/12,0)</f>
        <v>26019200</v>
      </c>
      <c r="Y27" s="508"/>
      <c r="Z27" s="512">
        <f>ROUND(Z26*4152000*8/12,0)</f>
        <v>6089600</v>
      </c>
      <c r="AA27" s="508"/>
      <c r="AB27" s="512">
        <f>ROUND(AB26*4152000*8/12,0)</f>
        <v>5259200</v>
      </c>
      <c r="AC27" s="508"/>
      <c r="AD27" s="512">
        <f>ROUND(AD26*4152000*8/12,0)</f>
        <v>3321600</v>
      </c>
      <c r="AE27" s="508"/>
      <c r="AF27" s="483">
        <f t="shared" si="1"/>
        <v>40689600</v>
      </c>
      <c r="AG27" s="484"/>
      <c r="AH27" s="478"/>
      <c r="AI27" s="479"/>
      <c r="AJ27" s="507"/>
      <c r="AK27" s="508"/>
      <c r="AL27" s="512"/>
      <c r="AM27" s="508"/>
      <c r="AN27" s="512"/>
      <c r="AO27" s="508"/>
      <c r="AP27" s="512"/>
      <c r="AQ27" s="508"/>
      <c r="AR27" s="481"/>
      <c r="AS27" s="482"/>
      <c r="AT27" s="326">
        <f>AR27+AH27+AF27+V27</f>
        <v>97710400</v>
      </c>
      <c r="AU27" s="327"/>
    </row>
    <row r="28" spans="1:47" ht="14.25" customHeight="1">
      <c r="A28" s="328" t="s">
        <v>203</v>
      </c>
      <c r="B28" s="306"/>
      <c r="C28" s="307"/>
      <c r="D28" s="308"/>
      <c r="E28" s="307"/>
      <c r="F28" s="306"/>
      <c r="G28" s="306"/>
      <c r="H28" s="308"/>
      <c r="I28" s="307"/>
      <c r="J28" s="308"/>
      <c r="K28" s="307"/>
      <c r="L28" s="309">
        <v>11.2</v>
      </c>
      <c r="M28" s="23" t="s">
        <v>14</v>
      </c>
      <c r="N28" s="43">
        <v>4.8</v>
      </c>
      <c r="O28" s="23" t="s">
        <v>14</v>
      </c>
      <c r="P28" s="309">
        <v>2.6</v>
      </c>
      <c r="Q28" s="23" t="s">
        <v>14</v>
      </c>
      <c r="R28" s="309">
        <v>1.8</v>
      </c>
      <c r="S28" s="23" t="s">
        <v>14</v>
      </c>
      <c r="T28" s="310"/>
      <c r="U28" s="18"/>
      <c r="V28" s="311">
        <f t="shared" si="0"/>
        <v>20.4</v>
      </c>
      <c r="W28" s="312" t="s">
        <v>14</v>
      </c>
      <c r="X28" s="309">
        <v>9.6</v>
      </c>
      <c r="Y28" s="23" t="s">
        <v>14</v>
      </c>
      <c r="Z28" s="309">
        <f>2.1+0.1</f>
        <v>2.2</v>
      </c>
      <c r="AA28" s="23" t="s">
        <v>14</v>
      </c>
      <c r="AB28" s="309">
        <v>1.7</v>
      </c>
      <c r="AC28" s="23" t="s">
        <v>14</v>
      </c>
      <c r="AD28" s="309">
        <v>1.2</v>
      </c>
      <c r="AE28" s="23" t="s">
        <v>14</v>
      </c>
      <c r="AF28" s="313">
        <f t="shared" si="1"/>
        <v>14.7</v>
      </c>
      <c r="AG28" s="314" t="s">
        <v>14</v>
      </c>
      <c r="AH28" s="315"/>
      <c r="AI28" s="316"/>
      <c r="AJ28" s="317"/>
      <c r="AK28" s="18"/>
      <c r="AL28" s="310"/>
      <c r="AM28" s="18"/>
      <c r="AN28" s="310"/>
      <c r="AO28" s="18"/>
      <c r="AP28" s="310"/>
      <c r="AQ28" s="18"/>
      <c r="AR28" s="318"/>
      <c r="AS28" s="319"/>
      <c r="AT28" s="320">
        <f>V28+AF28+AH28+AR28</f>
        <v>35.099999999999994</v>
      </c>
      <c r="AU28" s="321" t="s">
        <v>14</v>
      </c>
    </row>
    <row r="29" spans="1:47" ht="14.25" customHeight="1" thickBot="1">
      <c r="A29" s="322" t="s">
        <v>349</v>
      </c>
      <c r="B29" s="323"/>
      <c r="C29" s="324"/>
      <c r="D29" s="325"/>
      <c r="E29" s="324"/>
      <c r="F29" s="323"/>
      <c r="G29" s="323"/>
      <c r="H29" s="325"/>
      <c r="I29" s="324"/>
      <c r="J29" s="325"/>
      <c r="K29" s="324"/>
      <c r="L29" s="512">
        <f>ROUND(L28*4152000*4/12,0)</f>
        <v>15500800</v>
      </c>
      <c r="M29" s="508"/>
      <c r="N29" s="512">
        <f>ROUND(N28*4152000*4/12,0)</f>
        <v>6643200</v>
      </c>
      <c r="O29" s="508"/>
      <c r="P29" s="512">
        <f>ROUND(P28*4152000*4/12,0)</f>
        <v>3598400</v>
      </c>
      <c r="Q29" s="508"/>
      <c r="R29" s="512">
        <f>ROUND(R28*4152000*4/12,0)</f>
        <v>2491200</v>
      </c>
      <c r="S29" s="508"/>
      <c r="T29" s="511"/>
      <c r="U29" s="508"/>
      <c r="V29" s="509">
        <f t="shared" si="0"/>
        <v>28233600</v>
      </c>
      <c r="W29" s="510"/>
      <c r="X29" s="512">
        <f>ROUND(X28*4152000*4/12,0)</f>
        <v>13286400</v>
      </c>
      <c r="Y29" s="508"/>
      <c r="Z29" s="512">
        <f>ROUND(Z28*4152000*4/12,0)</f>
        <v>3044800</v>
      </c>
      <c r="AA29" s="508"/>
      <c r="AB29" s="512">
        <f>ROUND(AB28*4152000*4/12,0)</f>
        <v>2352800</v>
      </c>
      <c r="AC29" s="508"/>
      <c r="AD29" s="512">
        <f>ROUND(AD28*4152000*4/12,0)</f>
        <v>1660800</v>
      </c>
      <c r="AE29" s="508"/>
      <c r="AF29" s="483">
        <f t="shared" si="1"/>
        <v>20344800</v>
      </c>
      <c r="AG29" s="484"/>
      <c r="AH29" s="478"/>
      <c r="AI29" s="479"/>
      <c r="AJ29" s="507"/>
      <c r="AK29" s="508"/>
      <c r="AL29" s="512"/>
      <c r="AM29" s="508"/>
      <c r="AN29" s="512"/>
      <c r="AO29" s="508"/>
      <c r="AP29" s="512"/>
      <c r="AQ29" s="508"/>
      <c r="AR29" s="481"/>
      <c r="AS29" s="482"/>
      <c r="AT29" s="326">
        <f>AR29+AH29+AF29+V29</f>
        <v>48578400</v>
      </c>
      <c r="AU29" s="327"/>
    </row>
    <row r="30" spans="1:47" ht="14.25" customHeight="1">
      <c r="A30" s="328" t="s">
        <v>204</v>
      </c>
      <c r="B30" s="306"/>
      <c r="C30" s="307"/>
      <c r="D30" s="308"/>
      <c r="E30" s="307"/>
      <c r="F30" s="306"/>
      <c r="G30" s="306"/>
      <c r="H30" s="308"/>
      <c r="I30" s="307"/>
      <c r="J30" s="308"/>
      <c r="K30" s="307"/>
      <c r="L30" s="309">
        <v>11.2</v>
      </c>
      <c r="M30" s="23" t="s">
        <v>14</v>
      </c>
      <c r="N30" s="43">
        <v>4.8</v>
      </c>
      <c r="O30" s="23" t="s">
        <v>14</v>
      </c>
      <c r="P30" s="309">
        <v>2.6</v>
      </c>
      <c r="Q30" s="23" t="s">
        <v>14</v>
      </c>
      <c r="R30" s="309">
        <v>1.8</v>
      </c>
      <c r="S30" s="23" t="s">
        <v>14</v>
      </c>
      <c r="T30" s="310"/>
      <c r="U30" s="18"/>
      <c r="V30" s="311">
        <f t="shared" si="0"/>
        <v>20.4</v>
      </c>
      <c r="W30" s="312" t="s">
        <v>14</v>
      </c>
      <c r="X30" s="309">
        <v>9.6</v>
      </c>
      <c r="Y30" s="23" t="s">
        <v>14</v>
      </c>
      <c r="Z30" s="309">
        <f>2.1+0.1</f>
        <v>2.2</v>
      </c>
      <c r="AA30" s="23" t="s">
        <v>14</v>
      </c>
      <c r="AB30" s="309">
        <v>1.7</v>
      </c>
      <c r="AC30" s="23" t="s">
        <v>14</v>
      </c>
      <c r="AD30" s="309">
        <v>1.2</v>
      </c>
      <c r="AE30" s="23" t="s">
        <v>14</v>
      </c>
      <c r="AF30" s="313">
        <f t="shared" si="1"/>
        <v>14.7</v>
      </c>
      <c r="AG30" s="314" t="s">
        <v>14</v>
      </c>
      <c r="AH30" s="315"/>
      <c r="AI30" s="316"/>
      <c r="AJ30" s="317"/>
      <c r="AK30" s="18"/>
      <c r="AL30" s="310"/>
      <c r="AM30" s="18"/>
      <c r="AN30" s="310"/>
      <c r="AO30" s="18"/>
      <c r="AP30" s="310"/>
      <c r="AQ30" s="18"/>
      <c r="AR30" s="318"/>
      <c r="AS30" s="319"/>
      <c r="AT30" s="320">
        <f>V30+AF30+AH30+AR30</f>
        <v>35.099999999999994</v>
      </c>
      <c r="AU30" s="321" t="s">
        <v>14</v>
      </c>
    </row>
    <row r="31" spans="1:47" ht="14.25" customHeight="1" thickBot="1">
      <c r="A31" s="322" t="s">
        <v>350</v>
      </c>
      <c r="B31" s="323"/>
      <c r="C31" s="324"/>
      <c r="D31" s="325"/>
      <c r="E31" s="324"/>
      <c r="F31" s="323"/>
      <c r="G31" s="323"/>
      <c r="H31" s="325"/>
      <c r="I31" s="324"/>
      <c r="J31" s="325"/>
      <c r="K31" s="324"/>
      <c r="L31" s="512">
        <f>ROUND(L30*35000,0)</f>
        <v>392000</v>
      </c>
      <c r="M31" s="508"/>
      <c r="N31" s="512">
        <f>ROUND(N30*35000,0)</f>
        <v>168000</v>
      </c>
      <c r="O31" s="508"/>
      <c r="P31" s="512">
        <f>ROUND(P30*35000,0)</f>
        <v>91000</v>
      </c>
      <c r="Q31" s="508"/>
      <c r="R31" s="512">
        <f>ROUND(R30*35000,0)</f>
        <v>63000</v>
      </c>
      <c r="S31" s="508"/>
      <c r="T31" s="511"/>
      <c r="U31" s="508"/>
      <c r="V31" s="509">
        <f t="shared" si="0"/>
        <v>714000</v>
      </c>
      <c r="W31" s="510"/>
      <c r="X31" s="512">
        <f>ROUND(X30*35000,0)</f>
        <v>336000</v>
      </c>
      <c r="Y31" s="508"/>
      <c r="Z31" s="512">
        <f>ROUND(Z30*35000,0)</f>
        <v>77000</v>
      </c>
      <c r="AA31" s="508"/>
      <c r="AB31" s="512">
        <f>ROUND(AB30*35000,0)</f>
        <v>59500</v>
      </c>
      <c r="AC31" s="508"/>
      <c r="AD31" s="512">
        <f>ROUND(AD30*35000,0)</f>
        <v>42000</v>
      </c>
      <c r="AE31" s="508"/>
      <c r="AF31" s="483">
        <f t="shared" si="1"/>
        <v>514500</v>
      </c>
      <c r="AG31" s="484"/>
      <c r="AH31" s="478"/>
      <c r="AI31" s="479"/>
      <c r="AJ31" s="507"/>
      <c r="AK31" s="508"/>
      <c r="AL31" s="512"/>
      <c r="AM31" s="508"/>
      <c r="AN31" s="512"/>
      <c r="AO31" s="508"/>
      <c r="AP31" s="512"/>
      <c r="AQ31" s="508"/>
      <c r="AR31" s="481"/>
      <c r="AS31" s="482"/>
      <c r="AT31" s="326">
        <f>AR31+AH31+AF31+V31</f>
        <v>1228500</v>
      </c>
      <c r="AU31" s="327"/>
    </row>
    <row r="32" spans="1:47" ht="14.25" customHeight="1">
      <c r="A32" s="45" t="s">
        <v>205</v>
      </c>
      <c r="B32" s="41"/>
      <c r="C32" s="329"/>
      <c r="D32" s="330"/>
      <c r="E32" s="329"/>
      <c r="F32" s="41"/>
      <c r="G32" s="41"/>
      <c r="H32" s="330"/>
      <c r="I32" s="329"/>
      <c r="J32" s="330"/>
      <c r="K32" s="329"/>
      <c r="L32" s="309">
        <v>7</v>
      </c>
      <c r="M32" s="21" t="s">
        <v>14</v>
      </c>
      <c r="N32" s="17">
        <v>4</v>
      </c>
      <c r="O32" s="21" t="s">
        <v>14</v>
      </c>
      <c r="P32" s="17">
        <v>2</v>
      </c>
      <c r="Q32" s="21" t="s">
        <v>14</v>
      </c>
      <c r="R32" s="17">
        <v>1</v>
      </c>
      <c r="S32" s="21" t="s">
        <v>14</v>
      </c>
      <c r="T32" s="22"/>
      <c r="U32" s="21"/>
      <c r="V32" s="331">
        <f>T32+R32++P32+N32+L32</f>
        <v>14</v>
      </c>
      <c r="W32" s="312" t="s">
        <v>14</v>
      </c>
      <c r="X32" s="17">
        <v>8</v>
      </c>
      <c r="Y32" s="21" t="s">
        <v>14</v>
      </c>
      <c r="Z32" s="17">
        <v>1</v>
      </c>
      <c r="AA32" s="21" t="s">
        <v>14</v>
      </c>
      <c r="AB32" s="17">
        <v>1</v>
      </c>
      <c r="AC32" s="21" t="s">
        <v>14</v>
      </c>
      <c r="AD32" s="17">
        <v>1</v>
      </c>
      <c r="AE32" s="20" t="s">
        <v>14</v>
      </c>
      <c r="AF32" s="313">
        <f t="shared" si="1"/>
        <v>11</v>
      </c>
      <c r="AG32" s="314" t="s">
        <v>14</v>
      </c>
      <c r="AH32" s="332"/>
      <c r="AI32" s="333"/>
      <c r="AJ32" s="334"/>
      <c r="AK32" s="21"/>
      <c r="AL32" s="22"/>
      <c r="AM32" s="21"/>
      <c r="AN32" s="22"/>
      <c r="AO32" s="21"/>
      <c r="AP32" s="22"/>
      <c r="AQ32" s="21"/>
      <c r="AR32" s="335"/>
      <c r="AS32" s="336"/>
      <c r="AT32" s="337">
        <f>V32+AF32+AH32+AR32</f>
        <v>25</v>
      </c>
      <c r="AU32" s="338" t="s">
        <v>14</v>
      </c>
    </row>
    <row r="33" spans="1:47" ht="14.25" customHeight="1" thickBot="1">
      <c r="A33" s="47" t="s">
        <v>206</v>
      </c>
      <c r="B33" s="339"/>
      <c r="C33" s="340"/>
      <c r="D33" s="341"/>
      <c r="E33" s="340"/>
      <c r="F33" s="339"/>
      <c r="G33" s="339"/>
      <c r="H33" s="341"/>
      <c r="I33" s="340"/>
      <c r="J33" s="341"/>
      <c r="K33" s="340"/>
      <c r="L33" s="512">
        <f>ROUND(L32*1800000*8/12,0)</f>
        <v>8400000</v>
      </c>
      <c r="M33" s="508"/>
      <c r="N33" s="512">
        <f>ROUND(N32*1800000*8/12,0)</f>
        <v>4800000</v>
      </c>
      <c r="O33" s="508"/>
      <c r="P33" s="512">
        <f>ROUND(P32*1800000*8/12,0)</f>
        <v>2400000</v>
      </c>
      <c r="Q33" s="508"/>
      <c r="R33" s="512">
        <f>ROUND(R32*1800000*8/12,0)</f>
        <v>1200000</v>
      </c>
      <c r="S33" s="508"/>
      <c r="T33" s="535"/>
      <c r="U33" s="519"/>
      <c r="V33" s="509">
        <f>T33+R33+P33+N33+L33</f>
        <v>16800000</v>
      </c>
      <c r="W33" s="510"/>
      <c r="X33" s="512">
        <f>ROUND(X32*1800000*8/12,0)</f>
        <v>9600000</v>
      </c>
      <c r="Y33" s="508"/>
      <c r="Z33" s="512">
        <f>ROUND(Z32*1800000*8/12,0)</f>
        <v>1200000</v>
      </c>
      <c r="AA33" s="508"/>
      <c r="AB33" s="512">
        <f>ROUND(AB32*1800000*8/12,0)</f>
        <v>1200000</v>
      </c>
      <c r="AC33" s="508"/>
      <c r="AD33" s="512">
        <f>ROUND(AD32*1800000*8/12,0)</f>
        <v>1200000</v>
      </c>
      <c r="AE33" s="508"/>
      <c r="AF33" s="483">
        <f t="shared" si="1"/>
        <v>13200000</v>
      </c>
      <c r="AG33" s="484"/>
      <c r="AH33" s="522"/>
      <c r="AI33" s="530"/>
      <c r="AJ33" s="531"/>
      <c r="AK33" s="519"/>
      <c r="AL33" s="535"/>
      <c r="AM33" s="519"/>
      <c r="AN33" s="535"/>
      <c r="AO33" s="519"/>
      <c r="AP33" s="535"/>
      <c r="AQ33" s="519"/>
      <c r="AR33" s="533"/>
      <c r="AS33" s="534"/>
      <c r="AT33" s="342">
        <f>AR33+AH33+AF33+V33</f>
        <v>30000000</v>
      </c>
      <c r="AU33" s="321"/>
    </row>
    <row r="34" spans="1:47" ht="14.25" customHeight="1">
      <c r="A34" s="45" t="s">
        <v>205</v>
      </c>
      <c r="B34" s="41"/>
      <c r="C34" s="329"/>
      <c r="D34" s="330"/>
      <c r="E34" s="329"/>
      <c r="F34" s="41"/>
      <c r="G34" s="41"/>
      <c r="H34" s="330"/>
      <c r="I34" s="329"/>
      <c r="J34" s="330"/>
      <c r="K34" s="329"/>
      <c r="L34" s="309">
        <v>7</v>
      </c>
      <c r="M34" s="21" t="s">
        <v>14</v>
      </c>
      <c r="N34" s="17">
        <v>4</v>
      </c>
      <c r="O34" s="21" t="s">
        <v>14</v>
      </c>
      <c r="P34" s="17">
        <v>2</v>
      </c>
      <c r="Q34" s="21" t="s">
        <v>14</v>
      </c>
      <c r="R34" s="17">
        <v>1</v>
      </c>
      <c r="S34" s="21" t="s">
        <v>14</v>
      </c>
      <c r="T34" s="22"/>
      <c r="U34" s="21"/>
      <c r="V34" s="331">
        <f>T34+R34++P34+N34+L34</f>
        <v>14</v>
      </c>
      <c r="W34" s="312" t="s">
        <v>14</v>
      </c>
      <c r="X34" s="17">
        <v>8</v>
      </c>
      <c r="Y34" s="21" t="s">
        <v>14</v>
      </c>
      <c r="Z34" s="17">
        <v>1</v>
      </c>
      <c r="AA34" s="21" t="s">
        <v>14</v>
      </c>
      <c r="AB34" s="17">
        <v>1</v>
      </c>
      <c r="AC34" s="21" t="s">
        <v>14</v>
      </c>
      <c r="AD34" s="17">
        <v>1</v>
      </c>
      <c r="AE34" s="20" t="s">
        <v>14</v>
      </c>
      <c r="AF34" s="313">
        <f t="shared" si="1"/>
        <v>11</v>
      </c>
      <c r="AG34" s="314" t="s">
        <v>14</v>
      </c>
      <c r="AH34" s="332"/>
      <c r="AI34" s="333"/>
      <c r="AJ34" s="334"/>
      <c r="AK34" s="21"/>
      <c r="AL34" s="22"/>
      <c r="AM34" s="21"/>
      <c r="AN34" s="22"/>
      <c r="AO34" s="21"/>
      <c r="AP34" s="22"/>
      <c r="AQ34" s="21"/>
      <c r="AR34" s="335"/>
      <c r="AS34" s="336"/>
      <c r="AT34" s="337">
        <f>V34+AF34+AH34+AR34</f>
        <v>25</v>
      </c>
      <c r="AU34" s="338" t="s">
        <v>14</v>
      </c>
    </row>
    <row r="35" spans="1:47" ht="14.25" customHeight="1" thickBot="1">
      <c r="A35" s="47" t="s">
        <v>351</v>
      </c>
      <c r="B35" s="339"/>
      <c r="C35" s="340"/>
      <c r="D35" s="341"/>
      <c r="E35" s="340"/>
      <c r="F35" s="339"/>
      <c r="G35" s="339"/>
      <c r="H35" s="341"/>
      <c r="I35" s="340"/>
      <c r="J35" s="341"/>
      <c r="K35" s="340"/>
      <c r="L35" s="512">
        <f>ROUND(L34*1800000*4/12,0)</f>
        <v>4200000</v>
      </c>
      <c r="M35" s="508"/>
      <c r="N35" s="512">
        <f>ROUND(N34*1800000*4/12,0)</f>
        <v>2400000</v>
      </c>
      <c r="O35" s="508"/>
      <c r="P35" s="512">
        <f>ROUND(P34*1800000*4/12,0)</f>
        <v>1200000</v>
      </c>
      <c r="Q35" s="508"/>
      <c r="R35" s="512">
        <f>ROUND(R34*1800000*4/12,0)</f>
        <v>600000</v>
      </c>
      <c r="S35" s="508"/>
      <c r="T35" s="535"/>
      <c r="U35" s="519"/>
      <c r="V35" s="509">
        <f>T35+R35+P35+N35+L35</f>
        <v>8400000</v>
      </c>
      <c r="W35" s="510"/>
      <c r="X35" s="512">
        <f>ROUND(X34*1800000*4/12,0)</f>
        <v>4800000</v>
      </c>
      <c r="Y35" s="508"/>
      <c r="Z35" s="512">
        <f>ROUND(Z34*1800000*4/12,0)</f>
        <v>600000</v>
      </c>
      <c r="AA35" s="508"/>
      <c r="AB35" s="512">
        <f>ROUND(AB34*1800000*4/12,0)</f>
        <v>600000</v>
      </c>
      <c r="AC35" s="508"/>
      <c r="AD35" s="512">
        <f>ROUND(AD34*1800000*4/12,0)</f>
        <v>600000</v>
      </c>
      <c r="AE35" s="508"/>
      <c r="AF35" s="483">
        <f t="shared" si="1"/>
        <v>6600000</v>
      </c>
      <c r="AG35" s="484"/>
      <c r="AH35" s="522"/>
      <c r="AI35" s="530"/>
      <c r="AJ35" s="531"/>
      <c r="AK35" s="519"/>
      <c r="AL35" s="535"/>
      <c r="AM35" s="519"/>
      <c r="AN35" s="535"/>
      <c r="AO35" s="519"/>
      <c r="AP35" s="535"/>
      <c r="AQ35" s="519"/>
      <c r="AR35" s="533"/>
      <c r="AS35" s="534"/>
      <c r="AT35" s="342">
        <f>AR35+AH35+AF35+V35</f>
        <v>15000000</v>
      </c>
      <c r="AU35" s="321"/>
    </row>
    <row r="36" spans="1:47" ht="14.25" customHeight="1">
      <c r="A36" s="555" t="s">
        <v>352</v>
      </c>
      <c r="B36" s="40"/>
      <c r="C36" s="344"/>
      <c r="D36" s="345"/>
      <c r="E36" s="344"/>
      <c r="F36" s="40"/>
      <c r="G36" s="40"/>
      <c r="H36" s="345"/>
      <c r="I36" s="344"/>
      <c r="J36" s="345"/>
      <c r="K36" s="344"/>
      <c r="L36" s="309">
        <v>123</v>
      </c>
      <c r="M36" s="23" t="s">
        <v>14</v>
      </c>
      <c r="N36" s="346">
        <v>58</v>
      </c>
      <c r="O36" s="23" t="s">
        <v>14</v>
      </c>
      <c r="P36" s="309">
        <v>29</v>
      </c>
      <c r="Q36" s="23" t="s">
        <v>14</v>
      </c>
      <c r="R36" s="17">
        <v>20</v>
      </c>
      <c r="S36" s="17" t="s">
        <v>14</v>
      </c>
      <c r="T36" s="22"/>
      <c r="U36" s="21"/>
      <c r="V36" s="331">
        <f>T36+R36++P36+N36+L36</f>
        <v>230</v>
      </c>
      <c r="W36" s="312" t="s">
        <v>14</v>
      </c>
      <c r="X36" s="309">
        <v>106</v>
      </c>
      <c r="Y36" s="23" t="s">
        <v>14</v>
      </c>
      <c r="Z36" s="346">
        <v>25</v>
      </c>
      <c r="AA36" s="23" t="s">
        <v>14</v>
      </c>
      <c r="AB36" s="309">
        <v>21</v>
      </c>
      <c r="AC36" s="23" t="s">
        <v>14</v>
      </c>
      <c r="AD36" s="17">
        <v>12</v>
      </c>
      <c r="AE36" s="17" t="s">
        <v>14</v>
      </c>
      <c r="AF36" s="313">
        <f t="shared" si="1"/>
        <v>164</v>
      </c>
      <c r="AG36" s="314" t="s">
        <v>14</v>
      </c>
      <c r="AH36" s="332"/>
      <c r="AI36" s="333"/>
      <c r="AJ36" s="334"/>
      <c r="AK36" s="21"/>
      <c r="AL36" s="22"/>
      <c r="AM36" s="21"/>
      <c r="AN36" s="22"/>
      <c r="AO36" s="21"/>
      <c r="AP36" s="22"/>
      <c r="AQ36" s="21"/>
      <c r="AR36" s="335"/>
      <c r="AS36" s="336"/>
      <c r="AT36" s="337">
        <f>V36+AF36+AH36+AR36</f>
        <v>394</v>
      </c>
      <c r="AU36" s="338" t="s">
        <v>14</v>
      </c>
    </row>
    <row r="37" spans="1:47" ht="14.25" customHeight="1" thickBot="1">
      <c r="A37" s="556"/>
      <c r="B37" s="347"/>
      <c r="C37" s="348"/>
      <c r="D37" s="349"/>
      <c r="E37" s="348"/>
      <c r="F37" s="347"/>
      <c r="G37" s="347"/>
      <c r="H37" s="349"/>
      <c r="I37" s="348"/>
      <c r="J37" s="349"/>
      <c r="K37" s="348"/>
      <c r="L37" s="512">
        <f>ROUND(L36*70000*8/12,0)</f>
        <v>5740000</v>
      </c>
      <c r="M37" s="508"/>
      <c r="N37" s="512">
        <f>ROUND(N36*70000*8/12,0)</f>
        <v>2706667</v>
      </c>
      <c r="O37" s="508"/>
      <c r="P37" s="512">
        <f>ROUND(P36*70000*8/12,0)</f>
        <v>1353333</v>
      </c>
      <c r="Q37" s="508"/>
      <c r="R37" s="512">
        <f>ROUND(R36*70000*8/12,0)</f>
        <v>933333</v>
      </c>
      <c r="S37" s="508"/>
      <c r="T37" s="535"/>
      <c r="U37" s="519"/>
      <c r="V37" s="509">
        <f>T37+R37+P37+N37+L37</f>
        <v>10733333</v>
      </c>
      <c r="W37" s="510"/>
      <c r="X37" s="512">
        <f>ROUND(X36*70000*8/12,0)</f>
        <v>4946667</v>
      </c>
      <c r="Y37" s="508"/>
      <c r="Z37" s="512">
        <f>ROUND(Z36*70000*8/12,0)</f>
        <v>1166667</v>
      </c>
      <c r="AA37" s="508"/>
      <c r="AB37" s="512">
        <f>ROUND(AB36*70000*8/12,0)</f>
        <v>980000</v>
      </c>
      <c r="AC37" s="508"/>
      <c r="AD37" s="512">
        <f>ROUND(AD36*70000*8/12,0)</f>
        <v>560000</v>
      </c>
      <c r="AE37" s="508"/>
      <c r="AF37" s="483">
        <f t="shared" si="1"/>
        <v>7653334</v>
      </c>
      <c r="AG37" s="484"/>
      <c r="AH37" s="522"/>
      <c r="AI37" s="530"/>
      <c r="AJ37" s="531"/>
      <c r="AK37" s="519"/>
      <c r="AL37" s="535"/>
      <c r="AM37" s="519"/>
      <c r="AN37" s="535"/>
      <c r="AO37" s="519"/>
      <c r="AP37" s="535"/>
      <c r="AQ37" s="519"/>
      <c r="AR37" s="533"/>
      <c r="AS37" s="534"/>
      <c r="AT37" s="342">
        <f>AR37+AH37+AF37+V37</f>
        <v>18386667</v>
      </c>
      <c r="AU37" s="321"/>
    </row>
    <row r="38" spans="1:47" ht="14.25" customHeight="1">
      <c r="A38" s="555" t="s">
        <v>353</v>
      </c>
      <c r="B38" s="40"/>
      <c r="C38" s="344"/>
      <c r="D38" s="345"/>
      <c r="E38" s="344"/>
      <c r="F38" s="40"/>
      <c r="G38" s="40"/>
      <c r="H38" s="345"/>
      <c r="I38" s="344"/>
      <c r="J38" s="345"/>
      <c r="K38" s="344"/>
      <c r="L38" s="310">
        <v>125</v>
      </c>
      <c r="M38" s="18" t="s">
        <v>14</v>
      </c>
      <c r="N38" s="17">
        <v>57</v>
      </c>
      <c r="O38" s="18" t="s">
        <v>14</v>
      </c>
      <c r="P38" s="310">
        <v>30</v>
      </c>
      <c r="Q38" s="18" t="s">
        <v>14</v>
      </c>
      <c r="R38" s="17">
        <v>20</v>
      </c>
      <c r="S38" s="17" t="s">
        <v>14</v>
      </c>
      <c r="T38" s="22"/>
      <c r="U38" s="21"/>
      <c r="V38" s="331">
        <f>T38+R38++P38+N38+L38</f>
        <v>232</v>
      </c>
      <c r="W38" s="312" t="s">
        <v>14</v>
      </c>
      <c r="X38" s="310">
        <v>107</v>
      </c>
      <c r="Y38" s="18" t="s">
        <v>14</v>
      </c>
      <c r="Z38" s="17">
        <v>25</v>
      </c>
      <c r="AA38" s="18" t="s">
        <v>14</v>
      </c>
      <c r="AB38" s="310">
        <v>19</v>
      </c>
      <c r="AC38" s="18" t="s">
        <v>14</v>
      </c>
      <c r="AD38" s="17">
        <v>11</v>
      </c>
      <c r="AE38" s="17" t="s">
        <v>14</v>
      </c>
      <c r="AF38" s="313">
        <f t="shared" si="1"/>
        <v>162</v>
      </c>
      <c r="AG38" s="314" t="s">
        <v>14</v>
      </c>
      <c r="AH38" s="332"/>
      <c r="AI38" s="333"/>
      <c r="AJ38" s="334"/>
      <c r="AK38" s="21"/>
      <c r="AL38" s="22"/>
      <c r="AM38" s="21"/>
      <c r="AN38" s="22"/>
      <c r="AO38" s="21"/>
      <c r="AP38" s="22"/>
      <c r="AQ38" s="21"/>
      <c r="AR38" s="335"/>
      <c r="AS38" s="336"/>
      <c r="AT38" s="350">
        <f>V38+AF38+AH38+AR38</f>
        <v>394</v>
      </c>
      <c r="AU38" s="338" t="s">
        <v>14</v>
      </c>
    </row>
    <row r="39" spans="1:47" ht="14.25" customHeight="1" thickBot="1">
      <c r="A39" s="556"/>
      <c r="B39" s="347"/>
      <c r="C39" s="348"/>
      <c r="D39" s="349"/>
      <c r="E39" s="348"/>
      <c r="F39" s="347"/>
      <c r="G39" s="347"/>
      <c r="H39" s="349"/>
      <c r="I39" s="348"/>
      <c r="J39" s="349"/>
      <c r="K39" s="348"/>
      <c r="L39" s="512">
        <f>ROUND(L38*70000*4/12,0)-1</f>
        <v>2916666</v>
      </c>
      <c r="M39" s="508"/>
      <c r="N39" s="512">
        <f>ROUND(N38*70000*4/12,0)</f>
        <v>1330000</v>
      </c>
      <c r="O39" s="508"/>
      <c r="P39" s="512">
        <f>ROUND(P38*70000*4/12,0)</f>
        <v>700000</v>
      </c>
      <c r="Q39" s="508"/>
      <c r="R39" s="512">
        <f>ROUND(R38*70000*4/12,0)</f>
        <v>466667</v>
      </c>
      <c r="S39" s="508"/>
      <c r="T39" s="535"/>
      <c r="U39" s="519"/>
      <c r="V39" s="509">
        <f>T39+R39+P39+N39+L39</f>
        <v>5413333</v>
      </c>
      <c r="W39" s="510"/>
      <c r="X39" s="512">
        <f>ROUND(X38*70000*4/12,0)</f>
        <v>2496667</v>
      </c>
      <c r="Y39" s="508"/>
      <c r="Z39" s="512">
        <f>ROUND(Z38*70000*4/12,0)</f>
        <v>583333</v>
      </c>
      <c r="AA39" s="508"/>
      <c r="AB39" s="512">
        <f>ROUND(AB38*70000*4/12,0)</f>
        <v>443333</v>
      </c>
      <c r="AC39" s="508"/>
      <c r="AD39" s="512">
        <f>ROUND(AD38*70000*4/12,0)</f>
        <v>256667</v>
      </c>
      <c r="AE39" s="508"/>
      <c r="AF39" s="483">
        <f t="shared" si="1"/>
        <v>3780000</v>
      </c>
      <c r="AG39" s="484"/>
      <c r="AH39" s="522"/>
      <c r="AI39" s="530"/>
      <c r="AJ39" s="531"/>
      <c r="AK39" s="519"/>
      <c r="AL39" s="535"/>
      <c r="AM39" s="519"/>
      <c r="AN39" s="535"/>
      <c r="AO39" s="519"/>
      <c r="AP39" s="535"/>
      <c r="AQ39" s="519"/>
      <c r="AR39" s="533"/>
      <c r="AS39" s="534"/>
      <c r="AT39" s="342">
        <f>AR39+AH39+AF39+V39</f>
        <v>9193333</v>
      </c>
      <c r="AU39" s="321"/>
    </row>
    <row r="40" spans="1:47" ht="16.5" customHeight="1">
      <c r="A40" s="555" t="s">
        <v>354</v>
      </c>
      <c r="B40" s="352"/>
      <c r="C40" s="353"/>
      <c r="D40" s="354"/>
      <c r="E40" s="353"/>
      <c r="F40" s="352"/>
      <c r="G40" s="352"/>
      <c r="H40" s="354"/>
      <c r="I40" s="353"/>
      <c r="J40" s="354"/>
      <c r="K40" s="353"/>
      <c r="L40" s="26"/>
      <c r="M40" s="346"/>
      <c r="N40" s="355"/>
      <c r="O40" s="23"/>
      <c r="P40" s="26"/>
      <c r="Q40" s="23"/>
      <c r="R40" s="26"/>
      <c r="S40" s="23"/>
      <c r="T40" s="12"/>
      <c r="U40" s="13"/>
      <c r="V40" s="331"/>
      <c r="W40" s="312"/>
      <c r="X40" s="12"/>
      <c r="Y40" s="13"/>
      <c r="Z40" s="12"/>
      <c r="AA40" s="13"/>
      <c r="AB40" s="12"/>
      <c r="AC40" s="13"/>
      <c r="AD40" s="12"/>
      <c r="AE40" s="12"/>
      <c r="AF40" s="356"/>
      <c r="AG40" s="357"/>
      <c r="AH40" s="358"/>
      <c r="AI40" s="359"/>
      <c r="AJ40" s="360"/>
      <c r="AK40" s="13"/>
      <c r="AL40" s="361"/>
      <c r="AM40" s="13"/>
      <c r="AN40" s="361"/>
      <c r="AO40" s="13"/>
      <c r="AP40" s="361"/>
      <c r="AQ40" s="13"/>
      <c r="AR40" s="362"/>
      <c r="AS40" s="363"/>
      <c r="AT40" s="364"/>
      <c r="AU40" s="338"/>
    </row>
    <row r="41" spans="1:47" ht="16.5" customHeight="1" thickBot="1">
      <c r="A41" s="592"/>
      <c r="B41" s="590">
        <v>8960000</v>
      </c>
      <c r="C41" s="591"/>
      <c r="D41" s="366"/>
      <c r="E41" s="367"/>
      <c r="F41" s="368"/>
      <c r="G41" s="368"/>
      <c r="H41" s="366"/>
      <c r="I41" s="367"/>
      <c r="J41" s="366"/>
      <c r="K41" s="367"/>
      <c r="L41" s="511"/>
      <c r="M41" s="487"/>
      <c r="N41" s="512"/>
      <c r="O41" s="488"/>
      <c r="P41" s="511"/>
      <c r="Q41" s="488"/>
      <c r="R41" s="511"/>
      <c r="S41" s="488"/>
      <c r="T41" s="518"/>
      <c r="U41" s="519"/>
      <c r="V41" s="480"/>
      <c r="W41" s="510"/>
      <c r="X41" s="511"/>
      <c r="Y41" s="508"/>
      <c r="Z41" s="511"/>
      <c r="AA41" s="508"/>
      <c r="AB41" s="511"/>
      <c r="AC41" s="508"/>
      <c r="AD41" s="511"/>
      <c r="AE41" s="511"/>
      <c r="AF41" s="483"/>
      <c r="AG41" s="484"/>
      <c r="AH41" s="478"/>
      <c r="AI41" s="479"/>
      <c r="AJ41" s="507"/>
      <c r="AK41" s="508"/>
      <c r="AL41" s="512"/>
      <c r="AM41" s="508"/>
      <c r="AN41" s="512"/>
      <c r="AO41" s="508"/>
      <c r="AP41" s="512"/>
      <c r="AQ41" s="508"/>
      <c r="AR41" s="481"/>
      <c r="AS41" s="482"/>
      <c r="AT41" s="369">
        <f>B41+D41+F41+H41+J41+V41+AF41+AH41+AR41</f>
        <v>8960000</v>
      </c>
      <c r="AU41" s="321"/>
    </row>
    <row r="42" spans="1:47" ht="14.25" customHeight="1">
      <c r="A42" s="328" t="s">
        <v>355</v>
      </c>
      <c r="B42" s="306"/>
      <c r="C42" s="307"/>
      <c r="D42" s="308"/>
      <c r="E42" s="307"/>
      <c r="F42" s="306"/>
      <c r="G42" s="306"/>
      <c r="H42" s="308"/>
      <c r="I42" s="307"/>
      <c r="J42" s="308"/>
      <c r="K42" s="307"/>
      <c r="L42" s="309">
        <v>1</v>
      </c>
      <c r="M42" s="23" t="s">
        <v>14</v>
      </c>
      <c r="N42" s="43">
        <v>2</v>
      </c>
      <c r="O42" s="23" t="s">
        <v>14</v>
      </c>
      <c r="P42" s="309"/>
      <c r="Q42" s="23" t="s">
        <v>14</v>
      </c>
      <c r="R42" s="309"/>
      <c r="S42" s="23" t="s">
        <v>14</v>
      </c>
      <c r="T42" s="310"/>
      <c r="U42" s="18"/>
      <c r="V42" s="311">
        <f>T42+R42+P42+N42+L42</f>
        <v>3</v>
      </c>
      <c r="W42" s="312" t="s">
        <v>14</v>
      </c>
      <c r="X42" s="309">
        <v>2</v>
      </c>
      <c r="Y42" s="23" t="s">
        <v>14</v>
      </c>
      <c r="Z42" s="43">
        <v>1</v>
      </c>
      <c r="AA42" s="23" t="s">
        <v>14</v>
      </c>
      <c r="AB42" s="309"/>
      <c r="AC42" s="23" t="s">
        <v>14</v>
      </c>
      <c r="AD42" s="309"/>
      <c r="AE42" s="23" t="s">
        <v>14</v>
      </c>
      <c r="AF42" s="313">
        <f>X42+Z42+AB42+AD42</f>
        <v>3</v>
      </c>
      <c r="AG42" s="314" t="s">
        <v>14</v>
      </c>
      <c r="AH42" s="315"/>
      <c r="AI42" s="316"/>
      <c r="AJ42" s="317"/>
      <c r="AK42" s="18"/>
      <c r="AL42" s="310"/>
      <c r="AM42" s="18"/>
      <c r="AN42" s="310"/>
      <c r="AO42" s="18"/>
      <c r="AP42" s="310"/>
      <c r="AQ42" s="18"/>
      <c r="AR42" s="318"/>
      <c r="AS42" s="318"/>
      <c r="AT42" s="443">
        <f>V42+AF42+AH42+AR42</f>
        <v>6</v>
      </c>
      <c r="AU42" s="338" t="s">
        <v>14</v>
      </c>
    </row>
    <row r="43" spans="1:47" ht="14.25" customHeight="1" thickBot="1">
      <c r="A43" s="322" t="s">
        <v>356</v>
      </c>
      <c r="B43" s="323"/>
      <c r="C43" s="324"/>
      <c r="D43" s="325"/>
      <c r="E43" s="324"/>
      <c r="F43" s="323"/>
      <c r="G43" s="323"/>
      <c r="H43" s="325"/>
      <c r="I43" s="324"/>
      <c r="J43" s="325"/>
      <c r="K43" s="324"/>
      <c r="L43" s="512">
        <f>ROUND(L42*352000,0)</f>
        <v>352000</v>
      </c>
      <c r="M43" s="508"/>
      <c r="N43" s="512">
        <f>ROUND(N42*352000,0)</f>
        <v>704000</v>
      </c>
      <c r="O43" s="508"/>
      <c r="P43" s="512">
        <f>ROUND(P42*352000,0)</f>
        <v>0</v>
      </c>
      <c r="Q43" s="508"/>
      <c r="R43" s="512">
        <f>ROUND(R42*352000,0)</f>
        <v>0</v>
      </c>
      <c r="S43" s="508"/>
      <c r="T43" s="511"/>
      <c r="U43" s="508"/>
      <c r="V43" s="509">
        <f>T43+R43+P43+N43+L43</f>
        <v>1056000</v>
      </c>
      <c r="W43" s="510"/>
      <c r="X43" s="512">
        <f>ROUND(X42*352000,0)</f>
        <v>704000</v>
      </c>
      <c r="Y43" s="508"/>
      <c r="Z43" s="512">
        <f>ROUND(Z42*352000,0)</f>
        <v>352000</v>
      </c>
      <c r="AA43" s="508"/>
      <c r="AB43" s="512">
        <f>ROUND(AB42*352000,0)</f>
        <v>0</v>
      </c>
      <c r="AC43" s="508"/>
      <c r="AD43" s="512">
        <f>ROUND(AD42*352000,0)</f>
        <v>0</v>
      </c>
      <c r="AE43" s="508"/>
      <c r="AF43" s="483">
        <f>X43+Z43+AB43+AD43</f>
        <v>1056000</v>
      </c>
      <c r="AG43" s="484"/>
      <c r="AH43" s="478"/>
      <c r="AI43" s="479"/>
      <c r="AJ43" s="507"/>
      <c r="AK43" s="508"/>
      <c r="AL43" s="512"/>
      <c r="AM43" s="508"/>
      <c r="AN43" s="512"/>
      <c r="AO43" s="508"/>
      <c r="AP43" s="512"/>
      <c r="AQ43" s="508"/>
      <c r="AR43" s="481"/>
      <c r="AS43" s="481"/>
      <c r="AT43" s="444">
        <f>AR43+AH43+AF43+V43</f>
        <v>2112000</v>
      </c>
      <c r="AU43" s="327"/>
    </row>
    <row r="44" spans="1:47" s="1" customFormat="1" ht="20.25" customHeight="1" thickBot="1">
      <c r="A44" s="475" t="s">
        <v>207</v>
      </c>
      <c r="B44" s="476"/>
      <c r="C44" s="476"/>
      <c r="D44" s="476"/>
      <c r="E44" s="476"/>
      <c r="F44" s="476"/>
      <c r="G44" s="476"/>
      <c r="H44" s="476"/>
      <c r="I44" s="476"/>
      <c r="J44" s="476"/>
      <c r="K44" s="476"/>
      <c r="L44" s="476"/>
      <c r="M44" s="476"/>
      <c r="N44" s="476"/>
      <c r="O44" s="476"/>
      <c r="P44" s="476"/>
      <c r="Q44" s="476"/>
      <c r="R44" s="476"/>
      <c r="S44" s="476"/>
      <c r="T44" s="476"/>
      <c r="U44" s="476"/>
      <c r="V44" s="476"/>
      <c r="W44" s="476"/>
      <c r="X44" s="476"/>
      <c r="Y44" s="476"/>
      <c r="Z44" s="476"/>
      <c r="AA44" s="476"/>
      <c r="AB44" s="476"/>
      <c r="AC44" s="476"/>
      <c r="AD44" s="476"/>
      <c r="AE44" s="476"/>
      <c r="AF44" s="476"/>
      <c r="AG44" s="476"/>
      <c r="AH44" s="476"/>
      <c r="AI44" s="476"/>
      <c r="AJ44" s="476"/>
      <c r="AK44" s="476"/>
      <c r="AL44" s="476"/>
      <c r="AM44" s="476"/>
      <c r="AN44" s="476"/>
      <c r="AO44" s="476"/>
      <c r="AP44" s="476"/>
      <c r="AQ44" s="476"/>
      <c r="AR44" s="476"/>
      <c r="AS44" s="476"/>
      <c r="AT44" s="553"/>
      <c r="AU44" s="554"/>
    </row>
    <row r="45" spans="1:47" ht="16.5" customHeight="1">
      <c r="A45" s="45" t="s">
        <v>357</v>
      </c>
      <c r="B45" s="352"/>
      <c r="C45" s="353"/>
      <c r="D45" s="354"/>
      <c r="E45" s="353"/>
      <c r="F45" s="352"/>
      <c r="G45" s="352"/>
      <c r="H45" s="354"/>
      <c r="I45" s="353"/>
      <c r="J45" s="354"/>
      <c r="K45" s="353"/>
      <c r="L45" s="26"/>
      <c r="M45" s="346"/>
      <c r="N45" s="355"/>
      <c r="O45" s="23"/>
      <c r="P45" s="26"/>
      <c r="Q45" s="23"/>
      <c r="R45" s="26"/>
      <c r="S45" s="23"/>
      <c r="T45" s="445"/>
      <c r="U45" s="446"/>
      <c r="V45" s="447"/>
      <c r="W45" s="448"/>
      <c r="X45" s="12"/>
      <c r="Y45" s="13"/>
      <c r="Z45" s="12"/>
      <c r="AA45" s="13"/>
      <c r="AB45" s="12"/>
      <c r="AC45" s="13"/>
      <c r="AD45" s="12"/>
      <c r="AE45" s="12"/>
      <c r="AF45" s="356"/>
      <c r="AG45" s="357"/>
      <c r="AH45" s="358"/>
      <c r="AI45" s="359"/>
      <c r="AJ45" s="360"/>
      <c r="AK45" s="13"/>
      <c r="AL45" s="361"/>
      <c r="AM45" s="13"/>
      <c r="AN45" s="361"/>
      <c r="AO45" s="13"/>
      <c r="AP45" s="361"/>
      <c r="AQ45" s="13"/>
      <c r="AR45" s="362"/>
      <c r="AS45" s="363"/>
      <c r="AT45" s="364"/>
      <c r="AU45" s="338"/>
    </row>
    <row r="46" spans="1:47" ht="16.5" customHeight="1" thickBot="1">
      <c r="A46" s="47"/>
      <c r="B46" s="526">
        <v>9878000</v>
      </c>
      <c r="C46" s="527"/>
      <c r="D46" s="366"/>
      <c r="E46" s="367"/>
      <c r="F46" s="368"/>
      <c r="G46" s="368"/>
      <c r="H46" s="366"/>
      <c r="I46" s="367"/>
      <c r="J46" s="366"/>
      <c r="K46" s="367"/>
      <c r="L46" s="511"/>
      <c r="M46" s="487"/>
      <c r="N46" s="512"/>
      <c r="O46" s="488"/>
      <c r="P46" s="511"/>
      <c r="Q46" s="488"/>
      <c r="R46" s="511"/>
      <c r="S46" s="488"/>
      <c r="T46" s="549"/>
      <c r="U46" s="550"/>
      <c r="V46" s="551"/>
      <c r="W46" s="552"/>
      <c r="X46" s="511"/>
      <c r="Y46" s="508"/>
      <c r="Z46" s="511"/>
      <c r="AA46" s="508"/>
      <c r="AB46" s="511"/>
      <c r="AC46" s="508"/>
      <c r="AD46" s="511"/>
      <c r="AE46" s="511"/>
      <c r="AF46" s="483"/>
      <c r="AG46" s="484"/>
      <c r="AH46" s="478"/>
      <c r="AI46" s="479"/>
      <c r="AJ46" s="507"/>
      <c r="AK46" s="508"/>
      <c r="AL46" s="512"/>
      <c r="AM46" s="508"/>
      <c r="AN46" s="512"/>
      <c r="AO46" s="508"/>
      <c r="AP46" s="512"/>
      <c r="AQ46" s="508"/>
      <c r="AR46" s="481"/>
      <c r="AS46" s="482"/>
      <c r="AT46" s="449">
        <f>B46+D46+F46+H46+J46+V46+AF46+AH46+AR46</f>
        <v>9878000</v>
      </c>
      <c r="AU46" s="321"/>
    </row>
    <row r="47" spans="1:47" ht="16.5" customHeight="1">
      <c r="A47" s="45" t="s">
        <v>208</v>
      </c>
      <c r="B47" s="352"/>
      <c r="C47" s="353"/>
      <c r="D47" s="354"/>
      <c r="E47" s="353"/>
      <c r="F47" s="352"/>
      <c r="G47" s="352"/>
      <c r="H47" s="354"/>
      <c r="I47" s="353"/>
      <c r="J47" s="354"/>
      <c r="K47" s="353"/>
      <c r="L47" s="26"/>
      <c r="M47" s="346"/>
      <c r="N47" s="355"/>
      <c r="O47" s="23"/>
      <c r="P47" s="26"/>
      <c r="Q47" s="23"/>
      <c r="R47" s="26"/>
      <c r="S47" s="23"/>
      <c r="T47" s="12"/>
      <c r="U47" s="13"/>
      <c r="V47" s="331"/>
      <c r="W47" s="312"/>
      <c r="X47" s="12"/>
      <c r="Y47" s="13"/>
      <c r="Z47" s="12"/>
      <c r="AA47" s="13"/>
      <c r="AB47" s="12"/>
      <c r="AC47" s="13"/>
      <c r="AD47" s="12"/>
      <c r="AE47" s="12"/>
      <c r="AF47" s="356"/>
      <c r="AG47" s="357"/>
      <c r="AH47" s="358"/>
      <c r="AI47" s="359"/>
      <c r="AJ47" s="360"/>
      <c r="AK47" s="13"/>
      <c r="AL47" s="361"/>
      <c r="AM47" s="13"/>
      <c r="AN47" s="361"/>
      <c r="AO47" s="13"/>
      <c r="AP47" s="361"/>
      <c r="AQ47" s="13"/>
      <c r="AR47" s="362"/>
      <c r="AS47" s="363"/>
      <c r="AT47" s="364"/>
      <c r="AU47" s="338"/>
    </row>
    <row r="48" spans="1:47" ht="16.5" customHeight="1" thickBot="1">
      <c r="A48" s="47" t="s">
        <v>209</v>
      </c>
      <c r="B48" s="526">
        <v>38632170</v>
      </c>
      <c r="C48" s="527"/>
      <c r="D48" s="366"/>
      <c r="E48" s="367"/>
      <c r="F48" s="368"/>
      <c r="G48" s="368"/>
      <c r="H48" s="366"/>
      <c r="I48" s="367"/>
      <c r="J48" s="366"/>
      <c r="K48" s="367"/>
      <c r="L48" s="511"/>
      <c r="M48" s="487"/>
      <c r="N48" s="512"/>
      <c r="O48" s="488"/>
      <c r="P48" s="511"/>
      <c r="Q48" s="488"/>
      <c r="R48" s="511"/>
      <c r="S48" s="488"/>
      <c r="T48" s="518"/>
      <c r="U48" s="519"/>
      <c r="V48" s="480"/>
      <c r="W48" s="510"/>
      <c r="X48" s="511"/>
      <c r="Y48" s="508"/>
      <c r="Z48" s="511"/>
      <c r="AA48" s="508"/>
      <c r="AB48" s="511"/>
      <c r="AC48" s="508"/>
      <c r="AD48" s="511"/>
      <c r="AE48" s="511"/>
      <c r="AF48" s="483"/>
      <c r="AG48" s="484"/>
      <c r="AH48" s="478"/>
      <c r="AI48" s="479"/>
      <c r="AJ48" s="507"/>
      <c r="AK48" s="508"/>
      <c r="AL48" s="512"/>
      <c r="AM48" s="508"/>
      <c r="AN48" s="512"/>
      <c r="AO48" s="508"/>
      <c r="AP48" s="512"/>
      <c r="AQ48" s="508"/>
      <c r="AR48" s="481"/>
      <c r="AS48" s="482"/>
      <c r="AT48" s="369">
        <f>B48+D48+F48+H48+J48+V48+AF48+AH48+AR48</f>
        <v>38632170</v>
      </c>
      <c r="AU48" s="321"/>
    </row>
    <row r="49" spans="1:47" ht="16.5" customHeight="1">
      <c r="A49" s="45" t="s">
        <v>210</v>
      </c>
      <c r="B49" s="40"/>
      <c r="C49" s="344"/>
      <c r="D49" s="345"/>
      <c r="E49" s="344"/>
      <c r="F49" s="40"/>
      <c r="G49" s="40"/>
      <c r="H49" s="345"/>
      <c r="I49" s="344"/>
      <c r="J49" s="345"/>
      <c r="K49" s="344"/>
      <c r="L49" s="12"/>
      <c r="M49" s="12"/>
      <c r="N49" s="361"/>
      <c r="O49" s="13"/>
      <c r="P49" s="12"/>
      <c r="Q49" s="13"/>
      <c r="R49" s="12"/>
      <c r="S49" s="13"/>
      <c r="T49" s="12"/>
      <c r="U49" s="13"/>
      <c r="V49" s="370"/>
      <c r="W49" s="371"/>
      <c r="X49" s="12"/>
      <c r="Y49" s="13"/>
      <c r="Z49" s="12"/>
      <c r="AA49" s="13"/>
      <c r="AB49" s="12"/>
      <c r="AC49" s="13"/>
      <c r="AD49" s="12"/>
      <c r="AE49" s="12"/>
      <c r="AF49" s="356"/>
      <c r="AG49" s="357"/>
      <c r="AH49" s="372">
        <f>17902/5000</f>
        <v>3.5804</v>
      </c>
      <c r="AI49" s="373"/>
      <c r="AJ49" s="360"/>
      <c r="AK49" s="13"/>
      <c r="AL49" s="361"/>
      <c r="AM49" s="13"/>
      <c r="AN49" s="361"/>
      <c r="AO49" s="13"/>
      <c r="AP49" s="361"/>
      <c r="AQ49" s="13"/>
      <c r="AR49" s="362"/>
      <c r="AS49" s="363"/>
      <c r="AT49" s="364">
        <f>V49+AF49+AH49+AR49</f>
        <v>3.5804</v>
      </c>
      <c r="AU49" s="338" t="s">
        <v>14</v>
      </c>
    </row>
    <row r="50" spans="1:47" ht="16.5" customHeight="1" thickBot="1">
      <c r="A50" s="47" t="s">
        <v>211</v>
      </c>
      <c r="B50" s="368"/>
      <c r="C50" s="367"/>
      <c r="D50" s="366"/>
      <c r="E50" s="367"/>
      <c r="F50" s="368"/>
      <c r="G50" s="368"/>
      <c r="H50" s="366"/>
      <c r="I50" s="367"/>
      <c r="J50" s="366"/>
      <c r="K50" s="367"/>
      <c r="L50" s="511"/>
      <c r="M50" s="487"/>
      <c r="N50" s="512"/>
      <c r="O50" s="488"/>
      <c r="P50" s="511"/>
      <c r="Q50" s="488"/>
      <c r="R50" s="511"/>
      <c r="S50" s="488"/>
      <c r="T50" s="511"/>
      <c r="U50" s="508"/>
      <c r="V50" s="509"/>
      <c r="W50" s="510"/>
      <c r="X50" s="511"/>
      <c r="Y50" s="508"/>
      <c r="Z50" s="511"/>
      <c r="AA50" s="508"/>
      <c r="AB50" s="511"/>
      <c r="AC50" s="508"/>
      <c r="AD50" s="511"/>
      <c r="AE50" s="511"/>
      <c r="AF50" s="483"/>
      <c r="AG50" s="484"/>
      <c r="AH50" s="522">
        <f>AH49*3950000/2</f>
        <v>7071290</v>
      </c>
      <c r="AI50" s="530"/>
      <c r="AJ50" s="507"/>
      <c r="AK50" s="508"/>
      <c r="AL50" s="512"/>
      <c r="AM50" s="508"/>
      <c r="AN50" s="512"/>
      <c r="AO50" s="508"/>
      <c r="AP50" s="512"/>
      <c r="AQ50" s="508"/>
      <c r="AR50" s="481"/>
      <c r="AS50" s="482"/>
      <c r="AT50" s="342">
        <f>AR50+AH50+AF50+V50</f>
        <v>7071290</v>
      </c>
      <c r="AU50" s="321"/>
    </row>
    <row r="51" spans="1:47" ht="15.75" customHeight="1">
      <c r="A51" s="45" t="s">
        <v>212</v>
      </c>
      <c r="B51" s="40"/>
      <c r="C51" s="344"/>
      <c r="D51" s="345"/>
      <c r="E51" s="344"/>
      <c r="F51" s="40"/>
      <c r="G51" s="40"/>
      <c r="H51" s="345"/>
      <c r="I51" s="344"/>
      <c r="J51" s="345"/>
      <c r="K51" s="344"/>
      <c r="L51" s="12"/>
      <c r="M51" s="12"/>
      <c r="N51" s="361"/>
      <c r="O51" s="13"/>
      <c r="P51" s="12"/>
      <c r="Q51" s="13"/>
      <c r="R51" s="12"/>
      <c r="S51" s="13"/>
      <c r="T51" s="12"/>
      <c r="U51" s="13"/>
      <c r="V51" s="370"/>
      <c r="W51" s="371"/>
      <c r="X51" s="12"/>
      <c r="Y51" s="13"/>
      <c r="Z51" s="12"/>
      <c r="AA51" s="13"/>
      <c r="AB51" s="12"/>
      <c r="AC51" s="13"/>
      <c r="AD51" s="12"/>
      <c r="AE51" s="12"/>
      <c r="AF51" s="356"/>
      <c r="AG51" s="357"/>
      <c r="AH51" s="358">
        <v>17902</v>
      </c>
      <c r="AI51" s="373" t="s">
        <v>14</v>
      </c>
      <c r="AJ51" s="360"/>
      <c r="AK51" s="13"/>
      <c r="AL51" s="361"/>
      <c r="AM51" s="13"/>
      <c r="AN51" s="361"/>
      <c r="AO51" s="13"/>
      <c r="AP51" s="361"/>
      <c r="AQ51" s="13"/>
      <c r="AR51" s="362"/>
      <c r="AS51" s="363"/>
      <c r="AT51" s="337">
        <f>V51+AF51+AH51+AR51</f>
        <v>17902</v>
      </c>
      <c r="AU51" s="338" t="s">
        <v>14</v>
      </c>
    </row>
    <row r="52" spans="1:47" ht="16.5" customHeight="1" thickBot="1">
      <c r="A52" s="25" t="s">
        <v>213</v>
      </c>
      <c r="B52" s="368"/>
      <c r="C52" s="367"/>
      <c r="D52" s="366"/>
      <c r="E52" s="367"/>
      <c r="F52" s="368"/>
      <c r="G52" s="368"/>
      <c r="H52" s="366"/>
      <c r="I52" s="367"/>
      <c r="J52" s="366"/>
      <c r="K52" s="367"/>
      <c r="L52" s="511"/>
      <c r="M52" s="487"/>
      <c r="N52" s="512"/>
      <c r="O52" s="488"/>
      <c r="P52" s="511"/>
      <c r="Q52" s="488"/>
      <c r="R52" s="511"/>
      <c r="S52" s="488"/>
      <c r="T52" s="511"/>
      <c r="U52" s="508"/>
      <c r="V52" s="509"/>
      <c r="W52" s="510"/>
      <c r="X52" s="511"/>
      <c r="Y52" s="508"/>
      <c r="Z52" s="511"/>
      <c r="AA52" s="508"/>
      <c r="AB52" s="511"/>
      <c r="AC52" s="508"/>
      <c r="AD52" s="511"/>
      <c r="AE52" s="511"/>
      <c r="AF52" s="483"/>
      <c r="AG52" s="484"/>
      <c r="AH52" s="522">
        <f>AH51*300</f>
        <v>5370600</v>
      </c>
      <c r="AI52" s="530"/>
      <c r="AJ52" s="507"/>
      <c r="AK52" s="508"/>
      <c r="AL52" s="512"/>
      <c r="AM52" s="508"/>
      <c r="AN52" s="512"/>
      <c r="AO52" s="508"/>
      <c r="AP52" s="512"/>
      <c r="AQ52" s="508"/>
      <c r="AR52" s="481"/>
      <c r="AS52" s="482"/>
      <c r="AT52" s="342">
        <f>AR52+AH52+AF52+V52</f>
        <v>5370600</v>
      </c>
      <c r="AU52" s="321"/>
    </row>
    <row r="53" spans="1:47" ht="16.5" customHeight="1">
      <c r="A53" s="45" t="s">
        <v>214</v>
      </c>
      <c r="B53" s="40"/>
      <c r="C53" s="344"/>
      <c r="D53" s="345"/>
      <c r="E53" s="344"/>
      <c r="F53" s="40"/>
      <c r="G53" s="40"/>
      <c r="H53" s="345"/>
      <c r="I53" s="344"/>
      <c r="J53" s="345"/>
      <c r="K53" s="344"/>
      <c r="L53" s="12"/>
      <c r="M53" s="12"/>
      <c r="N53" s="361"/>
      <c r="O53" s="13"/>
      <c r="P53" s="12"/>
      <c r="Q53" s="13"/>
      <c r="R53" s="12"/>
      <c r="S53" s="13"/>
      <c r="T53" s="12"/>
      <c r="U53" s="13"/>
      <c r="V53" s="370"/>
      <c r="W53" s="371"/>
      <c r="X53" s="12"/>
      <c r="Y53" s="13"/>
      <c r="Z53" s="12"/>
      <c r="AA53" s="13"/>
      <c r="AB53" s="12"/>
      <c r="AC53" s="13"/>
      <c r="AD53" s="12"/>
      <c r="AE53" s="12"/>
      <c r="AF53" s="356"/>
      <c r="AG53" s="357"/>
      <c r="AH53" s="372">
        <f>17902/5000</f>
        <v>3.5804</v>
      </c>
      <c r="AI53" s="373"/>
      <c r="AJ53" s="360"/>
      <c r="AK53" s="13"/>
      <c r="AL53" s="361"/>
      <c r="AM53" s="13"/>
      <c r="AN53" s="361"/>
      <c r="AO53" s="13"/>
      <c r="AP53" s="361"/>
      <c r="AQ53" s="13"/>
      <c r="AR53" s="362"/>
      <c r="AS53" s="363"/>
      <c r="AT53" s="364">
        <f>V53+AF53+AH53+AR53</f>
        <v>3.5804</v>
      </c>
      <c r="AU53" s="338" t="s">
        <v>14</v>
      </c>
    </row>
    <row r="54" spans="1:47" ht="16.5" customHeight="1" thickBot="1">
      <c r="A54" s="47" t="s">
        <v>215</v>
      </c>
      <c r="B54" s="368"/>
      <c r="C54" s="367"/>
      <c r="D54" s="366"/>
      <c r="E54" s="367"/>
      <c r="F54" s="368"/>
      <c r="G54" s="368"/>
      <c r="H54" s="366"/>
      <c r="I54" s="367"/>
      <c r="J54" s="366"/>
      <c r="K54" s="367"/>
      <c r="L54" s="511"/>
      <c r="M54" s="487"/>
      <c r="N54" s="512"/>
      <c r="O54" s="488"/>
      <c r="P54" s="511"/>
      <c r="Q54" s="488"/>
      <c r="R54" s="511"/>
      <c r="S54" s="488"/>
      <c r="T54" s="511"/>
      <c r="U54" s="508"/>
      <c r="V54" s="509"/>
      <c r="W54" s="510"/>
      <c r="X54" s="511"/>
      <c r="Y54" s="508"/>
      <c r="Z54" s="511"/>
      <c r="AA54" s="508"/>
      <c r="AB54" s="511"/>
      <c r="AC54" s="508"/>
      <c r="AD54" s="511"/>
      <c r="AE54" s="511"/>
      <c r="AF54" s="483"/>
      <c r="AG54" s="484"/>
      <c r="AH54" s="522">
        <f>AH53*3950000/2</f>
        <v>7071290</v>
      </c>
      <c r="AI54" s="530"/>
      <c r="AJ54" s="507"/>
      <c r="AK54" s="508"/>
      <c r="AL54" s="512"/>
      <c r="AM54" s="508"/>
      <c r="AN54" s="512"/>
      <c r="AO54" s="508"/>
      <c r="AP54" s="512"/>
      <c r="AQ54" s="508"/>
      <c r="AR54" s="481"/>
      <c r="AS54" s="482"/>
      <c r="AT54" s="342">
        <f>AR54+AH54+AF54+V54</f>
        <v>7071290</v>
      </c>
      <c r="AU54" s="321"/>
    </row>
    <row r="55" spans="1:47" ht="16.5" customHeight="1">
      <c r="A55" s="45" t="s">
        <v>216</v>
      </c>
      <c r="B55" s="40"/>
      <c r="C55" s="344"/>
      <c r="D55" s="345"/>
      <c r="E55" s="344"/>
      <c r="F55" s="40"/>
      <c r="G55" s="40"/>
      <c r="H55" s="345"/>
      <c r="I55" s="344"/>
      <c r="J55" s="345"/>
      <c r="K55" s="344"/>
      <c r="L55" s="12"/>
      <c r="M55" s="12"/>
      <c r="N55" s="361"/>
      <c r="O55" s="13"/>
      <c r="P55" s="12"/>
      <c r="Q55" s="13"/>
      <c r="R55" s="12"/>
      <c r="S55" s="13"/>
      <c r="T55" s="12"/>
      <c r="U55" s="13"/>
      <c r="V55" s="370"/>
      <c r="W55" s="371"/>
      <c r="X55" s="12"/>
      <c r="Y55" s="13"/>
      <c r="Z55" s="12"/>
      <c r="AA55" s="13"/>
      <c r="AB55" s="12"/>
      <c r="AC55" s="13"/>
      <c r="AD55" s="12"/>
      <c r="AE55" s="12"/>
      <c r="AF55" s="356"/>
      <c r="AG55" s="357"/>
      <c r="AH55" s="358">
        <v>3026</v>
      </c>
      <c r="AI55" s="373" t="s">
        <v>14</v>
      </c>
      <c r="AJ55" s="360"/>
      <c r="AK55" s="13"/>
      <c r="AL55" s="361"/>
      <c r="AM55" s="13"/>
      <c r="AN55" s="361"/>
      <c r="AO55" s="13"/>
      <c r="AP55" s="361"/>
      <c r="AQ55" s="13"/>
      <c r="AR55" s="362"/>
      <c r="AS55" s="363"/>
      <c r="AT55" s="337">
        <f>V55+AF55+AH55+AR55</f>
        <v>3026</v>
      </c>
      <c r="AU55" s="338" t="s">
        <v>14</v>
      </c>
    </row>
    <row r="56" spans="1:47" ht="16.5" customHeight="1" thickBot="1">
      <c r="A56" s="44" t="s">
        <v>217</v>
      </c>
      <c r="B56" s="368"/>
      <c r="C56" s="367"/>
      <c r="D56" s="366"/>
      <c r="E56" s="367"/>
      <c r="F56" s="368"/>
      <c r="G56" s="368"/>
      <c r="H56" s="366"/>
      <c r="I56" s="367"/>
      <c r="J56" s="366"/>
      <c r="K56" s="367"/>
      <c r="L56" s="511"/>
      <c r="M56" s="487"/>
      <c r="N56" s="512"/>
      <c r="O56" s="488"/>
      <c r="P56" s="511"/>
      <c r="Q56" s="488"/>
      <c r="R56" s="511"/>
      <c r="S56" s="488"/>
      <c r="T56" s="511"/>
      <c r="U56" s="508"/>
      <c r="V56" s="509"/>
      <c r="W56" s="510"/>
      <c r="X56" s="511"/>
      <c r="Y56" s="508"/>
      <c r="Z56" s="511"/>
      <c r="AA56" s="508"/>
      <c r="AB56" s="511"/>
      <c r="AC56" s="508"/>
      <c r="AD56" s="511"/>
      <c r="AE56" s="511"/>
      <c r="AF56" s="483"/>
      <c r="AG56" s="484"/>
      <c r="AH56" s="522">
        <f>AH55*1200</f>
        <v>3631200</v>
      </c>
      <c r="AI56" s="530"/>
      <c r="AJ56" s="507"/>
      <c r="AK56" s="508"/>
      <c r="AL56" s="512"/>
      <c r="AM56" s="508"/>
      <c r="AN56" s="512"/>
      <c r="AO56" s="508"/>
      <c r="AP56" s="512"/>
      <c r="AQ56" s="508"/>
      <c r="AR56" s="481"/>
      <c r="AS56" s="482"/>
      <c r="AT56" s="342">
        <f>AR56+AH56+AF56+V56</f>
        <v>3631200</v>
      </c>
      <c r="AU56" s="321"/>
    </row>
    <row r="57" spans="1:47" ht="16.5" customHeight="1">
      <c r="A57" s="45" t="s">
        <v>218</v>
      </c>
      <c r="B57" s="40"/>
      <c r="C57" s="344"/>
      <c r="D57" s="345"/>
      <c r="E57" s="344"/>
      <c r="F57" s="40"/>
      <c r="G57" s="40"/>
      <c r="H57" s="345"/>
      <c r="I57" s="344"/>
      <c r="J57" s="345"/>
      <c r="K57" s="344"/>
      <c r="L57" s="12"/>
      <c r="M57" s="12"/>
      <c r="N57" s="361"/>
      <c r="O57" s="13"/>
      <c r="P57" s="12"/>
      <c r="Q57" s="13"/>
      <c r="R57" s="12"/>
      <c r="S57" s="13"/>
      <c r="T57" s="12"/>
      <c r="U57" s="13"/>
      <c r="V57" s="370"/>
      <c r="W57" s="371"/>
      <c r="X57" s="12"/>
      <c r="Y57" s="13"/>
      <c r="Z57" s="12"/>
      <c r="AA57" s="13"/>
      <c r="AB57" s="12"/>
      <c r="AC57" s="13"/>
      <c r="AD57" s="12"/>
      <c r="AE57" s="12"/>
      <c r="AF57" s="356"/>
      <c r="AG57" s="357"/>
      <c r="AH57" s="358">
        <v>192</v>
      </c>
      <c r="AI57" s="373" t="s">
        <v>14</v>
      </c>
      <c r="AJ57" s="360"/>
      <c r="AK57" s="13"/>
      <c r="AL57" s="361"/>
      <c r="AM57" s="13"/>
      <c r="AN57" s="361"/>
      <c r="AO57" s="13"/>
      <c r="AP57" s="361"/>
      <c r="AQ57" s="13"/>
      <c r="AR57" s="362"/>
      <c r="AS57" s="363"/>
      <c r="AT57" s="337">
        <f>V57+AF57+AH57+AR57</f>
        <v>192</v>
      </c>
      <c r="AU57" s="338" t="s">
        <v>14</v>
      </c>
    </row>
    <row r="58" spans="1:48" ht="16.5" customHeight="1" thickBot="1">
      <c r="A58" s="25" t="s">
        <v>219</v>
      </c>
      <c r="B58" s="368"/>
      <c r="C58" s="367"/>
      <c r="D58" s="366"/>
      <c r="E58" s="367"/>
      <c r="F58" s="368"/>
      <c r="G58" s="368"/>
      <c r="H58" s="366"/>
      <c r="I58" s="367"/>
      <c r="J58" s="366"/>
      <c r="K58" s="367"/>
      <c r="L58" s="511"/>
      <c r="M58" s="487"/>
      <c r="N58" s="512"/>
      <c r="O58" s="488"/>
      <c r="P58" s="511"/>
      <c r="Q58" s="488"/>
      <c r="R58" s="511"/>
      <c r="S58" s="488"/>
      <c r="T58" s="511"/>
      <c r="U58" s="508"/>
      <c r="V58" s="509"/>
      <c r="W58" s="510"/>
      <c r="X58" s="511"/>
      <c r="Y58" s="508"/>
      <c r="Z58" s="511"/>
      <c r="AA58" s="508"/>
      <c r="AB58" s="511"/>
      <c r="AC58" s="508"/>
      <c r="AD58" s="511"/>
      <c r="AE58" s="511"/>
      <c r="AF58" s="483"/>
      <c r="AG58" s="484"/>
      <c r="AH58" s="522">
        <f>AH57*55360</f>
        <v>10629120</v>
      </c>
      <c r="AI58" s="530"/>
      <c r="AJ58" s="507"/>
      <c r="AK58" s="508"/>
      <c r="AL58" s="512"/>
      <c r="AM58" s="508"/>
      <c r="AN58" s="512"/>
      <c r="AO58" s="508"/>
      <c r="AP58" s="512"/>
      <c r="AQ58" s="508"/>
      <c r="AR58" s="481"/>
      <c r="AS58" s="482"/>
      <c r="AT58" s="342">
        <f>AR58+AH58+AF58+V58</f>
        <v>10629120</v>
      </c>
      <c r="AU58" s="321"/>
      <c r="AV58" s="3"/>
    </row>
    <row r="59" spans="1:47" ht="16.5" customHeight="1">
      <c r="A59" s="45" t="s">
        <v>220</v>
      </c>
      <c r="B59" s="40"/>
      <c r="C59" s="344"/>
      <c r="D59" s="345"/>
      <c r="E59" s="344"/>
      <c r="F59" s="40"/>
      <c r="G59" s="40"/>
      <c r="H59" s="345"/>
      <c r="I59" s="344"/>
      <c r="J59" s="345"/>
      <c r="K59" s="344"/>
      <c r="L59" s="12"/>
      <c r="M59" s="12"/>
      <c r="N59" s="361"/>
      <c r="O59" s="13"/>
      <c r="P59" s="12"/>
      <c r="Q59" s="13"/>
      <c r="R59" s="12"/>
      <c r="S59" s="13"/>
      <c r="T59" s="12"/>
      <c r="U59" s="13"/>
      <c r="V59" s="370"/>
      <c r="W59" s="371"/>
      <c r="X59" s="12"/>
      <c r="Y59" s="13"/>
      <c r="Z59" s="12"/>
      <c r="AA59" s="13"/>
      <c r="AB59" s="12"/>
      <c r="AC59" s="13"/>
      <c r="AD59" s="12"/>
      <c r="AE59" s="12"/>
      <c r="AF59" s="356"/>
      <c r="AG59" s="357"/>
      <c r="AH59" s="358">
        <v>192</v>
      </c>
      <c r="AI59" s="373" t="s">
        <v>14</v>
      </c>
      <c r="AJ59" s="360"/>
      <c r="AK59" s="13"/>
      <c r="AL59" s="361"/>
      <c r="AM59" s="13"/>
      <c r="AN59" s="361"/>
      <c r="AO59" s="13"/>
      <c r="AP59" s="361"/>
      <c r="AQ59" s="13"/>
      <c r="AR59" s="362"/>
      <c r="AS59" s="363"/>
      <c r="AT59" s="337">
        <f>V59+AF59+AH59+AR59</f>
        <v>192</v>
      </c>
      <c r="AU59" s="338" t="s">
        <v>14</v>
      </c>
    </row>
    <row r="60" spans="1:47" ht="16.5" customHeight="1" thickBot="1">
      <c r="A60" s="25" t="s">
        <v>221</v>
      </c>
      <c r="B60" s="368"/>
      <c r="C60" s="367"/>
      <c r="D60" s="366"/>
      <c r="E60" s="367"/>
      <c r="F60" s="368"/>
      <c r="G60" s="368"/>
      <c r="H60" s="366"/>
      <c r="I60" s="367"/>
      <c r="J60" s="366"/>
      <c r="K60" s="367"/>
      <c r="L60" s="511"/>
      <c r="M60" s="487"/>
      <c r="N60" s="512"/>
      <c r="O60" s="488"/>
      <c r="P60" s="511"/>
      <c r="Q60" s="488"/>
      <c r="R60" s="511"/>
      <c r="S60" s="488"/>
      <c r="T60" s="511"/>
      <c r="U60" s="508"/>
      <c r="V60" s="509"/>
      <c r="W60" s="510"/>
      <c r="X60" s="511"/>
      <c r="Y60" s="508"/>
      <c r="Z60" s="511"/>
      <c r="AA60" s="508"/>
      <c r="AB60" s="511"/>
      <c r="AC60" s="508"/>
      <c r="AD60" s="511"/>
      <c r="AE60" s="511"/>
      <c r="AF60" s="483"/>
      <c r="AG60" s="484"/>
      <c r="AH60" s="522">
        <f>AH59*5536</f>
        <v>1062912</v>
      </c>
      <c r="AI60" s="530"/>
      <c r="AJ60" s="507"/>
      <c r="AK60" s="508"/>
      <c r="AL60" s="512"/>
      <c r="AM60" s="508"/>
      <c r="AN60" s="512"/>
      <c r="AO60" s="508"/>
      <c r="AP60" s="512"/>
      <c r="AQ60" s="508"/>
      <c r="AR60" s="481"/>
      <c r="AS60" s="482"/>
      <c r="AT60" s="342">
        <f>AR60+AH60+AF60+V60</f>
        <v>1062912</v>
      </c>
      <c r="AU60" s="321"/>
    </row>
    <row r="61" spans="1:47" ht="16.5" customHeight="1">
      <c r="A61" s="45" t="s">
        <v>222</v>
      </c>
      <c r="B61" s="40"/>
      <c r="C61" s="344"/>
      <c r="D61" s="345"/>
      <c r="E61" s="344"/>
      <c r="F61" s="40"/>
      <c r="G61" s="40"/>
      <c r="H61" s="345"/>
      <c r="I61" s="344"/>
      <c r="J61" s="345"/>
      <c r="K61" s="344"/>
      <c r="L61" s="12"/>
      <c r="M61" s="12"/>
      <c r="N61" s="361"/>
      <c r="O61" s="13"/>
      <c r="P61" s="12"/>
      <c r="Q61" s="13"/>
      <c r="R61" s="12"/>
      <c r="S61" s="13"/>
      <c r="T61" s="12"/>
      <c r="U61" s="13"/>
      <c r="V61" s="370"/>
      <c r="W61" s="371"/>
      <c r="X61" s="12"/>
      <c r="Y61" s="13"/>
      <c r="Z61" s="12"/>
      <c r="AA61" s="13"/>
      <c r="AB61" s="12"/>
      <c r="AC61" s="13"/>
      <c r="AD61" s="12"/>
      <c r="AE61" s="12"/>
      <c r="AF61" s="356"/>
      <c r="AG61" s="357"/>
      <c r="AH61" s="358">
        <v>25</v>
      </c>
      <c r="AI61" s="373" t="s">
        <v>14</v>
      </c>
      <c r="AJ61" s="360"/>
      <c r="AK61" s="13"/>
      <c r="AL61" s="361"/>
      <c r="AM61" s="13"/>
      <c r="AN61" s="361"/>
      <c r="AO61" s="13"/>
      <c r="AP61" s="361"/>
      <c r="AQ61" s="13"/>
      <c r="AR61" s="362"/>
      <c r="AS61" s="363"/>
      <c r="AT61" s="337">
        <f>V61+AF61+AH61+AR61</f>
        <v>25</v>
      </c>
      <c r="AU61" s="338" t="s">
        <v>14</v>
      </c>
    </row>
    <row r="62" spans="1:47" ht="16.5" customHeight="1" thickBot="1">
      <c r="A62" s="47" t="s">
        <v>223</v>
      </c>
      <c r="B62" s="368"/>
      <c r="C62" s="367"/>
      <c r="D62" s="366"/>
      <c r="E62" s="367"/>
      <c r="F62" s="368"/>
      <c r="G62" s="368"/>
      <c r="H62" s="366"/>
      <c r="I62" s="367"/>
      <c r="J62" s="366"/>
      <c r="K62" s="367"/>
      <c r="L62" s="511"/>
      <c r="M62" s="487"/>
      <c r="N62" s="512"/>
      <c r="O62" s="488"/>
      <c r="P62" s="511"/>
      <c r="Q62" s="488"/>
      <c r="R62" s="511"/>
      <c r="S62" s="488"/>
      <c r="T62" s="511"/>
      <c r="U62" s="508"/>
      <c r="V62" s="509"/>
      <c r="W62" s="510"/>
      <c r="X62" s="511"/>
      <c r="Y62" s="508"/>
      <c r="Z62" s="511"/>
      <c r="AA62" s="508"/>
      <c r="AB62" s="511"/>
      <c r="AC62" s="508"/>
      <c r="AD62" s="511"/>
      <c r="AE62" s="511"/>
      <c r="AF62" s="483"/>
      <c r="AG62" s="484"/>
      <c r="AH62" s="522">
        <f>AH61*145000</f>
        <v>3625000</v>
      </c>
      <c r="AI62" s="530"/>
      <c r="AJ62" s="507"/>
      <c r="AK62" s="508"/>
      <c r="AL62" s="512"/>
      <c r="AM62" s="508"/>
      <c r="AN62" s="512"/>
      <c r="AO62" s="508"/>
      <c r="AP62" s="512"/>
      <c r="AQ62" s="508"/>
      <c r="AR62" s="481"/>
      <c r="AS62" s="482"/>
      <c r="AT62" s="342">
        <f>AR62+AH62+AF62+V62</f>
        <v>3625000</v>
      </c>
      <c r="AU62" s="321"/>
    </row>
    <row r="63" spans="1:47" ht="16.5" customHeight="1">
      <c r="A63" s="45" t="s">
        <v>224</v>
      </c>
      <c r="B63" s="40"/>
      <c r="C63" s="344"/>
      <c r="D63" s="345"/>
      <c r="E63" s="344"/>
      <c r="F63" s="40"/>
      <c r="G63" s="40"/>
      <c r="H63" s="345"/>
      <c r="I63" s="344"/>
      <c r="J63" s="345"/>
      <c r="K63" s="344"/>
      <c r="L63" s="12"/>
      <c r="M63" s="12"/>
      <c r="N63" s="361"/>
      <c r="O63" s="13"/>
      <c r="P63" s="12"/>
      <c r="Q63" s="13"/>
      <c r="R63" s="12"/>
      <c r="S63" s="13"/>
      <c r="T63" s="12"/>
      <c r="U63" s="13"/>
      <c r="V63" s="370"/>
      <c r="W63" s="371"/>
      <c r="X63" s="12"/>
      <c r="Y63" s="13"/>
      <c r="Z63" s="12"/>
      <c r="AA63" s="13"/>
      <c r="AB63" s="12"/>
      <c r="AC63" s="13"/>
      <c r="AD63" s="12"/>
      <c r="AE63" s="12"/>
      <c r="AF63" s="356"/>
      <c r="AG63" s="357"/>
      <c r="AH63" s="358">
        <v>25</v>
      </c>
      <c r="AI63" s="373" t="s">
        <v>14</v>
      </c>
      <c r="AJ63" s="360"/>
      <c r="AK63" s="13"/>
      <c r="AL63" s="361"/>
      <c r="AM63" s="13"/>
      <c r="AN63" s="361"/>
      <c r="AO63" s="13"/>
      <c r="AP63" s="361"/>
      <c r="AQ63" s="13"/>
      <c r="AR63" s="362"/>
      <c r="AS63" s="363"/>
      <c r="AT63" s="364">
        <f>V63+AF63+AH63+AR63</f>
        <v>25</v>
      </c>
      <c r="AU63" s="338" t="s">
        <v>14</v>
      </c>
    </row>
    <row r="64" spans="1:47" ht="16.5" customHeight="1" thickBot="1">
      <c r="A64" s="25" t="s">
        <v>225</v>
      </c>
      <c r="B64" s="368"/>
      <c r="C64" s="367"/>
      <c r="D64" s="366"/>
      <c r="E64" s="367"/>
      <c r="F64" s="368"/>
      <c r="G64" s="368"/>
      <c r="H64" s="366"/>
      <c r="I64" s="367"/>
      <c r="J64" s="366"/>
      <c r="K64" s="367"/>
      <c r="L64" s="511"/>
      <c r="M64" s="487"/>
      <c r="N64" s="512"/>
      <c r="O64" s="488"/>
      <c r="P64" s="511"/>
      <c r="Q64" s="488"/>
      <c r="R64" s="511"/>
      <c r="S64" s="488"/>
      <c r="T64" s="511"/>
      <c r="U64" s="508"/>
      <c r="V64" s="509"/>
      <c r="W64" s="510"/>
      <c r="X64" s="511"/>
      <c r="Y64" s="508"/>
      <c r="Z64" s="511"/>
      <c r="AA64" s="508"/>
      <c r="AB64" s="511"/>
      <c r="AC64" s="508"/>
      <c r="AD64" s="511"/>
      <c r="AE64" s="511"/>
      <c r="AF64" s="483"/>
      <c r="AG64" s="484"/>
      <c r="AH64" s="522">
        <f>AH63*43500</f>
        <v>1087500</v>
      </c>
      <c r="AI64" s="530"/>
      <c r="AJ64" s="507"/>
      <c r="AK64" s="508"/>
      <c r="AL64" s="512"/>
      <c r="AM64" s="508"/>
      <c r="AN64" s="512"/>
      <c r="AO64" s="508"/>
      <c r="AP64" s="512"/>
      <c r="AQ64" s="508"/>
      <c r="AR64" s="481"/>
      <c r="AS64" s="482"/>
      <c r="AT64" s="342">
        <f>AR64+AH64+AF64+V64</f>
        <v>1087500</v>
      </c>
      <c r="AU64" s="321"/>
    </row>
    <row r="65" spans="1:47" ht="16.5" customHeight="1">
      <c r="A65" s="45" t="s">
        <v>226</v>
      </c>
      <c r="B65" s="40"/>
      <c r="C65" s="344"/>
      <c r="D65" s="345"/>
      <c r="E65" s="344"/>
      <c r="F65" s="40"/>
      <c r="G65" s="40"/>
      <c r="H65" s="345"/>
      <c r="I65" s="344"/>
      <c r="J65" s="345"/>
      <c r="K65" s="344"/>
      <c r="L65" s="12"/>
      <c r="M65" s="12"/>
      <c r="N65" s="361"/>
      <c r="O65" s="13"/>
      <c r="P65" s="12"/>
      <c r="Q65" s="13"/>
      <c r="R65" s="12"/>
      <c r="S65" s="13"/>
      <c r="T65" s="12"/>
      <c r="U65" s="13"/>
      <c r="V65" s="370"/>
      <c r="W65" s="371"/>
      <c r="X65" s="12"/>
      <c r="Y65" s="13"/>
      <c r="Z65" s="12"/>
      <c r="AA65" s="13"/>
      <c r="AB65" s="12"/>
      <c r="AC65" s="13"/>
      <c r="AD65" s="12"/>
      <c r="AE65" s="12"/>
      <c r="AF65" s="356"/>
      <c r="AG65" s="357"/>
      <c r="AH65" s="358">
        <v>12</v>
      </c>
      <c r="AI65" s="374" t="s">
        <v>358</v>
      </c>
      <c r="AJ65" s="360"/>
      <c r="AK65" s="13"/>
      <c r="AL65" s="361"/>
      <c r="AM65" s="13"/>
      <c r="AN65" s="361"/>
      <c r="AO65" s="13"/>
      <c r="AP65" s="361"/>
      <c r="AQ65" s="13"/>
      <c r="AR65" s="362"/>
      <c r="AS65" s="363"/>
      <c r="AT65" s="337">
        <f>V65+AF65+AH65+AR65</f>
        <v>12</v>
      </c>
      <c r="AU65" s="338" t="s">
        <v>227</v>
      </c>
    </row>
    <row r="66" spans="1:47" ht="16.5" customHeight="1" thickBot="1">
      <c r="A66" s="47" t="s">
        <v>228</v>
      </c>
      <c r="B66" s="368"/>
      <c r="C66" s="367"/>
      <c r="D66" s="366"/>
      <c r="E66" s="367"/>
      <c r="F66" s="368"/>
      <c r="G66" s="368"/>
      <c r="H66" s="366"/>
      <c r="I66" s="367"/>
      <c r="J66" s="366"/>
      <c r="K66" s="367"/>
      <c r="L66" s="511"/>
      <c r="M66" s="487"/>
      <c r="N66" s="512"/>
      <c r="O66" s="488"/>
      <c r="P66" s="511"/>
      <c r="Q66" s="488"/>
      <c r="R66" s="511"/>
      <c r="S66" s="488"/>
      <c r="T66" s="511"/>
      <c r="U66" s="508"/>
      <c r="V66" s="509"/>
      <c r="W66" s="510"/>
      <c r="X66" s="511"/>
      <c r="Y66" s="508"/>
      <c r="Z66" s="511"/>
      <c r="AA66" s="508"/>
      <c r="AB66" s="511"/>
      <c r="AC66" s="508"/>
      <c r="AD66" s="511"/>
      <c r="AE66" s="511"/>
      <c r="AF66" s="483"/>
      <c r="AG66" s="484"/>
      <c r="AH66" s="522">
        <f>2500000</f>
        <v>2500000</v>
      </c>
      <c r="AI66" s="530"/>
      <c r="AJ66" s="507"/>
      <c r="AK66" s="508"/>
      <c r="AL66" s="512"/>
      <c r="AM66" s="508"/>
      <c r="AN66" s="512"/>
      <c r="AO66" s="508"/>
      <c r="AP66" s="512"/>
      <c r="AQ66" s="508"/>
      <c r="AR66" s="481"/>
      <c r="AS66" s="482"/>
      <c r="AT66" s="342">
        <f>AR66+AH66+AF66+V66</f>
        <v>2500000</v>
      </c>
      <c r="AU66" s="321"/>
    </row>
    <row r="67" spans="1:47" ht="16.5" customHeight="1">
      <c r="A67" s="45" t="s">
        <v>229</v>
      </c>
      <c r="B67" s="40"/>
      <c r="C67" s="344"/>
      <c r="D67" s="345"/>
      <c r="E67" s="344"/>
      <c r="F67" s="40"/>
      <c r="G67" s="40"/>
      <c r="H67" s="345"/>
      <c r="I67" s="344"/>
      <c r="J67" s="345"/>
      <c r="K67" s="344"/>
      <c r="L67" s="12"/>
      <c r="M67" s="12"/>
      <c r="N67" s="361"/>
      <c r="O67" s="13"/>
      <c r="P67" s="12"/>
      <c r="Q67" s="13"/>
      <c r="R67" s="12"/>
      <c r="S67" s="13"/>
      <c r="T67" s="12"/>
      <c r="U67" s="13"/>
      <c r="V67" s="370"/>
      <c r="W67" s="371"/>
      <c r="X67" s="12"/>
      <c r="Y67" s="13"/>
      <c r="Z67" s="12"/>
      <c r="AA67" s="13"/>
      <c r="AB67" s="12"/>
      <c r="AC67" s="13"/>
      <c r="AD67" s="12"/>
      <c r="AE67" s="12"/>
      <c r="AF67" s="356"/>
      <c r="AG67" s="357"/>
      <c r="AH67" s="358">
        <v>59</v>
      </c>
      <c r="AI67" s="373" t="s">
        <v>14</v>
      </c>
      <c r="AJ67" s="360"/>
      <c r="AK67" s="13"/>
      <c r="AL67" s="361"/>
      <c r="AM67" s="13"/>
      <c r="AN67" s="361"/>
      <c r="AO67" s="13"/>
      <c r="AP67" s="361"/>
      <c r="AQ67" s="13"/>
      <c r="AR67" s="362"/>
      <c r="AS67" s="363"/>
      <c r="AT67" s="337">
        <f>V67+AF67+AH67+AR67</f>
        <v>59</v>
      </c>
      <c r="AU67" s="338" t="s">
        <v>14</v>
      </c>
    </row>
    <row r="68" spans="1:48" ht="16.5" customHeight="1" thickBot="1">
      <c r="A68" s="25" t="s">
        <v>230</v>
      </c>
      <c r="B68" s="368"/>
      <c r="C68" s="367"/>
      <c r="D68" s="366"/>
      <c r="E68" s="367"/>
      <c r="F68" s="368"/>
      <c r="G68" s="368"/>
      <c r="H68" s="366"/>
      <c r="I68" s="367"/>
      <c r="J68" s="366"/>
      <c r="K68" s="367"/>
      <c r="L68" s="544"/>
      <c r="M68" s="545"/>
      <c r="N68" s="546"/>
      <c r="O68" s="547"/>
      <c r="P68" s="544"/>
      <c r="Q68" s="547"/>
      <c r="R68" s="544"/>
      <c r="S68" s="547"/>
      <c r="T68" s="544"/>
      <c r="U68" s="548"/>
      <c r="V68" s="509"/>
      <c r="W68" s="510"/>
      <c r="X68" s="511"/>
      <c r="Y68" s="508"/>
      <c r="Z68" s="511"/>
      <c r="AA68" s="508"/>
      <c r="AB68" s="511"/>
      <c r="AC68" s="508"/>
      <c r="AD68" s="511"/>
      <c r="AE68" s="511"/>
      <c r="AF68" s="483"/>
      <c r="AG68" s="484"/>
      <c r="AH68" s="522">
        <f>AH67*109000</f>
        <v>6431000</v>
      </c>
      <c r="AI68" s="530"/>
      <c r="AJ68" s="543"/>
      <c r="AK68" s="542"/>
      <c r="AL68" s="541"/>
      <c r="AM68" s="542"/>
      <c r="AN68" s="541"/>
      <c r="AO68" s="542"/>
      <c r="AP68" s="541"/>
      <c r="AQ68" s="542"/>
      <c r="AR68" s="481"/>
      <c r="AS68" s="482"/>
      <c r="AT68" s="342">
        <f>AR68+AH68+AF68+V68</f>
        <v>6431000</v>
      </c>
      <c r="AU68" s="321"/>
      <c r="AV68" s="3"/>
    </row>
    <row r="69" spans="1:47" ht="16.5" customHeight="1">
      <c r="A69" s="45" t="s">
        <v>231</v>
      </c>
      <c r="B69" s="40"/>
      <c r="C69" s="344"/>
      <c r="D69" s="345"/>
      <c r="E69" s="344"/>
      <c r="F69" s="40"/>
      <c r="G69" s="40"/>
      <c r="H69" s="345"/>
      <c r="I69" s="344"/>
      <c r="J69" s="345"/>
      <c r="K69" s="344"/>
      <c r="L69" s="355"/>
      <c r="M69" s="26"/>
      <c r="N69" s="355"/>
      <c r="O69" s="24"/>
      <c r="P69" s="26"/>
      <c r="Q69" s="24"/>
      <c r="R69" s="26"/>
      <c r="S69" s="24"/>
      <c r="T69" s="26"/>
      <c r="U69" s="24"/>
      <c r="V69" s="370"/>
      <c r="W69" s="371"/>
      <c r="X69" s="12"/>
      <c r="Y69" s="13"/>
      <c r="Z69" s="12"/>
      <c r="AA69" s="13"/>
      <c r="AB69" s="12"/>
      <c r="AC69" s="13"/>
      <c r="AD69" s="12"/>
      <c r="AE69" s="12"/>
      <c r="AF69" s="356"/>
      <c r="AG69" s="357"/>
      <c r="AH69" s="358">
        <v>59</v>
      </c>
      <c r="AI69" s="373" t="s">
        <v>14</v>
      </c>
      <c r="AJ69" s="360"/>
      <c r="AK69" s="13"/>
      <c r="AL69" s="361"/>
      <c r="AM69" s="13"/>
      <c r="AN69" s="361"/>
      <c r="AO69" s="13"/>
      <c r="AP69" s="361"/>
      <c r="AQ69" s="13"/>
      <c r="AR69" s="362"/>
      <c r="AS69" s="363"/>
      <c r="AT69" s="337">
        <f>V69+AF69+AH69+AR69</f>
        <v>59</v>
      </c>
      <c r="AU69" s="338" t="s">
        <v>14</v>
      </c>
    </row>
    <row r="70" spans="1:47" ht="16.5" customHeight="1" thickBot="1">
      <c r="A70" s="25" t="s">
        <v>232</v>
      </c>
      <c r="B70" s="368"/>
      <c r="C70" s="367"/>
      <c r="D70" s="366"/>
      <c r="E70" s="367"/>
      <c r="F70" s="368"/>
      <c r="G70" s="368"/>
      <c r="H70" s="366"/>
      <c r="I70" s="367"/>
      <c r="J70" s="366"/>
      <c r="K70" s="367"/>
      <c r="L70" s="512"/>
      <c r="M70" s="487"/>
      <c r="N70" s="512"/>
      <c r="O70" s="488"/>
      <c r="P70" s="511"/>
      <c r="Q70" s="488"/>
      <c r="R70" s="511"/>
      <c r="S70" s="488"/>
      <c r="T70" s="511"/>
      <c r="U70" s="508"/>
      <c r="V70" s="509"/>
      <c r="W70" s="510"/>
      <c r="X70" s="511"/>
      <c r="Y70" s="508"/>
      <c r="Z70" s="511"/>
      <c r="AA70" s="508"/>
      <c r="AB70" s="511"/>
      <c r="AC70" s="508"/>
      <c r="AD70" s="511"/>
      <c r="AE70" s="511"/>
      <c r="AF70" s="483"/>
      <c r="AG70" s="484"/>
      <c r="AH70" s="522">
        <f>AH69*54500</f>
        <v>3215500</v>
      </c>
      <c r="AI70" s="530"/>
      <c r="AJ70" s="543"/>
      <c r="AK70" s="542"/>
      <c r="AL70" s="541"/>
      <c r="AM70" s="542"/>
      <c r="AN70" s="541"/>
      <c r="AO70" s="542"/>
      <c r="AP70" s="541"/>
      <c r="AQ70" s="542"/>
      <c r="AR70" s="481"/>
      <c r="AS70" s="482"/>
      <c r="AT70" s="342">
        <f>AR70+AH70+AF70+V70</f>
        <v>3215500</v>
      </c>
      <c r="AU70" s="321"/>
    </row>
    <row r="71" spans="1:47" ht="16.5" customHeight="1">
      <c r="A71" s="343" t="s">
        <v>233</v>
      </c>
      <c r="B71" s="352"/>
      <c r="C71" s="353"/>
      <c r="D71" s="354"/>
      <c r="E71" s="353"/>
      <c r="F71" s="352"/>
      <c r="G71" s="352"/>
      <c r="H71" s="354"/>
      <c r="I71" s="353"/>
      <c r="J71" s="354"/>
      <c r="K71" s="353"/>
      <c r="L71" s="26"/>
      <c r="M71" s="346"/>
      <c r="N71" s="355"/>
      <c r="O71" s="23"/>
      <c r="P71" s="26"/>
      <c r="Q71" s="23"/>
      <c r="R71" s="26"/>
      <c r="S71" s="23"/>
      <c r="T71" s="12"/>
      <c r="U71" s="13"/>
      <c r="V71" s="370"/>
      <c r="W71" s="371"/>
      <c r="X71" s="12"/>
      <c r="Y71" s="13"/>
      <c r="Z71" s="12"/>
      <c r="AA71" s="13"/>
      <c r="AB71" s="12"/>
      <c r="AC71" s="13"/>
      <c r="AD71" s="12"/>
      <c r="AE71" s="12"/>
      <c r="AF71" s="356"/>
      <c r="AG71" s="357"/>
      <c r="AH71" s="375">
        <v>42</v>
      </c>
      <c r="AI71" s="359" t="s">
        <v>14</v>
      </c>
      <c r="AJ71" s="360"/>
      <c r="AK71" s="13"/>
      <c r="AL71" s="361"/>
      <c r="AM71" s="13"/>
      <c r="AN71" s="361"/>
      <c r="AO71" s="13"/>
      <c r="AP71" s="361"/>
      <c r="AQ71" s="13"/>
      <c r="AR71" s="362"/>
      <c r="AS71" s="363"/>
      <c r="AT71" s="337">
        <f>V71+AF71+AH71+AR71</f>
        <v>42</v>
      </c>
      <c r="AU71" s="338" t="s">
        <v>14</v>
      </c>
    </row>
    <row r="72" spans="1:47" ht="16.5" customHeight="1" thickBot="1">
      <c r="A72" s="25" t="s">
        <v>234</v>
      </c>
      <c r="B72" s="368"/>
      <c r="C72" s="367"/>
      <c r="D72" s="366"/>
      <c r="E72" s="367"/>
      <c r="F72" s="368"/>
      <c r="G72" s="368"/>
      <c r="H72" s="366"/>
      <c r="I72" s="367"/>
      <c r="J72" s="366"/>
      <c r="K72" s="367"/>
      <c r="L72" s="511"/>
      <c r="M72" s="511"/>
      <c r="N72" s="512"/>
      <c r="O72" s="508"/>
      <c r="P72" s="511"/>
      <c r="Q72" s="508"/>
      <c r="R72" s="512"/>
      <c r="S72" s="508"/>
      <c r="T72" s="512"/>
      <c r="U72" s="508"/>
      <c r="V72" s="480"/>
      <c r="W72" s="510"/>
      <c r="X72" s="512"/>
      <c r="Y72" s="508"/>
      <c r="Z72" s="512"/>
      <c r="AA72" s="508"/>
      <c r="AB72" s="512"/>
      <c r="AC72" s="508"/>
      <c r="AD72" s="512"/>
      <c r="AE72" s="511"/>
      <c r="AF72" s="483"/>
      <c r="AG72" s="484"/>
      <c r="AH72" s="522">
        <f>AH71*206100</f>
        <v>8656200</v>
      </c>
      <c r="AI72" s="530"/>
      <c r="AJ72" s="507"/>
      <c r="AK72" s="508"/>
      <c r="AL72" s="512"/>
      <c r="AM72" s="508"/>
      <c r="AN72" s="512"/>
      <c r="AO72" s="508"/>
      <c r="AP72" s="512"/>
      <c r="AQ72" s="508"/>
      <c r="AR72" s="481"/>
      <c r="AS72" s="482"/>
      <c r="AT72" s="342">
        <f>AR72+AH72+AF72+V72</f>
        <v>8656200</v>
      </c>
      <c r="AU72" s="321"/>
    </row>
    <row r="73" spans="1:47" ht="16.5" customHeight="1">
      <c r="A73" s="343" t="s">
        <v>235</v>
      </c>
      <c r="B73" s="352"/>
      <c r="C73" s="353"/>
      <c r="D73" s="354"/>
      <c r="E73" s="353"/>
      <c r="F73" s="352"/>
      <c r="G73" s="352"/>
      <c r="H73" s="354"/>
      <c r="I73" s="353"/>
      <c r="J73" s="354"/>
      <c r="K73" s="353"/>
      <c r="L73" s="26"/>
      <c r="M73" s="346"/>
      <c r="N73" s="355"/>
      <c r="O73" s="23"/>
      <c r="P73" s="26"/>
      <c r="Q73" s="23"/>
      <c r="R73" s="26"/>
      <c r="S73" s="23"/>
      <c r="T73" s="12"/>
      <c r="U73" s="13"/>
      <c r="V73" s="370"/>
      <c r="W73" s="371"/>
      <c r="X73" s="12"/>
      <c r="Y73" s="13"/>
      <c r="Z73" s="12"/>
      <c r="AA73" s="13"/>
      <c r="AB73" s="12"/>
      <c r="AC73" s="13"/>
      <c r="AD73" s="12"/>
      <c r="AE73" s="12"/>
      <c r="AF73" s="356"/>
      <c r="AG73" s="357"/>
      <c r="AH73" s="375">
        <v>42</v>
      </c>
      <c r="AI73" s="359" t="s">
        <v>14</v>
      </c>
      <c r="AJ73" s="360"/>
      <c r="AK73" s="13"/>
      <c r="AL73" s="361"/>
      <c r="AM73" s="13"/>
      <c r="AN73" s="361"/>
      <c r="AO73" s="13"/>
      <c r="AP73" s="361"/>
      <c r="AQ73" s="13"/>
      <c r="AR73" s="362"/>
      <c r="AS73" s="363"/>
      <c r="AT73" s="337">
        <f>V73+AF73+AH73+AR73</f>
        <v>42</v>
      </c>
      <c r="AU73" s="338" t="s">
        <v>14</v>
      </c>
    </row>
    <row r="74" spans="1:48" ht="16.5" customHeight="1" thickBot="1">
      <c r="A74" s="25" t="s">
        <v>236</v>
      </c>
      <c r="B74" s="368"/>
      <c r="C74" s="367"/>
      <c r="D74" s="366"/>
      <c r="E74" s="367"/>
      <c r="F74" s="368"/>
      <c r="G74" s="368"/>
      <c r="H74" s="366"/>
      <c r="I74" s="367"/>
      <c r="J74" s="366"/>
      <c r="K74" s="367"/>
      <c r="L74" s="511"/>
      <c r="M74" s="511"/>
      <c r="N74" s="512"/>
      <c r="O74" s="508"/>
      <c r="P74" s="511"/>
      <c r="Q74" s="508"/>
      <c r="R74" s="512"/>
      <c r="S74" s="508"/>
      <c r="T74" s="512"/>
      <c r="U74" s="508"/>
      <c r="V74" s="480"/>
      <c r="W74" s="510"/>
      <c r="X74" s="512"/>
      <c r="Y74" s="508"/>
      <c r="Z74" s="512"/>
      <c r="AA74" s="508"/>
      <c r="AB74" s="512"/>
      <c r="AC74" s="508"/>
      <c r="AD74" s="512"/>
      <c r="AE74" s="511"/>
      <c r="AF74" s="483"/>
      <c r="AG74" s="484"/>
      <c r="AH74" s="522">
        <f>AH73*41220</f>
        <v>1731240</v>
      </c>
      <c r="AI74" s="530"/>
      <c r="AJ74" s="507"/>
      <c r="AK74" s="508"/>
      <c r="AL74" s="512"/>
      <c r="AM74" s="508"/>
      <c r="AN74" s="512"/>
      <c r="AO74" s="508"/>
      <c r="AP74" s="512"/>
      <c r="AQ74" s="508"/>
      <c r="AR74" s="481"/>
      <c r="AS74" s="482"/>
      <c r="AT74" s="342">
        <f>AR74+AH74+AF74+V74</f>
        <v>1731240</v>
      </c>
      <c r="AU74" s="321"/>
      <c r="AV74" s="3"/>
    </row>
    <row r="75" spans="1:47" ht="16.5" customHeight="1">
      <c r="A75" s="45" t="s">
        <v>237</v>
      </c>
      <c r="B75" s="40"/>
      <c r="C75" s="344"/>
      <c r="D75" s="345"/>
      <c r="E75" s="344"/>
      <c r="F75" s="40"/>
      <c r="G75" s="40"/>
      <c r="H75" s="345"/>
      <c r="I75" s="344"/>
      <c r="J75" s="345"/>
      <c r="K75" s="344"/>
      <c r="L75" s="12"/>
      <c r="M75" s="12"/>
      <c r="N75" s="361"/>
      <c r="O75" s="13"/>
      <c r="P75" s="12"/>
      <c r="Q75" s="13"/>
      <c r="R75" s="12"/>
      <c r="S75" s="13"/>
      <c r="T75" s="12">
        <v>19</v>
      </c>
      <c r="U75" s="13" t="s">
        <v>14</v>
      </c>
      <c r="V75" s="331">
        <f>T75+R75++P75+N75+L75</f>
        <v>19</v>
      </c>
      <c r="W75" s="312" t="s">
        <v>14</v>
      </c>
      <c r="X75" s="12"/>
      <c r="Y75" s="13"/>
      <c r="Z75" s="12"/>
      <c r="AA75" s="13"/>
      <c r="AB75" s="12"/>
      <c r="AC75" s="13"/>
      <c r="AD75" s="12"/>
      <c r="AE75" s="12"/>
      <c r="AF75" s="356"/>
      <c r="AG75" s="357"/>
      <c r="AH75" s="358"/>
      <c r="AI75" s="359"/>
      <c r="AJ75" s="360"/>
      <c r="AK75" s="13"/>
      <c r="AL75" s="361"/>
      <c r="AM75" s="13"/>
      <c r="AN75" s="361"/>
      <c r="AO75" s="13"/>
      <c r="AP75" s="361"/>
      <c r="AQ75" s="13"/>
      <c r="AR75" s="362"/>
      <c r="AS75" s="363"/>
      <c r="AT75" s="337">
        <f>V75+AF75+AH75+AR75</f>
        <v>19</v>
      </c>
      <c r="AU75" s="338" t="s">
        <v>14</v>
      </c>
    </row>
    <row r="76" spans="1:47" ht="16.5" customHeight="1" thickBot="1">
      <c r="A76" s="25" t="s">
        <v>238</v>
      </c>
      <c r="B76" s="368"/>
      <c r="C76" s="367"/>
      <c r="D76" s="366"/>
      <c r="E76" s="367"/>
      <c r="F76" s="368"/>
      <c r="G76" s="368"/>
      <c r="H76" s="366"/>
      <c r="I76" s="367"/>
      <c r="J76" s="366"/>
      <c r="K76" s="367"/>
      <c r="L76" s="518"/>
      <c r="M76" s="532"/>
      <c r="N76" s="512"/>
      <c r="O76" s="488"/>
      <c r="P76" s="511"/>
      <c r="Q76" s="488"/>
      <c r="R76" s="511"/>
      <c r="S76" s="488"/>
      <c r="T76" s="518">
        <f>T75*494100</f>
        <v>9387900</v>
      </c>
      <c r="U76" s="519"/>
      <c r="V76" s="480">
        <f>T76+R76+P76+N76+L76</f>
        <v>9387900</v>
      </c>
      <c r="W76" s="510"/>
      <c r="X76" s="511"/>
      <c r="Y76" s="508"/>
      <c r="Z76" s="511"/>
      <c r="AA76" s="508"/>
      <c r="AB76" s="511"/>
      <c r="AC76" s="508"/>
      <c r="AD76" s="511"/>
      <c r="AE76" s="511"/>
      <c r="AF76" s="483"/>
      <c r="AG76" s="484"/>
      <c r="AH76" s="478"/>
      <c r="AI76" s="479"/>
      <c r="AJ76" s="507"/>
      <c r="AK76" s="508"/>
      <c r="AL76" s="512"/>
      <c r="AM76" s="508"/>
      <c r="AN76" s="512"/>
      <c r="AO76" s="508"/>
      <c r="AP76" s="512"/>
      <c r="AQ76" s="508"/>
      <c r="AR76" s="481"/>
      <c r="AS76" s="482"/>
      <c r="AT76" s="342">
        <f>AR76+AH76+AF76+V76</f>
        <v>9387900</v>
      </c>
      <c r="AU76" s="321"/>
    </row>
    <row r="77" spans="1:47" ht="16.5" customHeight="1">
      <c r="A77" s="343" t="s">
        <v>239</v>
      </c>
      <c r="B77" s="352"/>
      <c r="C77" s="353"/>
      <c r="D77" s="354"/>
      <c r="E77" s="353"/>
      <c r="F77" s="352"/>
      <c r="G77" s="352"/>
      <c r="H77" s="354"/>
      <c r="I77" s="353"/>
      <c r="J77" s="354"/>
      <c r="K77" s="353"/>
      <c r="L77" s="26"/>
      <c r="M77" s="346"/>
      <c r="N77" s="355"/>
      <c r="O77" s="23"/>
      <c r="P77" s="26"/>
      <c r="Q77" s="23"/>
      <c r="R77" s="26"/>
      <c r="S77" s="23"/>
      <c r="T77" s="12"/>
      <c r="U77" s="13"/>
      <c r="V77" s="370"/>
      <c r="W77" s="371"/>
      <c r="X77" s="12"/>
      <c r="Y77" s="13"/>
      <c r="Z77" s="12"/>
      <c r="AA77" s="13"/>
      <c r="AB77" s="12"/>
      <c r="AC77" s="13"/>
      <c r="AD77" s="12"/>
      <c r="AE77" s="12"/>
      <c r="AF77" s="356"/>
      <c r="AG77" s="357"/>
      <c r="AH77" s="375">
        <v>25</v>
      </c>
      <c r="AI77" s="373" t="s">
        <v>14</v>
      </c>
      <c r="AJ77" s="360"/>
      <c r="AK77" s="13"/>
      <c r="AL77" s="361"/>
      <c r="AM77" s="13"/>
      <c r="AN77" s="361"/>
      <c r="AO77" s="13"/>
      <c r="AP77" s="361"/>
      <c r="AQ77" s="13"/>
      <c r="AR77" s="362"/>
      <c r="AS77" s="363"/>
      <c r="AT77" s="337">
        <f>V77+AF77+AH77+AR77</f>
        <v>25</v>
      </c>
      <c r="AU77" s="338" t="s">
        <v>14</v>
      </c>
    </row>
    <row r="78" spans="1:48" ht="16.5" customHeight="1" thickBot="1">
      <c r="A78" s="25" t="s">
        <v>240</v>
      </c>
      <c r="B78" s="368"/>
      <c r="C78" s="367"/>
      <c r="D78" s="366"/>
      <c r="E78" s="367"/>
      <c r="F78" s="368"/>
      <c r="G78" s="368"/>
      <c r="H78" s="366"/>
      <c r="I78" s="367"/>
      <c r="J78" s="366"/>
      <c r="K78" s="367"/>
      <c r="L78" s="511"/>
      <c r="M78" s="511"/>
      <c r="N78" s="512"/>
      <c r="O78" s="508"/>
      <c r="P78" s="511"/>
      <c r="Q78" s="508"/>
      <c r="R78" s="512"/>
      <c r="S78" s="508"/>
      <c r="T78" s="512"/>
      <c r="U78" s="508"/>
      <c r="V78" s="480"/>
      <c r="W78" s="510"/>
      <c r="X78" s="512"/>
      <c r="Y78" s="508"/>
      <c r="Z78" s="512"/>
      <c r="AA78" s="508"/>
      <c r="AB78" s="512"/>
      <c r="AC78" s="508"/>
      <c r="AD78" s="512"/>
      <c r="AE78" s="511"/>
      <c r="AF78" s="483"/>
      <c r="AG78" s="484"/>
      <c r="AH78" s="522">
        <f>AH77*468350</f>
        <v>11708750</v>
      </c>
      <c r="AI78" s="530"/>
      <c r="AJ78" s="507"/>
      <c r="AK78" s="508"/>
      <c r="AL78" s="512"/>
      <c r="AM78" s="508"/>
      <c r="AN78" s="512"/>
      <c r="AO78" s="508"/>
      <c r="AP78" s="512"/>
      <c r="AQ78" s="508"/>
      <c r="AR78" s="481"/>
      <c r="AS78" s="482"/>
      <c r="AT78" s="342">
        <f>AR78+AH78+AF78+V78</f>
        <v>11708750</v>
      </c>
      <c r="AU78" s="321"/>
      <c r="AV78" s="3"/>
    </row>
    <row r="79" spans="1:47" ht="16.5" customHeight="1">
      <c r="A79" s="343" t="s">
        <v>241</v>
      </c>
      <c r="B79" s="352"/>
      <c r="C79" s="353"/>
      <c r="D79" s="354"/>
      <c r="E79" s="353"/>
      <c r="F79" s="352"/>
      <c r="G79" s="352"/>
      <c r="H79" s="354"/>
      <c r="I79" s="353"/>
      <c r="J79" s="354"/>
      <c r="K79" s="353"/>
      <c r="L79" s="26"/>
      <c r="M79" s="346"/>
      <c r="N79" s="355"/>
      <c r="O79" s="23"/>
      <c r="P79" s="26"/>
      <c r="Q79" s="23"/>
      <c r="R79" s="26"/>
      <c r="S79" s="23"/>
      <c r="T79" s="12"/>
      <c r="U79" s="13"/>
      <c r="V79" s="370"/>
      <c r="W79" s="371"/>
      <c r="X79" s="12"/>
      <c r="Y79" s="13"/>
      <c r="Z79" s="12"/>
      <c r="AA79" s="13"/>
      <c r="AB79" s="12"/>
      <c r="AC79" s="13"/>
      <c r="AD79" s="12"/>
      <c r="AE79" s="12"/>
      <c r="AF79" s="356"/>
      <c r="AG79" s="357"/>
      <c r="AH79" s="375">
        <v>25</v>
      </c>
      <c r="AI79" s="373" t="s">
        <v>14</v>
      </c>
      <c r="AJ79" s="360"/>
      <c r="AK79" s="13"/>
      <c r="AL79" s="361"/>
      <c r="AM79" s="13"/>
      <c r="AN79" s="361"/>
      <c r="AO79" s="13"/>
      <c r="AP79" s="361"/>
      <c r="AQ79" s="13"/>
      <c r="AR79" s="362"/>
      <c r="AS79" s="363"/>
      <c r="AT79" s="337">
        <f>V79+AF79+AH79+AR79</f>
        <v>25</v>
      </c>
      <c r="AU79" s="338" t="s">
        <v>14</v>
      </c>
    </row>
    <row r="80" spans="1:47" ht="16.5" customHeight="1" thickBot="1">
      <c r="A80" s="25" t="s">
        <v>242</v>
      </c>
      <c r="B80" s="368"/>
      <c r="C80" s="367"/>
      <c r="D80" s="366"/>
      <c r="E80" s="367"/>
      <c r="F80" s="368"/>
      <c r="G80" s="368"/>
      <c r="H80" s="366"/>
      <c r="I80" s="367"/>
      <c r="J80" s="366"/>
      <c r="K80" s="367"/>
      <c r="L80" s="511"/>
      <c r="M80" s="511"/>
      <c r="N80" s="512"/>
      <c r="O80" s="508"/>
      <c r="P80" s="511"/>
      <c r="Q80" s="508"/>
      <c r="R80" s="512"/>
      <c r="S80" s="508"/>
      <c r="T80" s="512"/>
      <c r="U80" s="508"/>
      <c r="V80" s="480"/>
      <c r="W80" s="510"/>
      <c r="X80" s="512"/>
      <c r="Y80" s="508"/>
      <c r="Z80" s="512"/>
      <c r="AA80" s="508"/>
      <c r="AB80" s="512"/>
      <c r="AC80" s="508"/>
      <c r="AD80" s="512"/>
      <c r="AE80" s="511"/>
      <c r="AF80" s="483"/>
      <c r="AG80" s="484"/>
      <c r="AH80" s="522">
        <f>AH79*46835</f>
        <v>1170875</v>
      </c>
      <c r="AI80" s="530"/>
      <c r="AJ80" s="507"/>
      <c r="AK80" s="508"/>
      <c r="AL80" s="512"/>
      <c r="AM80" s="508"/>
      <c r="AN80" s="512"/>
      <c r="AO80" s="508"/>
      <c r="AP80" s="512"/>
      <c r="AQ80" s="508"/>
      <c r="AR80" s="481"/>
      <c r="AS80" s="482"/>
      <c r="AT80" s="342">
        <f>AR80+AH80+AF80+V80</f>
        <v>1170875</v>
      </c>
      <c r="AU80" s="321"/>
    </row>
    <row r="81" spans="1:47" ht="18.75" customHeight="1">
      <c r="A81" s="539" t="s">
        <v>370</v>
      </c>
      <c r="B81" s="376"/>
      <c r="C81" s="377"/>
      <c r="D81" s="378"/>
      <c r="E81" s="377"/>
      <c r="F81" s="376"/>
      <c r="G81" s="376"/>
      <c r="H81" s="378"/>
      <c r="I81" s="377"/>
      <c r="J81" s="378"/>
      <c r="K81" s="377"/>
      <c r="L81" s="12"/>
      <c r="M81" s="12"/>
      <c r="N81" s="361"/>
      <c r="O81" s="13"/>
      <c r="P81" s="12"/>
      <c r="Q81" s="13"/>
      <c r="R81" s="12"/>
      <c r="S81" s="13"/>
      <c r="T81" s="12"/>
      <c r="U81" s="13"/>
      <c r="V81" s="370"/>
      <c r="W81" s="371"/>
      <c r="X81" s="12"/>
      <c r="Y81" s="13"/>
      <c r="Z81" s="12"/>
      <c r="AA81" s="13"/>
      <c r="AB81" s="12"/>
      <c r="AC81" s="13"/>
      <c r="AD81" s="12"/>
      <c r="AE81" s="12"/>
      <c r="AF81" s="356"/>
      <c r="AG81" s="357"/>
      <c r="AH81" s="375">
        <v>8</v>
      </c>
      <c r="AI81" s="373" t="s">
        <v>14</v>
      </c>
      <c r="AJ81" s="360"/>
      <c r="AK81" s="13"/>
      <c r="AL81" s="361"/>
      <c r="AM81" s="13"/>
      <c r="AN81" s="361"/>
      <c r="AO81" s="13"/>
      <c r="AP81" s="361"/>
      <c r="AQ81" s="13"/>
      <c r="AR81" s="362"/>
      <c r="AS81" s="363"/>
      <c r="AT81" s="364">
        <f>V81+AF81+AH81+AR81</f>
        <v>8</v>
      </c>
      <c r="AU81" s="338" t="s">
        <v>14</v>
      </c>
    </row>
    <row r="82" spans="1:47" ht="16.5" customHeight="1" thickBot="1">
      <c r="A82" s="540"/>
      <c r="B82" s="379"/>
      <c r="C82" s="380"/>
      <c r="D82" s="381"/>
      <c r="E82" s="380"/>
      <c r="F82" s="379"/>
      <c r="G82" s="379"/>
      <c r="H82" s="381"/>
      <c r="I82" s="380"/>
      <c r="J82" s="381"/>
      <c r="K82" s="380"/>
      <c r="L82" s="511"/>
      <c r="M82" s="487"/>
      <c r="N82" s="512"/>
      <c r="O82" s="488"/>
      <c r="P82" s="511"/>
      <c r="Q82" s="488"/>
      <c r="R82" s="511"/>
      <c r="S82" s="488"/>
      <c r="T82" s="511"/>
      <c r="U82" s="508"/>
      <c r="V82" s="509"/>
      <c r="W82" s="510"/>
      <c r="X82" s="511"/>
      <c r="Y82" s="508"/>
      <c r="Z82" s="511"/>
      <c r="AA82" s="508"/>
      <c r="AB82" s="511"/>
      <c r="AC82" s="508"/>
      <c r="AD82" s="511"/>
      <c r="AE82" s="511"/>
      <c r="AF82" s="483"/>
      <c r="AG82" s="484"/>
      <c r="AH82" s="522">
        <f>AH81*2606040</f>
        <v>20848320</v>
      </c>
      <c r="AI82" s="530"/>
      <c r="AJ82" s="507"/>
      <c r="AK82" s="508"/>
      <c r="AL82" s="512"/>
      <c r="AM82" s="508"/>
      <c r="AN82" s="512"/>
      <c r="AO82" s="508"/>
      <c r="AP82" s="512"/>
      <c r="AQ82" s="508"/>
      <c r="AR82" s="481"/>
      <c r="AS82" s="482"/>
      <c r="AT82" s="342">
        <f>AR82+AH82+AF82+V82</f>
        <v>20848320</v>
      </c>
      <c r="AU82" s="321"/>
    </row>
    <row r="83" spans="1:47" ht="18" customHeight="1">
      <c r="A83" s="539" t="s">
        <v>371</v>
      </c>
      <c r="B83" s="40"/>
      <c r="C83" s="344"/>
      <c r="D83" s="345"/>
      <c r="E83" s="344"/>
      <c r="F83" s="40"/>
      <c r="G83" s="40"/>
      <c r="H83" s="345"/>
      <c r="I83" s="344"/>
      <c r="J83" s="345"/>
      <c r="K83" s="344"/>
      <c r="L83" s="12"/>
      <c r="M83" s="12"/>
      <c r="N83" s="361"/>
      <c r="O83" s="13"/>
      <c r="P83" s="12"/>
      <c r="Q83" s="13"/>
      <c r="R83" s="12"/>
      <c r="S83" s="13"/>
      <c r="T83" s="12"/>
      <c r="U83" s="13"/>
      <c r="V83" s="370"/>
      <c r="W83" s="371"/>
      <c r="X83" s="12"/>
      <c r="Y83" s="13"/>
      <c r="Z83" s="12"/>
      <c r="AA83" s="13"/>
      <c r="AB83" s="12"/>
      <c r="AC83" s="13"/>
      <c r="AD83" s="12"/>
      <c r="AE83" s="12"/>
      <c r="AF83" s="356"/>
      <c r="AG83" s="357"/>
      <c r="AH83" s="375">
        <v>1</v>
      </c>
      <c r="AI83" s="373"/>
      <c r="AJ83" s="360"/>
      <c r="AK83" s="13"/>
      <c r="AL83" s="361"/>
      <c r="AM83" s="13"/>
      <c r="AN83" s="361"/>
      <c r="AO83" s="13"/>
      <c r="AP83" s="361"/>
      <c r="AQ83" s="13"/>
      <c r="AR83" s="362"/>
      <c r="AS83" s="363"/>
      <c r="AT83" s="364">
        <f>V83+AF83+AH83+AR83</f>
        <v>1</v>
      </c>
      <c r="AU83" s="338" t="s">
        <v>14</v>
      </c>
    </row>
    <row r="84" spans="1:48" ht="16.5" customHeight="1" thickBot="1">
      <c r="A84" s="540"/>
      <c r="B84" s="368"/>
      <c r="C84" s="367"/>
      <c r="D84" s="366"/>
      <c r="E84" s="367"/>
      <c r="F84" s="368"/>
      <c r="G84" s="368"/>
      <c r="H84" s="366"/>
      <c r="I84" s="367"/>
      <c r="J84" s="366"/>
      <c r="K84" s="367"/>
      <c r="L84" s="511"/>
      <c r="M84" s="487"/>
      <c r="N84" s="512"/>
      <c r="O84" s="488"/>
      <c r="P84" s="511"/>
      <c r="Q84" s="488"/>
      <c r="R84" s="511"/>
      <c r="S84" s="488"/>
      <c r="T84" s="511"/>
      <c r="U84" s="508"/>
      <c r="V84" s="509"/>
      <c r="W84" s="510"/>
      <c r="X84" s="511"/>
      <c r="Y84" s="508"/>
      <c r="Z84" s="511"/>
      <c r="AA84" s="508"/>
      <c r="AB84" s="511"/>
      <c r="AC84" s="508"/>
      <c r="AD84" s="511"/>
      <c r="AE84" s="511"/>
      <c r="AF84" s="483"/>
      <c r="AG84" s="484"/>
      <c r="AH84" s="522">
        <v>4505000</v>
      </c>
      <c r="AI84" s="530"/>
      <c r="AJ84" s="507"/>
      <c r="AK84" s="508"/>
      <c r="AL84" s="512"/>
      <c r="AM84" s="508"/>
      <c r="AN84" s="512"/>
      <c r="AO84" s="508"/>
      <c r="AP84" s="512"/>
      <c r="AQ84" s="508"/>
      <c r="AR84" s="481"/>
      <c r="AS84" s="482"/>
      <c r="AT84" s="342">
        <f>AR84+AH84+AF84+V84</f>
        <v>4505000</v>
      </c>
      <c r="AU84" s="321"/>
      <c r="AV84" s="3">
        <f>AT50+AT52+AT54+AT56+AT58+AT60+AT62+AT64+AT66+AT68+AT70+AT72+AT74+AT78+AT80+AT82+AT84</f>
        <v>100315797</v>
      </c>
    </row>
    <row r="85" spans="1:47" ht="16.5" customHeight="1">
      <c r="A85" s="382" t="s">
        <v>243</v>
      </c>
      <c r="B85" s="383"/>
      <c r="C85" s="384"/>
      <c r="D85" s="385"/>
      <c r="E85" s="384"/>
      <c r="F85" s="383"/>
      <c r="G85" s="383"/>
      <c r="H85" s="385"/>
      <c r="I85" s="384"/>
      <c r="J85" s="385"/>
      <c r="K85" s="384"/>
      <c r="L85" s="20"/>
      <c r="M85" s="20"/>
      <c r="N85" s="22"/>
      <c r="O85" s="23"/>
      <c r="P85" s="20"/>
      <c r="Q85" s="23"/>
      <c r="R85" s="20"/>
      <c r="S85" s="23"/>
      <c r="T85" s="20"/>
      <c r="U85" s="21"/>
      <c r="V85" s="331">
        <f>T85+R85++P85+N85+L85</f>
        <v>0</v>
      </c>
      <c r="W85" s="312" t="s">
        <v>14</v>
      </c>
      <c r="X85" s="22"/>
      <c r="Y85" s="21"/>
      <c r="Z85" s="22"/>
      <c r="AA85" s="21"/>
      <c r="AB85" s="22"/>
      <c r="AC85" s="21"/>
      <c r="AD85" s="22"/>
      <c r="AE85" s="20"/>
      <c r="AF85" s="386">
        <f>X85+Z85+AB85+AD85</f>
        <v>0</v>
      </c>
      <c r="AG85" s="314" t="s">
        <v>14</v>
      </c>
      <c r="AH85" s="332"/>
      <c r="AI85" s="333"/>
      <c r="AJ85" s="334"/>
      <c r="AK85" s="21"/>
      <c r="AL85" s="22"/>
      <c r="AM85" s="21"/>
      <c r="AN85" s="22"/>
      <c r="AO85" s="21"/>
      <c r="AP85" s="22"/>
      <c r="AQ85" s="21"/>
      <c r="AR85" s="335"/>
      <c r="AS85" s="336"/>
      <c r="AT85" s="337">
        <f>V85+AF7+AH85+AR85</f>
        <v>0</v>
      </c>
      <c r="AU85" s="338" t="s">
        <v>14</v>
      </c>
    </row>
    <row r="86" spans="1:47" ht="16.5" customHeight="1" thickBot="1">
      <c r="A86" s="387" t="s">
        <v>244</v>
      </c>
      <c r="B86" s="388">
        <f>14198400+13937280</f>
        <v>28135680</v>
      </c>
      <c r="C86" s="389"/>
      <c r="D86" s="390"/>
      <c r="E86" s="389"/>
      <c r="F86" s="391"/>
      <c r="G86" s="391"/>
      <c r="H86" s="390"/>
      <c r="I86" s="389"/>
      <c r="J86" s="390"/>
      <c r="K86" s="389"/>
      <c r="L86" s="518">
        <v>3818880</v>
      </c>
      <c r="M86" s="532"/>
      <c r="N86" s="536">
        <v>1876800</v>
      </c>
      <c r="O86" s="537"/>
      <c r="P86" s="538">
        <v>946560</v>
      </c>
      <c r="Q86" s="537"/>
      <c r="R86" s="538">
        <v>620160</v>
      </c>
      <c r="S86" s="537"/>
      <c r="T86" s="518">
        <v>750720</v>
      </c>
      <c r="U86" s="519"/>
      <c r="V86" s="480">
        <f>T86+R86+P86+N86+L86</f>
        <v>8013120</v>
      </c>
      <c r="W86" s="510"/>
      <c r="X86" s="535">
        <v>2888640</v>
      </c>
      <c r="Y86" s="519"/>
      <c r="Z86" s="535">
        <v>783360</v>
      </c>
      <c r="AA86" s="519"/>
      <c r="AB86" s="535">
        <v>587520</v>
      </c>
      <c r="AC86" s="519"/>
      <c r="AD86" s="535">
        <v>391680</v>
      </c>
      <c r="AE86" s="532"/>
      <c r="AF86" s="483">
        <f>X86+Z86+AB86+AD86</f>
        <v>4651200</v>
      </c>
      <c r="AG86" s="484"/>
      <c r="AH86" s="522"/>
      <c r="AI86" s="530"/>
      <c r="AJ86" s="531">
        <v>6952320</v>
      </c>
      <c r="AK86" s="519"/>
      <c r="AL86" s="535">
        <v>4031040</v>
      </c>
      <c r="AM86" s="519"/>
      <c r="AN86" s="535">
        <v>946560</v>
      </c>
      <c r="AO86" s="519"/>
      <c r="AP86" s="535">
        <v>701760</v>
      </c>
      <c r="AQ86" s="519"/>
      <c r="AR86" s="533">
        <f>SUM(AJ86:AQ86)</f>
        <v>12631680</v>
      </c>
      <c r="AS86" s="534"/>
      <c r="AT86" s="342">
        <f>B86+D86+F86+H86+J86+V86+AF86+AH86+AR86</f>
        <v>53431680</v>
      </c>
      <c r="AU86" s="321"/>
    </row>
    <row r="87" spans="1:47" ht="16.5" customHeight="1">
      <c r="A87" s="382" t="s">
        <v>245</v>
      </c>
      <c r="B87" s="22"/>
      <c r="C87" s="21"/>
      <c r="D87" s="385"/>
      <c r="E87" s="384"/>
      <c r="F87" s="383"/>
      <c r="G87" s="383"/>
      <c r="H87" s="385"/>
      <c r="I87" s="384"/>
      <c r="J87" s="385"/>
      <c r="K87" s="384"/>
      <c r="L87" s="22"/>
      <c r="M87" s="21"/>
      <c r="N87" s="20"/>
      <c r="O87" s="21"/>
      <c r="P87" s="20"/>
      <c r="Q87" s="21"/>
      <c r="R87" s="20"/>
      <c r="S87" s="21"/>
      <c r="T87" s="20"/>
      <c r="U87" s="21"/>
      <c r="V87" s="331">
        <f>T87+R87++P87+N87+L87</f>
        <v>0</v>
      </c>
      <c r="W87" s="312" t="s">
        <v>14</v>
      </c>
      <c r="X87" s="22"/>
      <c r="Y87" s="21"/>
      <c r="Z87" s="22"/>
      <c r="AA87" s="21"/>
      <c r="AB87" s="22"/>
      <c r="AC87" s="21"/>
      <c r="AD87" s="22"/>
      <c r="AE87" s="20"/>
      <c r="AF87" s="386">
        <f>X87+Z87+AB87+AD87</f>
        <v>0</v>
      </c>
      <c r="AG87" s="314" t="s">
        <v>14</v>
      </c>
      <c r="AH87" s="332"/>
      <c r="AI87" s="333"/>
      <c r="AJ87" s="334"/>
      <c r="AK87" s="21"/>
      <c r="AL87" s="22"/>
      <c r="AM87" s="21"/>
      <c r="AN87" s="22"/>
      <c r="AO87" s="21"/>
      <c r="AP87" s="22"/>
      <c r="AQ87" s="21"/>
      <c r="AR87" s="335">
        <f>AJ87+AL87+AN87+AP87</f>
        <v>0</v>
      </c>
      <c r="AS87" s="336" t="s">
        <v>14</v>
      </c>
      <c r="AT87" s="350">
        <f>V87+AF87+AH87+AR87+B87</f>
        <v>0</v>
      </c>
      <c r="AU87" s="338" t="s">
        <v>14</v>
      </c>
    </row>
    <row r="88" spans="1:47" ht="16.5" customHeight="1">
      <c r="A88" s="387" t="s">
        <v>246</v>
      </c>
      <c r="B88" s="429">
        <f>6072802+13448220</f>
        <v>19521022</v>
      </c>
      <c r="C88" s="428"/>
      <c r="D88" s="390"/>
      <c r="E88" s="389"/>
      <c r="F88" s="391"/>
      <c r="G88" s="391"/>
      <c r="H88" s="390"/>
      <c r="I88" s="389"/>
      <c r="J88" s="390"/>
      <c r="K88" s="389"/>
      <c r="L88" s="518">
        <v>2456047</v>
      </c>
      <c r="M88" s="532"/>
      <c r="N88" s="430">
        <v>1517291</v>
      </c>
      <c r="O88" s="428"/>
      <c r="P88" s="518">
        <v>589451</v>
      </c>
      <c r="Q88" s="519"/>
      <c r="R88" s="518">
        <v>531234</v>
      </c>
      <c r="S88" s="519"/>
      <c r="T88" s="518">
        <v>702247</v>
      </c>
      <c r="U88" s="519"/>
      <c r="V88" s="480">
        <f>T88+R88+P88+N88+L88</f>
        <v>5796270</v>
      </c>
      <c r="W88" s="510"/>
      <c r="X88" s="518">
        <v>2401468</v>
      </c>
      <c r="Y88" s="519"/>
      <c r="Z88" s="518">
        <v>483932</v>
      </c>
      <c r="AA88" s="519"/>
      <c r="AB88" s="518">
        <v>567620</v>
      </c>
      <c r="AC88" s="519"/>
      <c r="AD88" s="518">
        <v>207399</v>
      </c>
      <c r="AE88" s="532"/>
      <c r="AF88" s="483">
        <f>X88+Z88+AB88+AD88</f>
        <v>3660419</v>
      </c>
      <c r="AG88" s="484"/>
      <c r="AH88" s="522"/>
      <c r="AI88" s="530"/>
      <c r="AJ88" s="531">
        <v>4406330</v>
      </c>
      <c r="AK88" s="519"/>
      <c r="AL88" s="535">
        <v>2066718</v>
      </c>
      <c r="AM88" s="519"/>
      <c r="AN88" s="535">
        <v>498487</v>
      </c>
      <c r="AO88" s="519"/>
      <c r="AP88" s="535">
        <v>436631</v>
      </c>
      <c r="AQ88" s="519"/>
      <c r="AR88" s="533">
        <f>AJ88+AL88+AN88+AP88</f>
        <v>7408166</v>
      </c>
      <c r="AS88" s="534"/>
      <c r="AT88" s="342">
        <f>B88+D88+F88+H88+J88+V88+AF88+AH88+AR88</f>
        <v>36385877</v>
      </c>
      <c r="AU88" s="321"/>
    </row>
    <row r="89" spans="1:47" s="1" customFormat="1" ht="20.25" customHeight="1" thickBot="1">
      <c r="A89" s="475" t="s">
        <v>247</v>
      </c>
      <c r="B89" s="476"/>
      <c r="C89" s="476"/>
      <c r="D89" s="476"/>
      <c r="E89" s="476"/>
      <c r="F89" s="476"/>
      <c r="G89" s="476"/>
      <c r="H89" s="476"/>
      <c r="I89" s="476"/>
      <c r="J89" s="476"/>
      <c r="K89" s="476"/>
      <c r="L89" s="476"/>
      <c r="M89" s="476"/>
      <c r="N89" s="476"/>
      <c r="O89" s="476"/>
      <c r="P89" s="476"/>
      <c r="Q89" s="476"/>
      <c r="R89" s="476"/>
      <c r="S89" s="476"/>
      <c r="T89" s="476"/>
      <c r="U89" s="476"/>
      <c r="V89" s="476"/>
      <c r="W89" s="476"/>
      <c r="X89" s="476"/>
      <c r="Y89" s="476"/>
      <c r="Z89" s="476"/>
      <c r="AA89" s="476"/>
      <c r="AB89" s="476"/>
      <c r="AC89" s="476"/>
      <c r="AD89" s="476"/>
      <c r="AE89" s="476"/>
      <c r="AF89" s="476"/>
      <c r="AG89" s="476"/>
      <c r="AH89" s="476"/>
      <c r="AI89" s="476"/>
      <c r="AJ89" s="476"/>
      <c r="AK89" s="476"/>
      <c r="AL89" s="476"/>
      <c r="AM89" s="476"/>
      <c r="AN89" s="476"/>
      <c r="AO89" s="476"/>
      <c r="AP89" s="476"/>
      <c r="AQ89" s="476"/>
      <c r="AR89" s="476"/>
      <c r="AS89" s="476"/>
      <c r="AT89" s="477"/>
      <c r="AU89" s="472"/>
    </row>
    <row r="90" spans="1:47" ht="16.5" customHeight="1">
      <c r="A90" s="45" t="s">
        <v>248</v>
      </c>
      <c r="B90" s="352"/>
      <c r="C90" s="353"/>
      <c r="D90" s="354"/>
      <c r="E90" s="353"/>
      <c r="F90" s="392">
        <v>11510</v>
      </c>
      <c r="G90" s="353" t="s">
        <v>14</v>
      </c>
      <c r="H90" s="393">
        <v>11510</v>
      </c>
      <c r="I90" s="352" t="s">
        <v>14</v>
      </c>
      <c r="J90" s="354"/>
      <c r="K90" s="353"/>
      <c r="L90" s="26"/>
      <c r="M90" s="346"/>
      <c r="N90" s="355"/>
      <c r="O90" s="23"/>
      <c r="P90" s="26"/>
      <c r="Q90" s="23"/>
      <c r="R90" s="26"/>
      <c r="S90" s="23"/>
      <c r="T90" s="12"/>
      <c r="U90" s="13"/>
      <c r="V90" s="331"/>
      <c r="W90" s="312"/>
      <c r="X90" s="12"/>
      <c r="Y90" s="13"/>
      <c r="Z90" s="12"/>
      <c r="AA90" s="13"/>
      <c r="AB90" s="12"/>
      <c r="AC90" s="13"/>
      <c r="AD90" s="12"/>
      <c r="AE90" s="12"/>
      <c r="AF90" s="356"/>
      <c r="AG90" s="357"/>
      <c r="AH90" s="358"/>
      <c r="AI90" s="359"/>
      <c r="AJ90" s="360"/>
      <c r="AK90" s="13"/>
      <c r="AL90" s="361"/>
      <c r="AM90" s="13"/>
      <c r="AN90" s="361"/>
      <c r="AO90" s="13"/>
      <c r="AP90" s="361"/>
      <c r="AQ90" s="13"/>
      <c r="AR90" s="362"/>
      <c r="AS90" s="363"/>
      <c r="AT90" s="394">
        <v>11510</v>
      </c>
      <c r="AU90" s="338" t="s">
        <v>14</v>
      </c>
    </row>
    <row r="91" spans="1:47" ht="16.5" customHeight="1" thickBot="1">
      <c r="A91" s="47" t="s">
        <v>249</v>
      </c>
      <c r="B91" s="526"/>
      <c r="C91" s="527"/>
      <c r="D91" s="366"/>
      <c r="E91" s="367"/>
      <c r="F91" s="528">
        <f>F90*1140*0.5</f>
        <v>6560700</v>
      </c>
      <c r="G91" s="525"/>
      <c r="H91" s="529">
        <f>H90*1140*0.5</f>
        <v>6560700</v>
      </c>
      <c r="I91" s="525"/>
      <c r="J91" s="366"/>
      <c r="K91" s="367"/>
      <c r="L91" s="511"/>
      <c r="M91" s="487"/>
      <c r="N91" s="512"/>
      <c r="O91" s="488"/>
      <c r="P91" s="511"/>
      <c r="Q91" s="488"/>
      <c r="R91" s="511"/>
      <c r="S91" s="488"/>
      <c r="T91" s="518"/>
      <c r="U91" s="519"/>
      <c r="V91" s="480"/>
      <c r="W91" s="510"/>
      <c r="X91" s="511"/>
      <c r="Y91" s="508"/>
      <c r="Z91" s="511"/>
      <c r="AA91" s="508"/>
      <c r="AB91" s="511"/>
      <c r="AC91" s="508"/>
      <c r="AD91" s="511"/>
      <c r="AE91" s="511"/>
      <c r="AF91" s="483"/>
      <c r="AG91" s="484"/>
      <c r="AH91" s="478"/>
      <c r="AI91" s="479"/>
      <c r="AJ91" s="507"/>
      <c r="AK91" s="508"/>
      <c r="AL91" s="512"/>
      <c r="AM91" s="508"/>
      <c r="AN91" s="512"/>
      <c r="AO91" s="508"/>
      <c r="AP91" s="512"/>
      <c r="AQ91" s="508"/>
      <c r="AR91" s="481"/>
      <c r="AS91" s="482"/>
      <c r="AT91" s="369">
        <f>B91+D91+F91+H91+J91+V91+AF91+AH91+AR91</f>
        <v>13121400</v>
      </c>
      <c r="AU91" s="321"/>
    </row>
    <row r="92" spans="1:47" ht="16.5" customHeight="1">
      <c r="A92" s="45" t="s">
        <v>250</v>
      </c>
      <c r="B92" s="352"/>
      <c r="C92" s="353"/>
      <c r="D92" s="354"/>
      <c r="E92" s="353"/>
      <c r="F92" s="352"/>
      <c r="G92" s="352"/>
      <c r="H92" s="354"/>
      <c r="I92" s="353"/>
      <c r="J92" s="354"/>
      <c r="K92" s="353"/>
      <c r="L92" s="26"/>
      <c r="M92" s="346"/>
      <c r="N92" s="355"/>
      <c r="O92" s="23"/>
      <c r="P92" s="26"/>
      <c r="Q92" s="23"/>
      <c r="R92" s="26"/>
      <c r="S92" s="23"/>
      <c r="T92" s="12"/>
      <c r="U92" s="13"/>
      <c r="V92" s="331"/>
      <c r="W92" s="312"/>
      <c r="X92" s="12"/>
      <c r="Y92" s="13"/>
      <c r="Z92" s="12"/>
      <c r="AA92" s="13"/>
      <c r="AB92" s="12"/>
      <c r="AC92" s="13"/>
      <c r="AD92" s="12"/>
      <c r="AE92" s="12"/>
      <c r="AF92" s="356"/>
      <c r="AG92" s="357"/>
      <c r="AH92" s="358"/>
      <c r="AI92" s="359"/>
      <c r="AJ92" s="360"/>
      <c r="AK92" s="13"/>
      <c r="AL92" s="361"/>
      <c r="AM92" s="13"/>
      <c r="AN92" s="361"/>
      <c r="AO92" s="13"/>
      <c r="AP92" s="361"/>
      <c r="AQ92" s="13"/>
      <c r="AR92" s="362"/>
      <c r="AS92" s="363"/>
      <c r="AT92" s="364"/>
      <c r="AU92" s="338"/>
    </row>
    <row r="93" spans="1:47" ht="16.5" customHeight="1">
      <c r="A93" s="47" t="s">
        <v>251</v>
      </c>
      <c r="B93" s="526"/>
      <c r="C93" s="527"/>
      <c r="D93" s="366"/>
      <c r="E93" s="367"/>
      <c r="F93" s="368"/>
      <c r="G93" s="368"/>
      <c r="H93" s="366"/>
      <c r="I93" s="367"/>
      <c r="J93" s="528">
        <v>27728000</v>
      </c>
      <c r="K93" s="525"/>
      <c r="L93" s="511"/>
      <c r="M93" s="487"/>
      <c r="N93" s="512"/>
      <c r="O93" s="488"/>
      <c r="P93" s="511"/>
      <c r="Q93" s="488"/>
      <c r="R93" s="511"/>
      <c r="S93" s="488"/>
      <c r="T93" s="518"/>
      <c r="U93" s="519"/>
      <c r="V93" s="480"/>
      <c r="W93" s="510"/>
      <c r="X93" s="511"/>
      <c r="Y93" s="508"/>
      <c r="Z93" s="511"/>
      <c r="AA93" s="508"/>
      <c r="AB93" s="511"/>
      <c r="AC93" s="508"/>
      <c r="AD93" s="511"/>
      <c r="AE93" s="511"/>
      <c r="AF93" s="483"/>
      <c r="AG93" s="484"/>
      <c r="AH93" s="478"/>
      <c r="AI93" s="479"/>
      <c r="AJ93" s="507"/>
      <c r="AK93" s="508"/>
      <c r="AL93" s="512"/>
      <c r="AM93" s="508"/>
      <c r="AN93" s="512"/>
      <c r="AO93" s="508"/>
      <c r="AP93" s="512"/>
      <c r="AQ93" s="508"/>
      <c r="AR93" s="481"/>
      <c r="AS93" s="482"/>
      <c r="AT93" s="369">
        <f>B93+D93+F93+H93+J93+V93+AF93+AH93+AR93</f>
        <v>27728000</v>
      </c>
      <c r="AU93" s="321"/>
    </row>
    <row r="94" spans="1:47" s="1" customFormat="1" ht="20.25" customHeight="1" thickBot="1">
      <c r="A94" s="475" t="s">
        <v>252</v>
      </c>
      <c r="B94" s="476"/>
      <c r="C94" s="476"/>
      <c r="D94" s="476"/>
      <c r="E94" s="476"/>
      <c r="F94" s="476"/>
      <c r="G94" s="476"/>
      <c r="H94" s="476"/>
      <c r="I94" s="476"/>
      <c r="J94" s="476"/>
      <c r="K94" s="476"/>
      <c r="L94" s="476"/>
      <c r="M94" s="476"/>
      <c r="N94" s="476"/>
      <c r="O94" s="476"/>
      <c r="P94" s="476"/>
      <c r="Q94" s="476"/>
      <c r="R94" s="476"/>
      <c r="S94" s="476"/>
      <c r="T94" s="476"/>
      <c r="U94" s="476"/>
      <c r="V94" s="476"/>
      <c r="W94" s="476"/>
      <c r="X94" s="476"/>
      <c r="Y94" s="476"/>
      <c r="Z94" s="476"/>
      <c r="AA94" s="476"/>
      <c r="AB94" s="476"/>
      <c r="AC94" s="476"/>
      <c r="AD94" s="476"/>
      <c r="AE94" s="476"/>
      <c r="AF94" s="476"/>
      <c r="AG94" s="476"/>
      <c r="AH94" s="476"/>
      <c r="AI94" s="476"/>
      <c r="AJ94" s="476"/>
      <c r="AK94" s="476"/>
      <c r="AL94" s="476"/>
      <c r="AM94" s="476"/>
      <c r="AN94" s="476"/>
      <c r="AO94" s="476"/>
      <c r="AP94" s="476"/>
      <c r="AQ94" s="476"/>
      <c r="AR94" s="476"/>
      <c r="AS94" s="476"/>
      <c r="AT94" s="477"/>
      <c r="AU94" s="472"/>
    </row>
    <row r="95" spans="1:47" ht="16.5" customHeight="1">
      <c r="A95" s="45" t="s">
        <v>253</v>
      </c>
      <c r="B95" s="395">
        <v>19291359</v>
      </c>
      <c r="C95" s="344"/>
      <c r="D95" s="345"/>
      <c r="E95" s="344"/>
      <c r="F95" s="40"/>
      <c r="G95" s="40"/>
      <c r="H95" s="345"/>
      <c r="I95" s="344"/>
      <c r="J95" s="345"/>
      <c r="K95" s="344"/>
      <c r="L95" s="12"/>
      <c r="M95" s="12"/>
      <c r="N95" s="361"/>
      <c r="O95" s="13"/>
      <c r="P95" s="12"/>
      <c r="Q95" s="13"/>
      <c r="R95" s="12"/>
      <c r="S95" s="13"/>
      <c r="T95" s="12"/>
      <c r="U95" s="13"/>
      <c r="V95" s="370"/>
      <c r="W95" s="371"/>
      <c r="X95" s="12"/>
      <c r="Y95" s="13"/>
      <c r="Z95" s="12"/>
      <c r="AA95" s="13"/>
      <c r="AB95" s="12"/>
      <c r="AC95" s="13"/>
      <c r="AD95" s="12"/>
      <c r="AE95" s="12"/>
      <c r="AF95" s="356"/>
      <c r="AG95" s="357"/>
      <c r="AH95" s="372"/>
      <c r="AI95" s="373"/>
      <c r="AJ95" s="360"/>
      <c r="AK95" s="13"/>
      <c r="AL95" s="361"/>
      <c r="AM95" s="13"/>
      <c r="AN95" s="361"/>
      <c r="AO95" s="13"/>
      <c r="AP95" s="361"/>
      <c r="AQ95" s="13"/>
      <c r="AR95" s="362"/>
      <c r="AS95" s="363"/>
      <c r="AT95" s="369">
        <f>B95+D95+F95+H95+J95+V95+AF95+AH95+AR95</f>
        <v>19291359</v>
      </c>
      <c r="AU95" s="338" t="s">
        <v>14</v>
      </c>
    </row>
    <row r="96" spans="1:47" ht="16.5" customHeight="1" thickBot="1">
      <c r="A96" s="47" t="s">
        <v>254</v>
      </c>
      <c r="B96" s="524">
        <v>-19291359</v>
      </c>
      <c r="C96" s="525"/>
      <c r="D96" s="366"/>
      <c r="E96" s="367"/>
      <c r="F96" s="368"/>
      <c r="G96" s="368"/>
      <c r="H96" s="366"/>
      <c r="I96" s="367"/>
      <c r="J96" s="366"/>
      <c r="K96" s="367"/>
      <c r="L96" s="512"/>
      <c r="M96" s="508"/>
      <c r="N96" s="512"/>
      <c r="O96" s="508"/>
      <c r="P96" s="512"/>
      <c r="Q96" s="508"/>
      <c r="R96" s="512"/>
      <c r="S96" s="508"/>
      <c r="T96" s="512"/>
      <c r="U96" s="508"/>
      <c r="V96" s="480"/>
      <c r="W96" s="510"/>
      <c r="X96" s="512"/>
      <c r="Y96" s="508"/>
      <c r="Z96" s="512"/>
      <c r="AA96" s="508"/>
      <c r="AB96" s="512"/>
      <c r="AC96" s="508"/>
      <c r="AD96" s="512"/>
      <c r="AE96" s="520"/>
      <c r="AF96" s="483"/>
      <c r="AG96" s="484"/>
      <c r="AH96" s="522"/>
      <c r="AI96" s="523"/>
      <c r="AJ96" s="507"/>
      <c r="AK96" s="508"/>
      <c r="AL96" s="512"/>
      <c r="AM96" s="508"/>
      <c r="AN96" s="512"/>
      <c r="AO96" s="508"/>
      <c r="AP96" s="512"/>
      <c r="AQ96" s="508"/>
      <c r="AR96" s="521"/>
      <c r="AS96" s="482"/>
      <c r="AT96" s="369">
        <f>B96+D96+F96+H96+J96+V96+AF96+AH96+AR96</f>
        <v>-19291359</v>
      </c>
      <c r="AU96" s="321"/>
    </row>
    <row r="97" spans="1:48" ht="37.5" customHeight="1" thickBot="1">
      <c r="A97" s="396" t="s">
        <v>199</v>
      </c>
      <c r="B97" s="517">
        <f>B8+B9+B19+B21+B23+B24+B27+B29+B31+B33+B35+B37+B39+B41+B43+B46+B48+B50+B52+B54+B56+B58+B60+B62+B64+B66+B68+B70+B72+B74+B76+B78+B80+B82+B84+B86+B88+B91+B93</f>
        <v>216137613</v>
      </c>
      <c r="C97" s="517"/>
      <c r="D97" s="517">
        <f>D8+D9+D19+D21+D23+D24+D27+D29+D31+D33+D35+D37+D39+D41+D43+D46+D48+D50+D52+D54+D56+D58+D60+D62+D64+D66+D68+D70+D72+D74+D76+D78+D80+D82+D84+D86+D88+D91+D93</f>
        <v>161032800</v>
      </c>
      <c r="E97" s="517"/>
      <c r="F97" s="517">
        <f>F8+F9+F19+F21+F23+F24+F27+F29+F31+F33+F35+F37+F39+F41+F43+F46+F48+F50+F52+F54+F56+F58+F60+F62+F64+F66+F68+F70+F72+F74+F76+F78+F80+F82+F84+F86+F88+F91+F93</f>
        <v>6560700</v>
      </c>
      <c r="G97" s="517"/>
      <c r="H97" s="517">
        <f>H8+H9+H19+H21+H23+H24+H27+H29+H31+H33+H35+H37+H39+H41+H43+H46+H48+H50+H52+H54+H56+H58+H60+H62+H64+H66+H68+H70+H72+H74+H76+H78+H80+H82+H84+H86+H88+H91+H93</f>
        <v>6560700</v>
      </c>
      <c r="I97" s="517"/>
      <c r="J97" s="517">
        <f>J8+J9+J19+J21+J23+J24+J27+J29+J31+J33+J35+J37+J39+J41+J43+J46+J48+J50+J52+J54+J56+J58+J60+J62+J64+J66+J68+J70+J72+J74+J76+J78+J80+J82+J84+J86+J88+J91+J93</f>
        <v>27728000</v>
      </c>
      <c r="K97" s="517"/>
      <c r="L97" s="517">
        <f>L8+L9+L19+L21+L23+L24+L27+L29+L31+L33+L35+L37+L39+L41+L43+L46+L48+L50+L52+L54+L56+L58+L60+L62+L64+L66+L68+L70+L72+L74+L76+L78+L80+L82+L84+L86+L88+L91+L93</f>
        <v>74224393</v>
      </c>
      <c r="M97" s="517"/>
      <c r="N97" s="517">
        <f>N8+N9+N19+N21+N23+N24+N27+N29+N31+N33+N35+N37+N39+N41+N43+N46+N48+N50+N52+N54+N56+N58+N60+N62+N64+N66+N68+N70+N72+N74+N76+N78+N80+N82+N84+N86+N88+N91+N93</f>
        <v>36539558</v>
      </c>
      <c r="O97" s="517"/>
      <c r="P97" s="517">
        <f>P8+P9+P19+P21+P23+P24+P27+P29+P31+P33+P35+P37+P39+P41+P43+P46+P48+P50+P52+P54+P56+P58+P60+P62+P64+P66+P68+P70+P72+P74+P76+P78+P80+P82+P84+P86+P88+P91+P93</f>
        <v>18075544</v>
      </c>
      <c r="Q97" s="517"/>
      <c r="R97" s="517">
        <f>R8+R9+R19+R21+R23+R24+R27+R29+R31+R33+R35+R37+R39+R41+R43+R46+R48+R50+R52+R54+R56+R58+R60+R62+R64+R66+R68+R70+R72+R74+R76+R78+R80+R82+R84+R86+R88+R91+R93</f>
        <v>11887994</v>
      </c>
      <c r="S97" s="517"/>
      <c r="T97" s="517">
        <f>T8+T9+T19+T21+T23+T24+T27+T29+T31+T33+T35+T37+T39+T41+T43+T46+T48+T50+T52+T54+T56+T58+T60+T62+T64+T66+T68+T70+T72+T74+T76+T78+T80+T82+T84+T86+T88+T91+T93</f>
        <v>10840867</v>
      </c>
      <c r="U97" s="517"/>
      <c r="V97" s="517">
        <f>V8+V9+V19+V21+V23+V24+V27+V29+V31+V33+V35+V37+V39+V41+V43+V46+V48+V50+V52+V54+V56+V58+V60+V62+V64+V66+V68+V70+V72+V74+V76+V78+V80+V82+V84+V86+V88+V91+V93</f>
        <v>151568356</v>
      </c>
      <c r="W97" s="517"/>
      <c r="X97" s="517">
        <f>X8+X9+X19+X21+X23+X24+X27+X29+X31+X33+X35+X37+X39+X41+X43+X46+X48+X50+X52+X54+X56+X58+X60+X62+X64+X66+X68+X70+X72+X74+X76+X78+X80+X82+X84+X86+X88+X91+X93</f>
        <v>67479042</v>
      </c>
      <c r="Y97" s="517"/>
      <c r="Z97" s="517">
        <f>Z8+Z9+Z19+Z21+Z23+Z24+Z27+Z29+Z31+Z33+Z35+Z37+Z39+Z41+Z43+Z46+Z48+Z50+Z52+Z54+Z56+Z58+Z60+Z62+Z64+Z66+Z68+Z70+Z72+Z74+Z76+Z78+Z80+Z82+Z84+Z86+Z88+Z91+Z93</f>
        <v>14380692</v>
      </c>
      <c r="AA97" s="517"/>
      <c r="AB97" s="517">
        <f>AB8+AB9+AB19+AB21+AB23+AB24+AB27+AB29+AB31+AB33+AB35+AB37+AB39+AB41+AB43+AB46+AB48+AB50+AB52+AB54+AB56+AB58+AB60+AB62+AB64+AB66+AB68+AB70+AB72+AB74+AB76+AB78+AB80+AB82+AB84+AB86+AB88+AB91+AB93</f>
        <v>12049973</v>
      </c>
      <c r="AC97" s="517"/>
      <c r="AD97" s="517">
        <f>AD8+AD9+AD19+AD21+AD23+AD24+AD27+AD29+AD31+AD33+AD35+AD37+AD39+AD41+AD43+AD46+AD48+AD50+AD52+AD54+AD56+AD58+AD60+AD62+AD64+AD66+AD68+AD70+AD72+AD74+AD76+AD78+AD80+AD82+AD84+AD86+AD88+AD91+AD93</f>
        <v>8240146</v>
      </c>
      <c r="AE97" s="517"/>
      <c r="AF97" s="517">
        <f>AF8+AF9+AF19+AF21+AF23+AF24+AF27+AF29+AF31+AF33+AF35+AF37+AF39+AF41+AF43+AF46+AF48+AF50+AF52+AF54+AF56+AF58+AF60+AF62+AF64+AF66+AF68+AF70+AF72+AF74+AF76+AF78+AF80+AF82+AF84+AF86+AF88+AF91+AF93</f>
        <v>102149853</v>
      </c>
      <c r="AG97" s="517"/>
      <c r="AH97" s="517">
        <f>AH8+AH9+AH19+AH21+AH23+AH24+AH27+AH29+AH31+AH33+AH35+AH37+AH39+AH41+AH43+AH46+AH48+AH50+AH52+AH54+AH56+AH58+AH60+AH62+AH64+AH66+AH68+AH70+AH72+AH74+AH76+AH78+AH80+AH82+AH84+AH86+AH88+AH91+AH93</f>
        <v>100315797</v>
      </c>
      <c r="AI97" s="517"/>
      <c r="AJ97" s="517">
        <f>AJ8+AJ9+AJ19+AJ21+AJ23+AJ24+AJ27+AJ29+AJ31+AJ33+AJ35+AJ37+AJ39+AJ41+AJ43+AJ46+AJ48+AJ50+AJ52+AJ54+AJ56+AJ58+AJ60+AJ62+AJ64+AJ66+AJ68+AJ70+AJ72+AJ74+AJ76+AJ78+AJ80+AJ82+AJ84+AJ86+AJ88+AJ91+AJ93</f>
        <v>11358650</v>
      </c>
      <c r="AK97" s="517"/>
      <c r="AL97" s="517">
        <f>AL8+AL9+AL19+AL21+AL23+AL24+AL27+AL29+AL31+AL33+AL35+AL37+AL39+AL41+AL43+AL46+AL48+AL50+AL52+AL54+AL56+AL58+AL60+AL62+AL64+AL66+AL68+AL70+AL72+AL74+AL76+AL78+AL80+AL82+AL84+AL86+AL88+AL91+AL93</f>
        <v>6097758</v>
      </c>
      <c r="AM97" s="517"/>
      <c r="AN97" s="517">
        <f>AN8+AN9+AN19+AN21+AN23+AN24+AN27+AN29+AN31+AN33+AN35+AN37+AN39+AN41+AN43+AN46+AN48+AN50+AN52+AN54+AN56+AN58+AN60+AN62+AN64+AN66+AN68+AN70+AN72+AN74+AN76+AN78+AN80+AN82+AN84+AN86+AN88+AN91+AN93</f>
        <v>1445047</v>
      </c>
      <c r="AO97" s="517"/>
      <c r="AP97" s="517">
        <f>AP8+AP9+AP19+AP21+AP23+AP24+AP27+AP29+AP31+AP33+AP35+AP37+AP39+AP41+AP43+AP46+AP48+AP50+AP52+AP54+AP56+AP58+AP60+AP62+AP64+AP66+AP68+AP70+AP72+AP74+AP76+AP78+AP80+AP82+AP84+AP86+AP88+AP91+AP93</f>
        <v>1138391</v>
      </c>
      <c r="AQ97" s="517"/>
      <c r="AR97" s="517">
        <f>AR8+AR9+AR19+AR21+AR23+AR24+AR27+AR29+AR31+AR33+AR35+AR37+AR39+AR41+AR43+AR46+AR48+AR50+AR52+AR54+AR56+AR58+AR60+AR62+AR64+AR66+AR68+AR70+AR72+AR74+AR76+AR78+AR80+AR82+AR84+AR86+AR88+AR91+AR93</f>
        <v>20039846</v>
      </c>
      <c r="AS97" s="517"/>
      <c r="AT97" s="517">
        <f>AT8+AT9+AT19+AT21+AT23+AT24+AT27+AT29+AT31+AT33+AT35+AT37+AT39+AT41+AT43+AT46+AT48+AT50+AT52+AT54+AT56+AT58+AT60+AT62+AT64+AT66+AT68+AT70+AT72+AT74+AT76+AT78+AT80+AT82+AT84+AT86+AT88+AT91+AT93</f>
        <v>792093665</v>
      </c>
      <c r="AU97" s="517"/>
      <c r="AV97" s="3"/>
    </row>
    <row r="98" spans="2:48" ht="12.75">
      <c r="B98" s="513">
        <f>SUM(B97)</f>
        <v>216137613</v>
      </c>
      <c r="C98" s="514"/>
      <c r="D98" s="513">
        <f>SUM(D97)</f>
        <v>161032800</v>
      </c>
      <c r="E98" s="514"/>
      <c r="F98" s="513">
        <f>SUM(F97)</f>
        <v>6560700</v>
      </c>
      <c r="G98" s="514"/>
      <c r="H98" s="513">
        <f>SUM(H97)</f>
        <v>6560700</v>
      </c>
      <c r="I98" s="514"/>
      <c r="J98" s="513">
        <f>SUM(J97)</f>
        <v>27728000</v>
      </c>
      <c r="K98" s="514"/>
      <c r="L98" s="513"/>
      <c r="M98" s="514"/>
      <c r="N98" s="513"/>
      <c r="O98" s="514"/>
      <c r="P98" s="513"/>
      <c r="Q98" s="514"/>
      <c r="V98" s="513">
        <f>SUM(L97:U97)</f>
        <v>151568356</v>
      </c>
      <c r="W98" s="514"/>
      <c r="AF98" s="515">
        <f>SUM(X97:AE97)</f>
        <v>102149853</v>
      </c>
      <c r="AG98" s="516"/>
      <c r="AH98" s="515">
        <f>SUM(AH97)</f>
        <v>100315797</v>
      </c>
      <c r="AI98" s="516"/>
      <c r="AR98" s="515">
        <f>SUM(AJ97:AQ97)</f>
        <v>20039846</v>
      </c>
      <c r="AS98" s="515"/>
      <c r="AT98" s="493">
        <f>SUM(B98:AS98)</f>
        <v>792093665</v>
      </c>
      <c r="AU98" s="494"/>
      <c r="AV98" s="3">
        <f>AT98-AT93-AT91-AT46-AT41</f>
        <v>732406265</v>
      </c>
    </row>
    <row r="99" ht="12.75">
      <c r="AT99" s="7">
        <f>AT98-AT97</f>
        <v>0</v>
      </c>
    </row>
    <row r="100" spans="1:47" s="1" customFormat="1" ht="16.5" customHeight="1" thickBot="1">
      <c r="A100" s="475" t="s">
        <v>255</v>
      </c>
      <c r="B100" s="476"/>
      <c r="C100" s="476"/>
      <c r="D100" s="476"/>
      <c r="E100" s="476"/>
      <c r="F100" s="476"/>
      <c r="G100" s="476"/>
      <c r="H100" s="476"/>
      <c r="I100" s="476"/>
      <c r="J100" s="476"/>
      <c r="K100" s="476"/>
      <c r="L100" s="476"/>
      <c r="M100" s="476"/>
      <c r="N100" s="476"/>
      <c r="O100" s="476"/>
      <c r="P100" s="476"/>
      <c r="Q100" s="476"/>
      <c r="R100" s="476"/>
      <c r="S100" s="476"/>
      <c r="T100" s="476"/>
      <c r="U100" s="476"/>
      <c r="V100" s="476"/>
      <c r="W100" s="476"/>
      <c r="X100" s="476"/>
      <c r="Y100" s="476"/>
      <c r="Z100" s="476"/>
      <c r="AA100" s="476"/>
      <c r="AB100" s="476"/>
      <c r="AC100" s="476"/>
      <c r="AD100" s="476"/>
      <c r="AE100" s="476"/>
      <c r="AF100" s="476"/>
      <c r="AG100" s="476"/>
      <c r="AH100" s="476"/>
      <c r="AI100" s="476"/>
      <c r="AJ100" s="476"/>
      <c r="AK100" s="476"/>
      <c r="AL100" s="476"/>
      <c r="AM100" s="476"/>
      <c r="AN100" s="476"/>
      <c r="AO100" s="476"/>
      <c r="AP100" s="476"/>
      <c r="AQ100" s="476"/>
      <c r="AR100" s="476"/>
      <c r="AS100" s="476"/>
      <c r="AT100" s="477"/>
      <c r="AU100" s="472"/>
    </row>
    <row r="101" spans="1:47" ht="16.5" customHeight="1">
      <c r="A101" s="351"/>
      <c r="B101" s="40"/>
      <c r="C101" s="344"/>
      <c r="D101" s="345"/>
      <c r="E101" s="344"/>
      <c r="F101" s="40"/>
      <c r="G101" s="40"/>
      <c r="H101" s="345"/>
      <c r="I101" s="344"/>
      <c r="J101" s="345"/>
      <c r="K101" s="344"/>
      <c r="L101" s="12"/>
      <c r="M101" s="12"/>
      <c r="N101" s="361"/>
      <c r="O101" s="13"/>
      <c r="P101" s="12"/>
      <c r="Q101" s="13"/>
      <c r="R101" s="12"/>
      <c r="S101" s="13"/>
      <c r="T101" s="12"/>
      <c r="U101" s="13"/>
      <c r="V101" s="370"/>
      <c r="W101" s="371"/>
      <c r="X101" s="12"/>
      <c r="Y101" s="13"/>
      <c r="Z101" s="12"/>
      <c r="AA101" s="13"/>
      <c r="AB101" s="12"/>
      <c r="AC101" s="13"/>
      <c r="AD101" s="12"/>
      <c r="AE101" s="12"/>
      <c r="AF101" s="356"/>
      <c r="AG101" s="357"/>
      <c r="AH101" s="397"/>
      <c r="AI101" s="398"/>
      <c r="AJ101" s="360"/>
      <c r="AK101" s="13"/>
      <c r="AL101" s="361"/>
      <c r="AM101" s="13"/>
      <c r="AN101" s="361"/>
      <c r="AO101" s="13"/>
      <c r="AP101" s="361"/>
      <c r="AQ101" s="13"/>
      <c r="AR101" s="362"/>
      <c r="AS101" s="363"/>
      <c r="AT101" s="399"/>
      <c r="AU101" s="400"/>
    </row>
    <row r="102" spans="1:47" ht="16.5" customHeight="1" thickBot="1">
      <c r="A102" s="365"/>
      <c r="B102" s="485"/>
      <c r="C102" s="486"/>
      <c r="D102" s="366"/>
      <c r="E102" s="367"/>
      <c r="F102" s="368"/>
      <c r="G102" s="368"/>
      <c r="H102" s="366"/>
      <c r="I102" s="367"/>
      <c r="J102" s="366"/>
      <c r="K102" s="367"/>
      <c r="L102" s="511"/>
      <c r="M102" s="487"/>
      <c r="N102" s="512"/>
      <c r="O102" s="488"/>
      <c r="P102" s="511"/>
      <c r="Q102" s="488"/>
      <c r="R102" s="511"/>
      <c r="S102" s="488"/>
      <c r="T102" s="511"/>
      <c r="U102" s="508"/>
      <c r="V102" s="509"/>
      <c r="W102" s="510"/>
      <c r="X102" s="511"/>
      <c r="Y102" s="508"/>
      <c r="Z102" s="511"/>
      <c r="AA102" s="508"/>
      <c r="AB102" s="511"/>
      <c r="AC102" s="508"/>
      <c r="AD102" s="511"/>
      <c r="AE102" s="511"/>
      <c r="AF102" s="483"/>
      <c r="AG102" s="484"/>
      <c r="AH102" s="505"/>
      <c r="AI102" s="506"/>
      <c r="AJ102" s="507"/>
      <c r="AK102" s="508"/>
      <c r="AL102" s="512"/>
      <c r="AM102" s="508"/>
      <c r="AN102" s="512"/>
      <c r="AO102" s="508"/>
      <c r="AP102" s="512"/>
      <c r="AQ102" s="508"/>
      <c r="AR102" s="481"/>
      <c r="AS102" s="482"/>
      <c r="AT102" s="401"/>
      <c r="AU102" s="402"/>
    </row>
    <row r="103" spans="1:47" s="5" customFormat="1" ht="16.5" customHeight="1">
      <c r="A103" s="503" t="s">
        <v>257</v>
      </c>
      <c r="B103" s="403"/>
      <c r="C103" s="404"/>
      <c r="D103" s="405"/>
      <c r="E103" s="404"/>
      <c r="F103" s="403"/>
      <c r="G103" s="403"/>
      <c r="H103" s="405"/>
      <c r="I103" s="404"/>
      <c r="J103" s="405"/>
      <c r="K103" s="404"/>
      <c r="L103" s="406"/>
      <c r="M103" s="406"/>
      <c r="N103" s="407"/>
      <c r="O103" s="408"/>
      <c r="P103" s="406"/>
      <c r="Q103" s="408"/>
      <c r="R103" s="406"/>
      <c r="S103" s="408"/>
      <c r="T103" s="406"/>
      <c r="U103" s="408"/>
      <c r="V103" s="406"/>
      <c r="W103" s="408"/>
      <c r="X103" s="406"/>
      <c r="Y103" s="408"/>
      <c r="Z103" s="406"/>
      <c r="AA103" s="408"/>
      <c r="AB103" s="406"/>
      <c r="AC103" s="408"/>
      <c r="AD103" s="406"/>
      <c r="AE103" s="406"/>
      <c r="AF103" s="409"/>
      <c r="AG103" s="410"/>
      <c r="AH103" s="409"/>
      <c r="AI103" s="411"/>
      <c r="AJ103" s="409"/>
      <c r="AK103" s="408"/>
      <c r="AL103" s="407"/>
      <c r="AM103" s="408"/>
      <c r="AN103" s="407"/>
      <c r="AO103" s="408"/>
      <c r="AP103" s="407"/>
      <c r="AQ103" s="408"/>
      <c r="AR103" s="406"/>
      <c r="AS103" s="410"/>
      <c r="AT103" s="412"/>
      <c r="AU103" s="413"/>
    </row>
    <row r="104" spans="1:47" s="5" customFormat="1" ht="16.5" customHeight="1">
      <c r="A104" s="504"/>
      <c r="B104" s="501">
        <f>B102</f>
        <v>0</v>
      </c>
      <c r="C104" s="502"/>
      <c r="D104" s="501">
        <f>D102</f>
        <v>0</v>
      </c>
      <c r="E104" s="502"/>
      <c r="F104" s="501">
        <f>F102</f>
        <v>0</v>
      </c>
      <c r="G104" s="502"/>
      <c r="H104" s="501">
        <f>H102</f>
        <v>0</v>
      </c>
      <c r="I104" s="502"/>
      <c r="J104" s="501">
        <f>J102</f>
        <v>0</v>
      </c>
      <c r="K104" s="502"/>
      <c r="L104" s="501">
        <f>L102</f>
        <v>0</v>
      </c>
      <c r="M104" s="502"/>
      <c r="N104" s="501">
        <f>N102</f>
        <v>0</v>
      </c>
      <c r="O104" s="502"/>
      <c r="P104" s="501">
        <f>P102</f>
        <v>0</v>
      </c>
      <c r="Q104" s="502"/>
      <c r="R104" s="501">
        <f>R102</f>
        <v>0</v>
      </c>
      <c r="S104" s="502"/>
      <c r="T104" s="501">
        <f>T102</f>
        <v>0</v>
      </c>
      <c r="U104" s="502"/>
      <c r="V104" s="501">
        <f>V102</f>
        <v>0</v>
      </c>
      <c r="W104" s="502"/>
      <c r="X104" s="501">
        <f>X102</f>
        <v>0</v>
      </c>
      <c r="Y104" s="502"/>
      <c r="Z104" s="501">
        <f>Z102</f>
        <v>0</v>
      </c>
      <c r="AA104" s="502"/>
      <c r="AB104" s="501">
        <f>AB102</f>
        <v>0</v>
      </c>
      <c r="AC104" s="502"/>
      <c r="AD104" s="501">
        <f>AD102</f>
        <v>0</v>
      </c>
      <c r="AE104" s="502"/>
      <c r="AF104" s="501">
        <f>AF102</f>
        <v>0</v>
      </c>
      <c r="AG104" s="502"/>
      <c r="AH104" s="501">
        <f>AH102</f>
        <v>0</v>
      </c>
      <c r="AI104" s="502"/>
      <c r="AJ104" s="501">
        <f>AJ102</f>
        <v>0</v>
      </c>
      <c r="AK104" s="502"/>
      <c r="AL104" s="501">
        <f>AL102</f>
        <v>0</v>
      </c>
      <c r="AM104" s="502"/>
      <c r="AN104" s="501">
        <f>AN102</f>
        <v>0</v>
      </c>
      <c r="AO104" s="502"/>
      <c r="AP104" s="501">
        <f>AP102</f>
        <v>0</v>
      </c>
      <c r="AQ104" s="502"/>
      <c r="AR104" s="501">
        <f>AR102</f>
        <v>0</v>
      </c>
      <c r="AS104" s="502"/>
      <c r="AT104" s="414">
        <f>AT102</f>
        <v>0</v>
      </c>
      <c r="AU104" s="415"/>
    </row>
    <row r="106" ht="13.5" thickBot="1"/>
    <row r="107" spans="1:47" s="4" customFormat="1" ht="31.5" customHeight="1" thickBot="1">
      <c r="A107" s="416" t="s">
        <v>258</v>
      </c>
      <c r="B107" s="489">
        <f>B104+B97</f>
        <v>216137613</v>
      </c>
      <c r="C107" s="489"/>
      <c r="D107" s="489">
        <f>D104+D97</f>
        <v>161032800</v>
      </c>
      <c r="E107" s="489"/>
      <c r="F107" s="489">
        <f>F104+F97</f>
        <v>6560700</v>
      </c>
      <c r="G107" s="489"/>
      <c r="H107" s="489">
        <f>H104+H97</f>
        <v>6560700</v>
      </c>
      <c r="I107" s="489"/>
      <c r="J107" s="499">
        <f>J104+J97</f>
        <v>27728000</v>
      </c>
      <c r="K107" s="500"/>
      <c r="L107" s="489">
        <f>L104+L97</f>
        <v>74224393</v>
      </c>
      <c r="M107" s="489"/>
      <c r="N107" s="489">
        <f>N104+N97</f>
        <v>36539558</v>
      </c>
      <c r="O107" s="489"/>
      <c r="P107" s="489">
        <f>P104+P97</f>
        <v>18075544</v>
      </c>
      <c r="Q107" s="489"/>
      <c r="R107" s="489">
        <f>R104+R97</f>
        <v>11887994</v>
      </c>
      <c r="S107" s="489"/>
      <c r="T107" s="489">
        <f>T104+T97</f>
        <v>10840867</v>
      </c>
      <c r="U107" s="489"/>
      <c r="V107" s="489">
        <f>V104+V97</f>
        <v>151568356</v>
      </c>
      <c r="W107" s="489"/>
      <c r="X107" s="489">
        <f>X104+X97</f>
        <v>67479042</v>
      </c>
      <c r="Y107" s="489"/>
      <c r="Z107" s="489">
        <f>Z104+Z97</f>
        <v>14380692</v>
      </c>
      <c r="AA107" s="489"/>
      <c r="AB107" s="489">
        <f>AB104+AB97</f>
        <v>12049973</v>
      </c>
      <c r="AC107" s="489"/>
      <c r="AD107" s="489">
        <f>AD104+AD97</f>
        <v>8240146</v>
      </c>
      <c r="AE107" s="489"/>
      <c r="AF107" s="489">
        <f>AF104+AF97</f>
        <v>102149853</v>
      </c>
      <c r="AG107" s="489"/>
      <c r="AH107" s="489">
        <f>AH104+AH97</f>
        <v>100315797</v>
      </c>
      <c r="AI107" s="489"/>
      <c r="AJ107" s="489">
        <f>AJ104+AJ97</f>
        <v>11358650</v>
      </c>
      <c r="AK107" s="489"/>
      <c r="AL107" s="489">
        <f>AL104+AL97</f>
        <v>6097758</v>
      </c>
      <c r="AM107" s="489"/>
      <c r="AN107" s="489">
        <f>AN104+AN97</f>
        <v>1445047</v>
      </c>
      <c r="AO107" s="489"/>
      <c r="AP107" s="489">
        <f>AP104+AP97</f>
        <v>1138391</v>
      </c>
      <c r="AQ107" s="489"/>
      <c r="AR107" s="489">
        <f>AR104+AR97</f>
        <v>20039846</v>
      </c>
      <c r="AS107" s="489"/>
      <c r="AT107" s="489">
        <f>AT104+AT97</f>
        <v>792093665</v>
      </c>
      <c r="AU107" s="489"/>
    </row>
    <row r="108" spans="2:47" ht="21.75" customHeight="1">
      <c r="B108" s="490">
        <f>SUM(B107:K107)</f>
        <v>418019813</v>
      </c>
      <c r="C108" s="491"/>
      <c r="D108" s="491"/>
      <c r="E108" s="491"/>
      <c r="F108" s="491"/>
      <c r="G108" s="491"/>
      <c r="H108" s="491"/>
      <c r="I108" s="491"/>
      <c r="J108" s="491"/>
      <c r="K108" s="491"/>
      <c r="L108" s="491">
        <f>V107+AF107+AH107+AR107</f>
        <v>374073852</v>
      </c>
      <c r="M108" s="491"/>
      <c r="N108" s="491"/>
      <c r="O108" s="491"/>
      <c r="P108" s="491"/>
      <c r="Q108" s="491"/>
      <c r="R108" s="491"/>
      <c r="S108" s="491"/>
      <c r="T108" s="491"/>
      <c r="U108" s="491"/>
      <c r="V108" s="491"/>
      <c r="W108" s="491"/>
      <c r="X108" s="491"/>
      <c r="Y108" s="491"/>
      <c r="Z108" s="491"/>
      <c r="AA108" s="491"/>
      <c r="AB108" s="491"/>
      <c r="AC108" s="491"/>
      <c r="AD108" s="491"/>
      <c r="AE108" s="491"/>
      <c r="AF108" s="491"/>
      <c r="AG108" s="491"/>
      <c r="AH108" s="491"/>
      <c r="AI108" s="491"/>
      <c r="AJ108" s="491"/>
      <c r="AK108" s="491"/>
      <c r="AL108" s="491"/>
      <c r="AM108" s="491"/>
      <c r="AN108" s="491"/>
      <c r="AO108" s="491"/>
      <c r="AP108" s="491"/>
      <c r="AQ108" s="491"/>
      <c r="AR108" s="491"/>
      <c r="AS108" s="492"/>
      <c r="AT108" s="493"/>
      <c r="AU108" s="494"/>
    </row>
    <row r="109" spans="2:45" ht="16.5" thickBot="1">
      <c r="B109" s="495" t="s">
        <v>259</v>
      </c>
      <c r="C109" s="496"/>
      <c r="D109" s="496"/>
      <c r="E109" s="496"/>
      <c r="F109" s="496"/>
      <c r="G109" s="496"/>
      <c r="H109" s="496"/>
      <c r="I109" s="496"/>
      <c r="J109" s="496"/>
      <c r="K109" s="496"/>
      <c r="L109" s="497" t="s">
        <v>260</v>
      </c>
      <c r="M109" s="497"/>
      <c r="N109" s="497"/>
      <c r="O109" s="497"/>
      <c r="P109" s="497"/>
      <c r="Q109" s="497"/>
      <c r="R109" s="497"/>
      <c r="S109" s="497"/>
      <c r="T109" s="497"/>
      <c r="U109" s="497"/>
      <c r="V109" s="497"/>
      <c r="W109" s="497"/>
      <c r="X109" s="497"/>
      <c r="Y109" s="497"/>
      <c r="Z109" s="497"/>
      <c r="AA109" s="497"/>
      <c r="AB109" s="497"/>
      <c r="AC109" s="497"/>
      <c r="AD109" s="497"/>
      <c r="AE109" s="497"/>
      <c r="AF109" s="497"/>
      <c r="AG109" s="497"/>
      <c r="AH109" s="497"/>
      <c r="AI109" s="497"/>
      <c r="AJ109" s="497"/>
      <c r="AK109" s="497"/>
      <c r="AL109" s="497"/>
      <c r="AM109" s="497"/>
      <c r="AN109" s="497"/>
      <c r="AO109" s="497"/>
      <c r="AP109" s="497"/>
      <c r="AQ109" s="497"/>
      <c r="AR109" s="497"/>
      <c r="AS109" s="498"/>
    </row>
  </sheetData>
  <sheetProtection/>
  <mergeCells count="783">
    <mergeCell ref="AR43:AS43"/>
    <mergeCell ref="AJ43:AK43"/>
    <mergeCell ref="AL43:AM43"/>
    <mergeCell ref="AN43:AO43"/>
    <mergeCell ref="AP43:AQ43"/>
    <mergeCell ref="AB43:AC43"/>
    <mergeCell ref="AD43:AE43"/>
    <mergeCell ref="AF43:AG43"/>
    <mergeCell ref="AH43:AI43"/>
    <mergeCell ref="T43:U43"/>
    <mergeCell ref="V43:W43"/>
    <mergeCell ref="X43:Y43"/>
    <mergeCell ref="Z43:AA43"/>
    <mergeCell ref="L43:M43"/>
    <mergeCell ref="N43:O43"/>
    <mergeCell ref="P43:Q43"/>
    <mergeCell ref="R43:S43"/>
    <mergeCell ref="AP41:AQ41"/>
    <mergeCell ref="AR41:AS41"/>
    <mergeCell ref="A40:A41"/>
    <mergeCell ref="AH41:AI41"/>
    <mergeCell ref="AJ41:AK41"/>
    <mergeCell ref="AL41:AM41"/>
    <mergeCell ref="AN41:AO41"/>
    <mergeCell ref="Z41:AA41"/>
    <mergeCell ref="AB41:AC41"/>
    <mergeCell ref="AD41:AE41"/>
    <mergeCell ref="AF41:AG41"/>
    <mergeCell ref="R41:S41"/>
    <mergeCell ref="T41:U41"/>
    <mergeCell ref="V41:W41"/>
    <mergeCell ref="X41:Y41"/>
    <mergeCell ref="B41:C41"/>
    <mergeCell ref="L41:M41"/>
    <mergeCell ref="N41:O41"/>
    <mergeCell ref="P41:Q41"/>
    <mergeCell ref="L1:AG1"/>
    <mergeCell ref="L2:AG2"/>
    <mergeCell ref="B9:C9"/>
    <mergeCell ref="B4:C4"/>
    <mergeCell ref="D4:E4"/>
    <mergeCell ref="F4:G4"/>
    <mergeCell ref="H4:I4"/>
    <mergeCell ref="J4:K4"/>
    <mergeCell ref="L4:M4"/>
    <mergeCell ref="N4:O4"/>
    <mergeCell ref="P4:Q4"/>
    <mergeCell ref="AB4:AC4"/>
    <mergeCell ref="A5:AS5"/>
    <mergeCell ref="AT5:AU5"/>
    <mergeCell ref="T4:U4"/>
    <mergeCell ref="V4:W4"/>
    <mergeCell ref="X4:Y4"/>
    <mergeCell ref="Z4:AA4"/>
    <mergeCell ref="AJ4:AK4"/>
    <mergeCell ref="AL4:AM4"/>
    <mergeCell ref="A6:AS6"/>
    <mergeCell ref="AT6:AU6"/>
    <mergeCell ref="AT4:AU4"/>
    <mergeCell ref="AD4:AE4"/>
    <mergeCell ref="AF4:AG4"/>
    <mergeCell ref="AH4:AI4"/>
    <mergeCell ref="AP4:AQ4"/>
    <mergeCell ref="AR4:AS4"/>
    <mergeCell ref="AN4:AO4"/>
    <mergeCell ref="R4:S4"/>
    <mergeCell ref="D8:E8"/>
    <mergeCell ref="B11:C11"/>
    <mergeCell ref="A12:A13"/>
    <mergeCell ref="B13:C13"/>
    <mergeCell ref="A10:A11"/>
    <mergeCell ref="AT25:AU25"/>
    <mergeCell ref="B24:C24"/>
    <mergeCell ref="A14:A15"/>
    <mergeCell ref="B15:C15"/>
    <mergeCell ref="B23:C23"/>
    <mergeCell ref="L23:M23"/>
    <mergeCell ref="N23:O23"/>
    <mergeCell ref="P23:Q23"/>
    <mergeCell ref="R21:S21"/>
    <mergeCell ref="T21:U21"/>
    <mergeCell ref="L27:M27"/>
    <mergeCell ref="N27:O27"/>
    <mergeCell ref="P27:Q27"/>
    <mergeCell ref="R27:S27"/>
    <mergeCell ref="T27:U27"/>
    <mergeCell ref="AP27:AQ27"/>
    <mergeCell ref="AF27:AG27"/>
    <mergeCell ref="AH27:AI27"/>
    <mergeCell ref="AJ27:AK27"/>
    <mergeCell ref="AL27:AM27"/>
    <mergeCell ref="AN27:AO27"/>
    <mergeCell ref="AR27:AS27"/>
    <mergeCell ref="V27:W27"/>
    <mergeCell ref="X27:Y27"/>
    <mergeCell ref="A16:A17"/>
    <mergeCell ref="B17:C17"/>
    <mergeCell ref="B19:C19"/>
    <mergeCell ref="A25:AS25"/>
    <mergeCell ref="Z27:AA27"/>
    <mergeCell ref="AB27:AC27"/>
    <mergeCell ref="AD27:AE27"/>
    <mergeCell ref="AH29:AI29"/>
    <mergeCell ref="L29:M29"/>
    <mergeCell ref="N29:O29"/>
    <mergeCell ref="P29:Q29"/>
    <mergeCell ref="R29:S29"/>
    <mergeCell ref="T29:U29"/>
    <mergeCell ref="V29:W29"/>
    <mergeCell ref="AD29:AE29"/>
    <mergeCell ref="AR29:AS29"/>
    <mergeCell ref="L31:M31"/>
    <mergeCell ref="N31:O31"/>
    <mergeCell ref="P31:Q31"/>
    <mergeCell ref="R31:S31"/>
    <mergeCell ref="T31:U31"/>
    <mergeCell ref="X29:Y29"/>
    <mergeCell ref="Z29:AA29"/>
    <mergeCell ref="AB29:AC29"/>
    <mergeCell ref="AF29:AG29"/>
    <mergeCell ref="AP29:AQ29"/>
    <mergeCell ref="AP31:AQ31"/>
    <mergeCell ref="AN31:AO31"/>
    <mergeCell ref="AJ29:AK29"/>
    <mergeCell ref="AJ31:AK31"/>
    <mergeCell ref="AL31:AM31"/>
    <mergeCell ref="AL29:AM29"/>
    <mergeCell ref="AN29:AO29"/>
    <mergeCell ref="AJ33:AK33"/>
    <mergeCell ref="AL33:AM33"/>
    <mergeCell ref="AR31:AS31"/>
    <mergeCell ref="V31:W31"/>
    <mergeCell ref="X31:Y31"/>
    <mergeCell ref="Z31:AA31"/>
    <mergeCell ref="AB31:AC31"/>
    <mergeCell ref="AD31:AE31"/>
    <mergeCell ref="AF31:AG31"/>
    <mergeCell ref="AH31:AI31"/>
    <mergeCell ref="L33:M33"/>
    <mergeCell ref="N33:O33"/>
    <mergeCell ref="P33:Q33"/>
    <mergeCell ref="R33:S33"/>
    <mergeCell ref="T33:U33"/>
    <mergeCell ref="V33:W33"/>
    <mergeCell ref="AR33:AS33"/>
    <mergeCell ref="L35:M35"/>
    <mergeCell ref="N35:O35"/>
    <mergeCell ref="P35:Q35"/>
    <mergeCell ref="R35:S35"/>
    <mergeCell ref="T35:U35"/>
    <mergeCell ref="X33:Y33"/>
    <mergeCell ref="Z33:AA33"/>
    <mergeCell ref="AB33:AC33"/>
    <mergeCell ref="AD33:AE33"/>
    <mergeCell ref="AP33:AQ33"/>
    <mergeCell ref="AL35:AM35"/>
    <mergeCell ref="AN35:AO35"/>
    <mergeCell ref="AP35:AQ35"/>
    <mergeCell ref="AF35:AG35"/>
    <mergeCell ref="AF33:AG33"/>
    <mergeCell ref="AH33:AI33"/>
    <mergeCell ref="AN33:AO33"/>
    <mergeCell ref="AR35:AS35"/>
    <mergeCell ref="R37:S37"/>
    <mergeCell ref="T37:U37"/>
    <mergeCell ref="AH35:AI35"/>
    <mergeCell ref="AJ35:AK35"/>
    <mergeCell ref="V35:W35"/>
    <mergeCell ref="X35:Y35"/>
    <mergeCell ref="Z35:AA35"/>
    <mergeCell ref="AB35:AC35"/>
    <mergeCell ref="AD35:AE35"/>
    <mergeCell ref="A36:A37"/>
    <mergeCell ref="L37:M37"/>
    <mergeCell ref="N37:O37"/>
    <mergeCell ref="P37:Q37"/>
    <mergeCell ref="Z37:AA37"/>
    <mergeCell ref="AL37:AM37"/>
    <mergeCell ref="AN37:AO37"/>
    <mergeCell ref="AP37:AQ37"/>
    <mergeCell ref="AR37:AS37"/>
    <mergeCell ref="R39:S39"/>
    <mergeCell ref="T39:U39"/>
    <mergeCell ref="AH37:AI37"/>
    <mergeCell ref="AJ37:AK37"/>
    <mergeCell ref="V37:W37"/>
    <mergeCell ref="X37:Y37"/>
    <mergeCell ref="AB37:AC37"/>
    <mergeCell ref="AD37:AE37"/>
    <mergeCell ref="AF37:AG37"/>
    <mergeCell ref="AN39:AO39"/>
    <mergeCell ref="A44:AS44"/>
    <mergeCell ref="AD39:AE39"/>
    <mergeCell ref="AF39:AG39"/>
    <mergeCell ref="Z39:AA39"/>
    <mergeCell ref="AH39:AI39"/>
    <mergeCell ref="A38:A39"/>
    <mergeCell ref="L39:M39"/>
    <mergeCell ref="N39:O39"/>
    <mergeCell ref="P39:Q39"/>
    <mergeCell ref="N46:O46"/>
    <mergeCell ref="P46:Q46"/>
    <mergeCell ref="AT44:AU44"/>
    <mergeCell ref="AP39:AQ39"/>
    <mergeCell ref="AR39:AS39"/>
    <mergeCell ref="V39:W39"/>
    <mergeCell ref="X39:Y39"/>
    <mergeCell ref="AB39:AC39"/>
    <mergeCell ref="AJ39:AK39"/>
    <mergeCell ref="AL39:AM39"/>
    <mergeCell ref="AF46:AG46"/>
    <mergeCell ref="AH46:AI46"/>
    <mergeCell ref="Z46:AA46"/>
    <mergeCell ref="AB46:AC46"/>
    <mergeCell ref="Z48:AA48"/>
    <mergeCell ref="AB48:AC48"/>
    <mergeCell ref="AD46:AE46"/>
    <mergeCell ref="X46:Y46"/>
    <mergeCell ref="AD48:AE48"/>
    <mergeCell ref="R46:S46"/>
    <mergeCell ref="T46:U46"/>
    <mergeCell ref="V46:W46"/>
    <mergeCell ref="B48:C48"/>
    <mergeCell ref="L48:M48"/>
    <mergeCell ref="N48:O48"/>
    <mergeCell ref="P48:Q48"/>
    <mergeCell ref="V48:W48"/>
    <mergeCell ref="B46:C46"/>
    <mergeCell ref="L46:M46"/>
    <mergeCell ref="AL46:AM46"/>
    <mergeCell ref="AN46:AO46"/>
    <mergeCell ref="AH48:AI48"/>
    <mergeCell ref="AJ48:AK48"/>
    <mergeCell ref="AL48:AM48"/>
    <mergeCell ref="AN48:AO48"/>
    <mergeCell ref="AJ46:AK46"/>
    <mergeCell ref="AP46:AQ46"/>
    <mergeCell ref="AR46:AS46"/>
    <mergeCell ref="AP48:AQ48"/>
    <mergeCell ref="AR48:AS48"/>
    <mergeCell ref="AF48:AG48"/>
    <mergeCell ref="L50:M50"/>
    <mergeCell ref="N50:O50"/>
    <mergeCell ref="P50:Q50"/>
    <mergeCell ref="R50:S50"/>
    <mergeCell ref="AD50:AE50"/>
    <mergeCell ref="AF50:AG50"/>
    <mergeCell ref="R48:S48"/>
    <mergeCell ref="T48:U48"/>
    <mergeCell ref="X48:Y48"/>
    <mergeCell ref="AH50:AI50"/>
    <mergeCell ref="AN50:AO50"/>
    <mergeCell ref="AJ50:AK50"/>
    <mergeCell ref="T52:U52"/>
    <mergeCell ref="X50:Y50"/>
    <mergeCell ref="Z50:AA50"/>
    <mergeCell ref="AB50:AC50"/>
    <mergeCell ref="T50:U50"/>
    <mergeCell ref="V50:W50"/>
    <mergeCell ref="AL50:AM50"/>
    <mergeCell ref="L52:M52"/>
    <mergeCell ref="N52:O52"/>
    <mergeCell ref="P52:Q52"/>
    <mergeCell ref="R52:S52"/>
    <mergeCell ref="AP50:AQ50"/>
    <mergeCell ref="AP52:AQ52"/>
    <mergeCell ref="AR52:AS52"/>
    <mergeCell ref="AL52:AM52"/>
    <mergeCell ref="AN52:AO52"/>
    <mergeCell ref="AR50:AS50"/>
    <mergeCell ref="V52:W52"/>
    <mergeCell ref="X52:Y52"/>
    <mergeCell ref="Z52:AA52"/>
    <mergeCell ref="AB52:AC52"/>
    <mergeCell ref="AD52:AE52"/>
    <mergeCell ref="AF52:AG52"/>
    <mergeCell ref="AH52:AI52"/>
    <mergeCell ref="AJ52:AK52"/>
    <mergeCell ref="L54:M54"/>
    <mergeCell ref="N54:O54"/>
    <mergeCell ref="P54:Q54"/>
    <mergeCell ref="R54:S54"/>
    <mergeCell ref="T54:U54"/>
    <mergeCell ref="V54:W54"/>
    <mergeCell ref="AR54:AS54"/>
    <mergeCell ref="L56:M56"/>
    <mergeCell ref="N56:O56"/>
    <mergeCell ref="P56:Q56"/>
    <mergeCell ref="R56:S56"/>
    <mergeCell ref="T56:U56"/>
    <mergeCell ref="X54:Y54"/>
    <mergeCell ref="Z54:AA54"/>
    <mergeCell ref="AB54:AC54"/>
    <mergeCell ref="AD54:AE54"/>
    <mergeCell ref="AP54:AQ54"/>
    <mergeCell ref="AP56:AQ56"/>
    <mergeCell ref="AN56:AO56"/>
    <mergeCell ref="AF54:AG54"/>
    <mergeCell ref="AH54:AI54"/>
    <mergeCell ref="AN54:AO54"/>
    <mergeCell ref="AJ54:AK54"/>
    <mergeCell ref="AL54:AM54"/>
    <mergeCell ref="AR56:AS56"/>
    <mergeCell ref="V56:W56"/>
    <mergeCell ref="X56:Y56"/>
    <mergeCell ref="Z56:AA56"/>
    <mergeCell ref="AB56:AC56"/>
    <mergeCell ref="AD56:AE56"/>
    <mergeCell ref="AF56:AG56"/>
    <mergeCell ref="AH56:AI56"/>
    <mergeCell ref="AJ56:AK56"/>
    <mergeCell ref="AL56:AM56"/>
    <mergeCell ref="L58:M58"/>
    <mergeCell ref="N58:O58"/>
    <mergeCell ref="P58:Q58"/>
    <mergeCell ref="R58:S58"/>
    <mergeCell ref="T58:U58"/>
    <mergeCell ref="V58:W58"/>
    <mergeCell ref="AR58:AS58"/>
    <mergeCell ref="L60:M60"/>
    <mergeCell ref="N60:O60"/>
    <mergeCell ref="P60:Q60"/>
    <mergeCell ref="R60:S60"/>
    <mergeCell ref="T60:U60"/>
    <mergeCell ref="X58:Y58"/>
    <mergeCell ref="Z58:AA58"/>
    <mergeCell ref="AB58:AC58"/>
    <mergeCell ref="AD58:AE58"/>
    <mergeCell ref="AP58:AQ58"/>
    <mergeCell ref="AP60:AQ60"/>
    <mergeCell ref="AN60:AO60"/>
    <mergeCell ref="AF58:AG58"/>
    <mergeCell ref="AH58:AI58"/>
    <mergeCell ref="AN58:AO58"/>
    <mergeCell ref="AJ58:AK58"/>
    <mergeCell ref="AL58:AM58"/>
    <mergeCell ref="AR60:AS60"/>
    <mergeCell ref="V60:W60"/>
    <mergeCell ref="X60:Y60"/>
    <mergeCell ref="Z60:AA60"/>
    <mergeCell ref="AB60:AC60"/>
    <mergeCell ref="AD60:AE60"/>
    <mergeCell ref="AF60:AG60"/>
    <mergeCell ref="AH60:AI60"/>
    <mergeCell ref="AJ60:AK60"/>
    <mergeCell ref="AL60:AM60"/>
    <mergeCell ref="L62:M62"/>
    <mergeCell ref="N62:O62"/>
    <mergeCell ref="P62:Q62"/>
    <mergeCell ref="R62:S62"/>
    <mergeCell ref="T62:U62"/>
    <mergeCell ref="V62:W62"/>
    <mergeCell ref="AR62:AS62"/>
    <mergeCell ref="L64:M64"/>
    <mergeCell ref="N64:O64"/>
    <mergeCell ref="P64:Q64"/>
    <mergeCell ref="R64:S64"/>
    <mergeCell ref="T64:U64"/>
    <mergeCell ref="X62:Y62"/>
    <mergeCell ref="Z62:AA62"/>
    <mergeCell ref="AB62:AC62"/>
    <mergeCell ref="AD62:AE62"/>
    <mergeCell ref="AP62:AQ62"/>
    <mergeCell ref="AP64:AQ64"/>
    <mergeCell ref="AN64:AO64"/>
    <mergeCell ref="AF62:AG62"/>
    <mergeCell ref="AH62:AI62"/>
    <mergeCell ref="AN62:AO62"/>
    <mergeCell ref="AJ62:AK62"/>
    <mergeCell ref="AL62:AM62"/>
    <mergeCell ref="AR64:AS64"/>
    <mergeCell ref="V64:W64"/>
    <mergeCell ref="X64:Y64"/>
    <mergeCell ref="Z64:AA64"/>
    <mergeCell ref="AB64:AC64"/>
    <mergeCell ref="AD64:AE64"/>
    <mergeCell ref="AF64:AG64"/>
    <mergeCell ref="AH64:AI64"/>
    <mergeCell ref="AJ64:AK64"/>
    <mergeCell ref="AL64:AM64"/>
    <mergeCell ref="L66:M66"/>
    <mergeCell ref="N66:O66"/>
    <mergeCell ref="P66:Q66"/>
    <mergeCell ref="R66:S66"/>
    <mergeCell ref="T66:U66"/>
    <mergeCell ref="V66:W66"/>
    <mergeCell ref="AR66:AS66"/>
    <mergeCell ref="L68:M68"/>
    <mergeCell ref="N68:O68"/>
    <mergeCell ref="P68:Q68"/>
    <mergeCell ref="R68:S68"/>
    <mergeCell ref="T68:U68"/>
    <mergeCell ref="X66:Y66"/>
    <mergeCell ref="Z66:AA66"/>
    <mergeCell ref="AB66:AC66"/>
    <mergeCell ref="AD66:AE66"/>
    <mergeCell ref="AP66:AQ66"/>
    <mergeCell ref="AP68:AQ68"/>
    <mergeCell ref="AN68:AO68"/>
    <mergeCell ref="AF66:AG66"/>
    <mergeCell ref="AH66:AI66"/>
    <mergeCell ref="AN66:AO66"/>
    <mergeCell ref="AJ66:AK66"/>
    <mergeCell ref="AL66:AM66"/>
    <mergeCell ref="AR68:AS68"/>
    <mergeCell ref="V68:W68"/>
    <mergeCell ref="X68:Y68"/>
    <mergeCell ref="Z68:AA68"/>
    <mergeCell ref="AB68:AC68"/>
    <mergeCell ref="AD68:AE68"/>
    <mergeCell ref="AF68:AG68"/>
    <mergeCell ref="AH68:AI68"/>
    <mergeCell ref="AJ68:AK68"/>
    <mergeCell ref="AL68:AM68"/>
    <mergeCell ref="L70:M70"/>
    <mergeCell ref="N70:O70"/>
    <mergeCell ref="P70:Q70"/>
    <mergeCell ref="R70:S70"/>
    <mergeCell ref="T70:U70"/>
    <mergeCell ref="V70:W70"/>
    <mergeCell ref="AR70:AS70"/>
    <mergeCell ref="L72:M72"/>
    <mergeCell ref="N72:O72"/>
    <mergeCell ref="P72:Q72"/>
    <mergeCell ref="R72:S72"/>
    <mergeCell ref="T72:U72"/>
    <mergeCell ref="X70:Y70"/>
    <mergeCell ref="Z70:AA70"/>
    <mergeCell ref="AB70:AC70"/>
    <mergeCell ref="AD70:AE70"/>
    <mergeCell ref="AP70:AQ70"/>
    <mergeCell ref="AP72:AQ72"/>
    <mergeCell ref="AN72:AO72"/>
    <mergeCell ref="AF70:AG70"/>
    <mergeCell ref="AH70:AI70"/>
    <mergeCell ref="AN70:AO70"/>
    <mergeCell ref="AJ70:AK70"/>
    <mergeCell ref="AL70:AM70"/>
    <mergeCell ref="AR72:AS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P74:Q74"/>
    <mergeCell ref="R74:S74"/>
    <mergeCell ref="AF74:AG74"/>
    <mergeCell ref="AH74:AI74"/>
    <mergeCell ref="AR74:AS74"/>
    <mergeCell ref="L76:M76"/>
    <mergeCell ref="N76:O76"/>
    <mergeCell ref="P76:Q76"/>
    <mergeCell ref="R76:S76"/>
    <mergeCell ref="T76:U76"/>
    <mergeCell ref="X74:Y74"/>
    <mergeCell ref="Z74:AA74"/>
    <mergeCell ref="L74:M74"/>
    <mergeCell ref="N74:O74"/>
    <mergeCell ref="AL76:AM76"/>
    <mergeCell ref="AN76:AO76"/>
    <mergeCell ref="T74:U74"/>
    <mergeCell ref="V74:W74"/>
    <mergeCell ref="AN74:AO74"/>
    <mergeCell ref="AJ74:AK74"/>
    <mergeCell ref="AL74:AM74"/>
    <mergeCell ref="AJ76:AK76"/>
    <mergeCell ref="AF76:AG76"/>
    <mergeCell ref="AH76:AI76"/>
    <mergeCell ref="AP74:AQ74"/>
    <mergeCell ref="AP76:AQ76"/>
    <mergeCell ref="AR76:AS76"/>
    <mergeCell ref="V76:W76"/>
    <mergeCell ref="X76:Y76"/>
    <mergeCell ref="Z76:AA76"/>
    <mergeCell ref="AB76:AC76"/>
    <mergeCell ref="AD76:AE76"/>
    <mergeCell ref="AB74:AC74"/>
    <mergeCell ref="AD74:AE74"/>
    <mergeCell ref="L78:M78"/>
    <mergeCell ref="N78:O78"/>
    <mergeCell ref="P78:Q78"/>
    <mergeCell ref="R78:S78"/>
    <mergeCell ref="AR78:AS78"/>
    <mergeCell ref="V78:W78"/>
    <mergeCell ref="X78:Y78"/>
    <mergeCell ref="Z78:AA78"/>
    <mergeCell ref="AB78:AC78"/>
    <mergeCell ref="AD78:AE78"/>
    <mergeCell ref="AF78:AG78"/>
    <mergeCell ref="AH78:AI78"/>
    <mergeCell ref="AN78:AO78"/>
    <mergeCell ref="P80:Q80"/>
    <mergeCell ref="R80:S80"/>
    <mergeCell ref="AP78:AQ78"/>
    <mergeCell ref="T78:U78"/>
    <mergeCell ref="AL78:AM78"/>
    <mergeCell ref="AD80:AE80"/>
    <mergeCell ref="AJ80:AK80"/>
    <mergeCell ref="AB80:AC80"/>
    <mergeCell ref="T80:U80"/>
    <mergeCell ref="AJ78:AK78"/>
    <mergeCell ref="A81:A82"/>
    <mergeCell ref="L82:M82"/>
    <mergeCell ref="N82:O82"/>
    <mergeCell ref="P82:Q82"/>
    <mergeCell ref="R82:S82"/>
    <mergeCell ref="X80:Y80"/>
    <mergeCell ref="AJ82:AK82"/>
    <mergeCell ref="AR80:AS80"/>
    <mergeCell ref="AD82:AE82"/>
    <mergeCell ref="T82:U82"/>
    <mergeCell ref="V82:W82"/>
    <mergeCell ref="X82:Y82"/>
    <mergeCell ref="AN82:AO82"/>
    <mergeCell ref="AP82:AQ82"/>
    <mergeCell ref="AR82:AS82"/>
    <mergeCell ref="AR84:AS84"/>
    <mergeCell ref="AL82:AM82"/>
    <mergeCell ref="AL80:AM80"/>
    <mergeCell ref="AP80:AQ80"/>
    <mergeCell ref="AN80:AO80"/>
    <mergeCell ref="AN84:AO84"/>
    <mergeCell ref="AP84:AQ84"/>
    <mergeCell ref="AH82:AI82"/>
    <mergeCell ref="AB82:AC82"/>
    <mergeCell ref="AB84:AC84"/>
    <mergeCell ref="Z80:AA80"/>
    <mergeCell ref="AF80:AG80"/>
    <mergeCell ref="Z82:AA82"/>
    <mergeCell ref="A83:A84"/>
    <mergeCell ref="L84:M84"/>
    <mergeCell ref="N84:O84"/>
    <mergeCell ref="P84:Q84"/>
    <mergeCell ref="V84:W84"/>
    <mergeCell ref="AF84:AG84"/>
    <mergeCell ref="AH84:AI84"/>
    <mergeCell ref="L80:M80"/>
    <mergeCell ref="N80:O80"/>
    <mergeCell ref="AH80:AI80"/>
    <mergeCell ref="R84:S84"/>
    <mergeCell ref="T84:U84"/>
    <mergeCell ref="V80:W80"/>
    <mergeCell ref="AF82:AG82"/>
    <mergeCell ref="X84:Y84"/>
    <mergeCell ref="Z84:AA84"/>
    <mergeCell ref="AD84:AE84"/>
    <mergeCell ref="AL84:AM84"/>
    <mergeCell ref="AJ84:AK84"/>
    <mergeCell ref="AD86:AE86"/>
    <mergeCell ref="AF86:AG86"/>
    <mergeCell ref="AH86:AI86"/>
    <mergeCell ref="AJ86:AK86"/>
    <mergeCell ref="L88:M88"/>
    <mergeCell ref="P88:Q88"/>
    <mergeCell ref="R88:S88"/>
    <mergeCell ref="T88:U88"/>
    <mergeCell ref="L86:M86"/>
    <mergeCell ref="N86:O86"/>
    <mergeCell ref="P86:Q86"/>
    <mergeCell ref="AP86:AQ86"/>
    <mergeCell ref="Z86:AA86"/>
    <mergeCell ref="AB86:AC86"/>
    <mergeCell ref="T86:U86"/>
    <mergeCell ref="V86:W86"/>
    <mergeCell ref="X86:Y86"/>
    <mergeCell ref="R86:S86"/>
    <mergeCell ref="AR86:AS86"/>
    <mergeCell ref="AL88:AM88"/>
    <mergeCell ref="AN88:AO88"/>
    <mergeCell ref="AP88:AQ88"/>
    <mergeCell ref="AR88:AS88"/>
    <mergeCell ref="AL86:AM86"/>
    <mergeCell ref="AN86:AO86"/>
    <mergeCell ref="A89:AS89"/>
    <mergeCell ref="AT89:AU89"/>
    <mergeCell ref="AH88:AI88"/>
    <mergeCell ref="AJ88:AK88"/>
    <mergeCell ref="V88:W88"/>
    <mergeCell ref="X88:Y88"/>
    <mergeCell ref="Z88:AA88"/>
    <mergeCell ref="AB88:AC88"/>
    <mergeCell ref="AD88:AE88"/>
    <mergeCell ref="AF88:AG88"/>
    <mergeCell ref="B91:C91"/>
    <mergeCell ref="F91:G91"/>
    <mergeCell ref="H91:I91"/>
    <mergeCell ref="L91:M91"/>
    <mergeCell ref="N91:O91"/>
    <mergeCell ref="P91:Q91"/>
    <mergeCell ref="R91:S91"/>
    <mergeCell ref="T91:U91"/>
    <mergeCell ref="AP91:AQ91"/>
    <mergeCell ref="AR91:AS91"/>
    <mergeCell ref="V91:W91"/>
    <mergeCell ref="X91:Y91"/>
    <mergeCell ref="Z91:AA91"/>
    <mergeCell ref="AB91:AC91"/>
    <mergeCell ref="AD91:AE91"/>
    <mergeCell ref="AF91:AG91"/>
    <mergeCell ref="AH91:AI91"/>
    <mergeCell ref="AJ91:AK91"/>
    <mergeCell ref="AL91:AM91"/>
    <mergeCell ref="AN91:AO91"/>
    <mergeCell ref="AB93:AC93"/>
    <mergeCell ref="AD93:AE93"/>
    <mergeCell ref="AN93:AO93"/>
    <mergeCell ref="AJ93:AK93"/>
    <mergeCell ref="AL93:AM93"/>
    <mergeCell ref="B93:C93"/>
    <mergeCell ref="J93:K93"/>
    <mergeCell ref="L93:M93"/>
    <mergeCell ref="N93:O93"/>
    <mergeCell ref="P93:Q93"/>
    <mergeCell ref="R93:S93"/>
    <mergeCell ref="AT94:AU94"/>
    <mergeCell ref="B96:C96"/>
    <mergeCell ref="L96:M96"/>
    <mergeCell ref="N96:O96"/>
    <mergeCell ref="P96:Q96"/>
    <mergeCell ref="R96:S96"/>
    <mergeCell ref="AF93:AG93"/>
    <mergeCell ref="AH93:AI93"/>
    <mergeCell ref="T93:U93"/>
    <mergeCell ref="V93:W93"/>
    <mergeCell ref="X93:Y93"/>
    <mergeCell ref="Z93:AA93"/>
    <mergeCell ref="AP96:AQ96"/>
    <mergeCell ref="AP93:AQ93"/>
    <mergeCell ref="AR96:AS96"/>
    <mergeCell ref="X96:Y96"/>
    <mergeCell ref="Z96:AA96"/>
    <mergeCell ref="AB96:AC96"/>
    <mergeCell ref="AF96:AG96"/>
    <mergeCell ref="AH96:AI96"/>
    <mergeCell ref="AR93:AS93"/>
    <mergeCell ref="A94:AS94"/>
    <mergeCell ref="N97:O97"/>
    <mergeCell ref="P97:Q97"/>
    <mergeCell ref="R97:S97"/>
    <mergeCell ref="T97:U97"/>
    <mergeCell ref="F97:G97"/>
    <mergeCell ref="H97:I97"/>
    <mergeCell ref="AL96:AM96"/>
    <mergeCell ref="AN96:AO96"/>
    <mergeCell ref="T96:U96"/>
    <mergeCell ref="V96:W96"/>
    <mergeCell ref="J97:K97"/>
    <mergeCell ref="L97:M97"/>
    <mergeCell ref="AD96:AE96"/>
    <mergeCell ref="AJ96:AK96"/>
    <mergeCell ref="AT97:AU97"/>
    <mergeCell ref="B98:C98"/>
    <mergeCell ref="D98:E98"/>
    <mergeCell ref="F98:G98"/>
    <mergeCell ref="H98:I98"/>
    <mergeCell ref="J98:K98"/>
    <mergeCell ref="Z97:AA97"/>
    <mergeCell ref="AB97:AC97"/>
    <mergeCell ref="B97:C97"/>
    <mergeCell ref="D97:E97"/>
    <mergeCell ref="AL97:AM97"/>
    <mergeCell ref="AN97:AO97"/>
    <mergeCell ref="V97:W97"/>
    <mergeCell ref="X97:Y97"/>
    <mergeCell ref="AH97:AI97"/>
    <mergeCell ref="AJ97:AK97"/>
    <mergeCell ref="AP97:AQ97"/>
    <mergeCell ref="AR97:AS97"/>
    <mergeCell ref="R23:S23"/>
    <mergeCell ref="T23:U23"/>
    <mergeCell ref="AL23:AM23"/>
    <mergeCell ref="AN23:AO23"/>
    <mergeCell ref="AP23:AQ23"/>
    <mergeCell ref="AR23:AS23"/>
    <mergeCell ref="AD97:AE97"/>
    <mergeCell ref="AF97:AG97"/>
    <mergeCell ref="AT98:AU98"/>
    <mergeCell ref="A100:AS100"/>
    <mergeCell ref="AT100:AU100"/>
    <mergeCell ref="V98:W98"/>
    <mergeCell ref="AF98:AG98"/>
    <mergeCell ref="AH98:AI98"/>
    <mergeCell ref="L98:M98"/>
    <mergeCell ref="N98:O98"/>
    <mergeCell ref="P98:Q98"/>
    <mergeCell ref="AR98:AS98"/>
    <mergeCell ref="AH23:AI23"/>
    <mergeCell ref="AJ23:AK23"/>
    <mergeCell ref="V23:W23"/>
    <mergeCell ref="X23:Y23"/>
    <mergeCell ref="Z23:AA23"/>
    <mergeCell ref="AB23:AC23"/>
    <mergeCell ref="AD23:AE23"/>
    <mergeCell ref="AF23:AG23"/>
    <mergeCell ref="B21:C21"/>
    <mergeCell ref="L21:M21"/>
    <mergeCell ref="N21:O21"/>
    <mergeCell ref="P21:Q21"/>
    <mergeCell ref="Z21:AA21"/>
    <mergeCell ref="AB21:AC21"/>
    <mergeCell ref="AL21:AM21"/>
    <mergeCell ref="AN21:AO21"/>
    <mergeCell ref="AP21:AQ21"/>
    <mergeCell ref="AR21:AS21"/>
    <mergeCell ref="R102:S102"/>
    <mergeCell ref="T102:U102"/>
    <mergeCell ref="AH21:AI21"/>
    <mergeCell ref="AJ21:AK21"/>
    <mergeCell ref="V21:W21"/>
    <mergeCell ref="X21:Y21"/>
    <mergeCell ref="AD21:AE21"/>
    <mergeCell ref="AF21:AG21"/>
    <mergeCell ref="B102:C102"/>
    <mergeCell ref="L102:M102"/>
    <mergeCell ref="N102:O102"/>
    <mergeCell ref="P102:Q102"/>
    <mergeCell ref="Z102:AA102"/>
    <mergeCell ref="AB102:AC102"/>
    <mergeCell ref="AD102:AE102"/>
    <mergeCell ref="AF102:AG102"/>
    <mergeCell ref="AL102:AM102"/>
    <mergeCell ref="AN102:AO102"/>
    <mergeCell ref="AP102:AQ102"/>
    <mergeCell ref="AR102:AS102"/>
    <mergeCell ref="H104:I104"/>
    <mergeCell ref="J104:K104"/>
    <mergeCell ref="AH102:AI102"/>
    <mergeCell ref="AJ102:AK102"/>
    <mergeCell ref="V102:W102"/>
    <mergeCell ref="X102:Y102"/>
    <mergeCell ref="P104:Q104"/>
    <mergeCell ref="R104:S104"/>
    <mergeCell ref="L104:M104"/>
    <mergeCell ref="N104:O104"/>
    <mergeCell ref="A103:A104"/>
    <mergeCell ref="B104:C104"/>
    <mergeCell ref="D104:E104"/>
    <mergeCell ref="F104:G104"/>
    <mergeCell ref="AR104:AS104"/>
    <mergeCell ref="X104:Y104"/>
    <mergeCell ref="Z104:AA104"/>
    <mergeCell ref="AB104:AC104"/>
    <mergeCell ref="AD104:AE104"/>
    <mergeCell ref="AF104:AG104"/>
    <mergeCell ref="AH104:AI104"/>
    <mergeCell ref="AJ104:AK104"/>
    <mergeCell ref="AL104:AM104"/>
    <mergeCell ref="AN104:AO104"/>
    <mergeCell ref="AP104:AQ104"/>
    <mergeCell ref="L107:M107"/>
    <mergeCell ref="N107:O107"/>
    <mergeCell ref="P107:Q107"/>
    <mergeCell ref="R107:S107"/>
    <mergeCell ref="T104:U104"/>
    <mergeCell ref="V104:W104"/>
    <mergeCell ref="D107:E107"/>
    <mergeCell ref="F107:G107"/>
    <mergeCell ref="H107:I107"/>
    <mergeCell ref="J107:K107"/>
    <mergeCell ref="B109:K109"/>
    <mergeCell ref="L109:AS109"/>
    <mergeCell ref="AF107:AG107"/>
    <mergeCell ref="AH107:AI107"/>
    <mergeCell ref="AJ107:AK107"/>
    <mergeCell ref="AL107:AM107"/>
    <mergeCell ref="AN107:AO107"/>
    <mergeCell ref="AP107:AQ107"/>
    <mergeCell ref="T107:U107"/>
    <mergeCell ref="V107:W107"/>
    <mergeCell ref="AR107:AS107"/>
    <mergeCell ref="AT107:AU107"/>
    <mergeCell ref="B108:K108"/>
    <mergeCell ref="L108:AS108"/>
    <mergeCell ref="AT108:AU108"/>
    <mergeCell ref="X107:Y107"/>
    <mergeCell ref="Z107:AA107"/>
    <mergeCell ref="AB107:AC107"/>
    <mergeCell ref="AD107:AE107"/>
    <mergeCell ref="B107:C107"/>
  </mergeCells>
  <printOptions/>
  <pageMargins left="0.31496062992125984" right="0.11811023622047245" top="0.31496062992125984" bottom="0.15748031496062992" header="0.15748031496062992" footer="0.11811023622047245"/>
  <pageSetup fitToHeight="2" fitToWidth="2" horizontalDpi="600" verticalDpi="600" orientation="portrait" paperSize="9" scale="37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483"/>
  <sheetViews>
    <sheetView view="pageBreakPreview" zoomScaleSheetLayoutView="100" workbookViewId="0" topLeftCell="A209">
      <selection activeCell="D35" sqref="D35"/>
    </sheetView>
  </sheetViews>
  <sheetFormatPr defaultColWidth="9.00390625" defaultRowHeight="12.75"/>
  <cols>
    <col min="1" max="1" width="2.875" style="5" customWidth="1"/>
    <col min="2" max="2" width="40.375" style="2" customWidth="1"/>
    <col min="3" max="3" width="23.375" style="2" customWidth="1"/>
    <col min="4" max="4" width="14.75390625" style="3" customWidth="1"/>
    <col min="5" max="5" width="45.375" style="2" customWidth="1"/>
    <col min="6" max="6" width="14.25390625" style="3" customWidth="1"/>
    <col min="7" max="16384" width="9.125" style="2" customWidth="1"/>
  </cols>
  <sheetData>
    <row r="1" spans="1:4" ht="15.75" customHeight="1">
      <c r="A1" s="593" t="s">
        <v>360</v>
      </c>
      <c r="B1" s="593"/>
      <c r="C1" s="593"/>
      <c r="D1" s="248"/>
    </row>
    <row r="2" spans="2:6" ht="15.75" customHeight="1">
      <c r="B2" s="617" t="s">
        <v>300</v>
      </c>
      <c r="C2" s="617"/>
      <c r="D2" s="617"/>
      <c r="E2" s="617"/>
      <c r="F2" s="617"/>
    </row>
    <row r="3" spans="2:6" ht="15.75" customHeight="1">
      <c r="B3" s="1"/>
      <c r="C3" s="1"/>
      <c r="D3" s="1"/>
      <c r="E3" s="1"/>
      <c r="F3" s="1"/>
    </row>
    <row r="4" spans="1:6" ht="15.75" customHeight="1" thickBot="1">
      <c r="A4" s="102" t="s">
        <v>1</v>
      </c>
      <c r="B4" s="618" t="s">
        <v>156</v>
      </c>
      <c r="C4" s="618"/>
      <c r="D4" s="618"/>
      <c r="E4" s="139"/>
      <c r="F4" s="139"/>
    </row>
    <row r="5" spans="1:6" s="42" customFormat="1" ht="17.25" customHeight="1">
      <c r="A5" s="612"/>
      <c r="B5" s="613" t="s">
        <v>25</v>
      </c>
      <c r="C5" s="615" t="s">
        <v>26</v>
      </c>
      <c r="D5" s="615"/>
      <c r="E5" s="615" t="s">
        <v>27</v>
      </c>
      <c r="F5" s="616"/>
    </row>
    <row r="6" spans="1:6" s="42" customFormat="1" ht="18.75" customHeight="1" thickBot="1">
      <c r="A6" s="612"/>
      <c r="B6" s="614"/>
      <c r="C6" s="105"/>
      <c r="D6" s="106" t="s">
        <v>28</v>
      </c>
      <c r="E6" s="105" t="s">
        <v>29</v>
      </c>
      <c r="F6" s="107" t="s">
        <v>28</v>
      </c>
    </row>
    <row r="7" spans="1:6" ht="12.75">
      <c r="A7" s="140"/>
      <c r="B7" s="141" t="s">
        <v>30</v>
      </c>
      <c r="C7" s="110"/>
      <c r="D7" s="111"/>
      <c r="E7" s="108" t="s">
        <v>31</v>
      </c>
      <c r="F7" s="131">
        <v>150000</v>
      </c>
    </row>
    <row r="8" spans="1:6" s="4" customFormat="1" ht="14.25" thickBot="1">
      <c r="A8" s="142"/>
      <c r="B8" s="143" t="s">
        <v>16</v>
      </c>
      <c r="C8" s="144"/>
      <c r="D8" s="145">
        <f>SUM(D7:D7)</f>
        <v>0</v>
      </c>
      <c r="E8" s="144"/>
      <c r="F8" s="145">
        <f>SUM(F7:F7)</f>
        <v>150000</v>
      </c>
    </row>
    <row r="9" spans="1:6" s="4" customFormat="1" ht="13.5" customHeight="1" thickBot="1">
      <c r="A9" s="146"/>
      <c r="B9" s="146"/>
      <c r="C9" s="147"/>
      <c r="D9" s="148"/>
      <c r="E9" s="147"/>
      <c r="F9" s="148"/>
    </row>
    <row r="10" spans="1:6" ht="12.75">
      <c r="A10" s="108"/>
      <c r="B10" s="149" t="s">
        <v>32</v>
      </c>
      <c r="C10" s="110"/>
      <c r="D10" s="111"/>
      <c r="E10" s="112" t="s">
        <v>33</v>
      </c>
      <c r="F10" s="111"/>
    </row>
    <row r="11" spans="1:6" ht="12.75">
      <c r="A11" s="108"/>
      <c r="B11" s="150" t="s">
        <v>382</v>
      </c>
      <c r="C11" s="129"/>
      <c r="D11" s="131"/>
      <c r="E11" s="129"/>
      <c r="F11" s="131">
        <v>3200000</v>
      </c>
    </row>
    <row r="12" spans="1:6" ht="15" customHeight="1">
      <c r="A12" s="108"/>
      <c r="B12" s="150" t="s">
        <v>284</v>
      </c>
      <c r="C12" s="129"/>
      <c r="D12" s="131"/>
      <c r="E12" s="115"/>
      <c r="F12" s="131"/>
    </row>
    <row r="13" spans="1:6" ht="15" customHeight="1">
      <c r="A13" s="108"/>
      <c r="B13" s="150" t="s">
        <v>34</v>
      </c>
      <c r="C13" s="129"/>
      <c r="D13" s="131"/>
      <c r="E13" s="115" t="s">
        <v>35</v>
      </c>
      <c r="F13" s="131">
        <v>9541000</v>
      </c>
    </row>
    <row r="14" spans="1:6" s="4" customFormat="1" ht="13.5">
      <c r="A14" s="147"/>
      <c r="B14" s="151" t="s">
        <v>2</v>
      </c>
      <c r="C14" s="152"/>
      <c r="D14" s="153"/>
      <c r="E14" s="152"/>
      <c r="F14" s="153">
        <f>SUM(F11:F13)</f>
        <v>12741000</v>
      </c>
    </row>
    <row r="15" spans="1:6" ht="12.75">
      <c r="A15" s="108"/>
      <c r="B15" s="150" t="s">
        <v>36</v>
      </c>
      <c r="C15" s="129"/>
      <c r="D15" s="131"/>
      <c r="E15" s="129" t="s">
        <v>296</v>
      </c>
      <c r="F15" s="131">
        <f>8500000+4440000</f>
        <v>12940000</v>
      </c>
    </row>
    <row r="16" spans="1:6" ht="12.75">
      <c r="A16" s="108"/>
      <c r="B16" s="150" t="s">
        <v>37</v>
      </c>
      <c r="C16" s="129"/>
      <c r="D16" s="131"/>
      <c r="E16" s="129" t="s">
        <v>296</v>
      </c>
      <c r="F16" s="131">
        <v>1100000</v>
      </c>
    </row>
    <row r="17" spans="1:6" ht="12.75">
      <c r="A17" s="108"/>
      <c r="B17" s="150" t="s">
        <v>38</v>
      </c>
      <c r="C17" s="129"/>
      <c r="D17" s="131"/>
      <c r="E17" s="129" t="s">
        <v>296</v>
      </c>
      <c r="F17" s="131">
        <v>1100000</v>
      </c>
    </row>
    <row r="18" spans="1:6" s="8" customFormat="1" ht="13.5">
      <c r="A18" s="147"/>
      <c r="B18" s="417" t="s">
        <v>2</v>
      </c>
      <c r="C18" s="152"/>
      <c r="D18" s="153"/>
      <c r="E18" s="152"/>
      <c r="F18" s="153">
        <f>SUM(F15:F17)</f>
        <v>15140000</v>
      </c>
    </row>
    <row r="19" spans="1:6" s="5" customFormat="1" ht="13.5" thickBot="1">
      <c r="A19" s="108"/>
      <c r="B19" s="154" t="s">
        <v>16</v>
      </c>
      <c r="C19" s="137"/>
      <c r="D19" s="138"/>
      <c r="E19" s="137"/>
      <c r="F19" s="138">
        <f>F14+F18</f>
        <v>27881000</v>
      </c>
    </row>
    <row r="20" spans="1:6" ht="17.25" customHeight="1" thickBot="1">
      <c r="A20" s="108"/>
      <c r="B20" s="129"/>
      <c r="C20" s="129"/>
      <c r="D20" s="130"/>
      <c r="E20" s="129"/>
      <c r="F20" s="130"/>
    </row>
    <row r="21" spans="1:6" ht="12.75">
      <c r="A21" s="108"/>
      <c r="B21" s="149" t="s">
        <v>262</v>
      </c>
      <c r="C21" s="110"/>
      <c r="D21" s="111"/>
      <c r="E21" s="112" t="s">
        <v>44</v>
      </c>
      <c r="F21" s="111"/>
    </row>
    <row r="22" spans="1:6" s="37" customFormat="1" ht="12.75">
      <c r="A22" s="113"/>
      <c r="B22" s="117" t="s">
        <v>93</v>
      </c>
      <c r="C22" s="115"/>
      <c r="D22" s="116"/>
      <c r="E22" s="115"/>
      <c r="F22" s="116"/>
    </row>
    <row r="23" spans="1:6" s="37" customFormat="1" ht="12.75">
      <c r="A23" s="113"/>
      <c r="B23" s="117" t="s">
        <v>119</v>
      </c>
      <c r="C23" s="115"/>
      <c r="D23" s="116"/>
      <c r="E23" s="115"/>
      <c r="F23" s="116">
        <f>44052000-36540000</f>
        <v>7512000</v>
      </c>
    </row>
    <row r="24" spans="1:6" s="37" customFormat="1" ht="12.75">
      <c r="A24" s="113"/>
      <c r="B24" s="117" t="s">
        <v>92</v>
      </c>
      <c r="C24" s="115"/>
      <c r="D24" s="116"/>
      <c r="E24" s="115"/>
      <c r="F24" s="116">
        <f>15085000-10841000</f>
        <v>4244000</v>
      </c>
    </row>
    <row r="25" spans="1:6" s="37" customFormat="1" ht="12.75">
      <c r="A25" s="113"/>
      <c r="B25" s="117" t="s">
        <v>94</v>
      </c>
      <c r="C25" s="115"/>
      <c r="D25" s="116"/>
      <c r="E25" s="115"/>
      <c r="F25" s="116">
        <f>80203000-67479000</f>
        <v>12724000</v>
      </c>
    </row>
    <row r="26" spans="1:6" s="37" customFormat="1" ht="12.75">
      <c r="A26" s="113"/>
      <c r="B26" s="117" t="s">
        <v>120</v>
      </c>
      <c r="C26" s="115"/>
      <c r="D26" s="116"/>
      <c r="E26" s="115"/>
      <c r="F26" s="116">
        <f>17096000-14381000</f>
        <v>2715000</v>
      </c>
    </row>
    <row r="27" spans="1:6" s="37" customFormat="1" ht="12.75">
      <c r="A27" s="113"/>
      <c r="B27" s="117" t="s">
        <v>45</v>
      </c>
      <c r="C27" s="115"/>
      <c r="D27" s="116"/>
      <c r="E27" s="115"/>
      <c r="F27" s="116">
        <v>13301000</v>
      </c>
    </row>
    <row r="28" spans="1:6" s="37" customFormat="1" ht="12.75">
      <c r="A28" s="113"/>
      <c r="B28" s="117" t="s">
        <v>117</v>
      </c>
      <c r="C28" s="115"/>
      <c r="D28" s="116"/>
      <c r="E28" s="115"/>
      <c r="F28" s="116">
        <f>5304000</f>
        <v>5304000</v>
      </c>
    </row>
    <row r="29" spans="1:6" s="37" customFormat="1" ht="12.75">
      <c r="A29" s="113"/>
      <c r="B29" s="117" t="s">
        <v>121</v>
      </c>
      <c r="C29" s="115"/>
      <c r="D29" s="116"/>
      <c r="E29" s="115"/>
      <c r="F29" s="116">
        <v>0</v>
      </c>
    </row>
    <row r="30" spans="1:6" s="37" customFormat="1" ht="25.5">
      <c r="A30" s="113"/>
      <c r="B30" s="117" t="s">
        <v>261</v>
      </c>
      <c r="C30" s="115"/>
      <c r="D30" s="116"/>
      <c r="E30" s="115"/>
      <c r="F30" s="116">
        <v>374074000</v>
      </c>
    </row>
    <row r="31" spans="1:6" s="37" customFormat="1" ht="12.75">
      <c r="A31" s="113"/>
      <c r="B31" s="117" t="s">
        <v>123</v>
      </c>
      <c r="C31" s="115"/>
      <c r="D31" s="116"/>
      <c r="E31" s="115" t="s">
        <v>11</v>
      </c>
      <c r="F31" s="116">
        <v>2302000</v>
      </c>
    </row>
    <row r="32" spans="1:6" s="37" customFormat="1" ht="12.75">
      <c r="A32" s="113"/>
      <c r="B32" s="117" t="s">
        <v>99</v>
      </c>
      <c r="C32" s="115"/>
      <c r="D32" s="116"/>
      <c r="E32" s="115" t="s">
        <v>332</v>
      </c>
      <c r="F32" s="116">
        <v>113976000</v>
      </c>
    </row>
    <row r="33" spans="1:6" s="37" customFormat="1" ht="12.75">
      <c r="A33" s="113"/>
      <c r="B33" s="117" t="s">
        <v>363</v>
      </c>
      <c r="C33" s="115"/>
      <c r="D33" s="116">
        <v>792094000</v>
      </c>
      <c r="E33" s="115"/>
      <c r="F33" s="116"/>
    </row>
    <row r="34" spans="1:6" s="37" customFormat="1" ht="25.5">
      <c r="A34" s="113"/>
      <c r="B34" s="117" t="s">
        <v>364</v>
      </c>
      <c r="C34" s="115"/>
      <c r="D34" s="116">
        <v>77170000</v>
      </c>
      <c r="E34" s="115"/>
      <c r="F34" s="116"/>
    </row>
    <row r="35" spans="1:6" s="37" customFormat="1" ht="17.25" customHeight="1" thickBot="1">
      <c r="A35" s="113"/>
      <c r="B35" s="118" t="s">
        <v>16</v>
      </c>
      <c r="C35" s="119"/>
      <c r="D35" s="120">
        <f>SUM(D22:D34)</f>
        <v>869264000</v>
      </c>
      <c r="E35" s="119"/>
      <c r="F35" s="120">
        <f>SUM(F21:F32)</f>
        <v>536152000</v>
      </c>
    </row>
    <row r="36" spans="1:6" s="37" customFormat="1" ht="13.5" thickBot="1">
      <c r="A36" s="113"/>
      <c r="B36" s="115"/>
      <c r="C36" s="115"/>
      <c r="D36" s="155"/>
      <c r="E36" s="115"/>
      <c r="F36" s="155"/>
    </row>
    <row r="37" spans="1:6" ht="12.75">
      <c r="A37" s="108"/>
      <c r="B37" s="149" t="s">
        <v>101</v>
      </c>
      <c r="C37" s="110"/>
      <c r="D37" s="111"/>
      <c r="E37" s="112"/>
      <c r="F37" s="111"/>
    </row>
    <row r="38" spans="1:6" s="37" customFormat="1" ht="12.75">
      <c r="A38" s="113"/>
      <c r="B38" s="117" t="s">
        <v>100</v>
      </c>
      <c r="C38" s="115"/>
      <c r="D38" s="116">
        <v>25307000</v>
      </c>
      <c r="E38" s="115" t="s">
        <v>102</v>
      </c>
      <c r="F38" s="116">
        <v>50551000</v>
      </c>
    </row>
    <row r="39" spans="1:6" s="37" customFormat="1" ht="12.75">
      <c r="A39" s="113"/>
      <c r="B39" s="117" t="s">
        <v>104</v>
      </c>
      <c r="C39" s="115"/>
      <c r="D39" s="116">
        <v>18158000</v>
      </c>
      <c r="E39" s="115" t="s">
        <v>102</v>
      </c>
      <c r="F39" s="116">
        <v>56550000</v>
      </c>
    </row>
    <row r="40" spans="1:6" s="37" customFormat="1" ht="17.25" customHeight="1" thickBot="1">
      <c r="A40" s="113"/>
      <c r="B40" s="118" t="s">
        <v>103</v>
      </c>
      <c r="C40" s="119"/>
      <c r="D40" s="120">
        <f>SUM(D38:D39)</f>
        <v>43465000</v>
      </c>
      <c r="E40" s="156" t="s">
        <v>55</v>
      </c>
      <c r="F40" s="120">
        <f>SUM(F37:F39)</f>
        <v>107101000</v>
      </c>
    </row>
    <row r="41" spans="1:6" s="37" customFormat="1" ht="13.5" thickBot="1">
      <c r="A41" s="113"/>
      <c r="B41" s="115"/>
      <c r="C41" s="115"/>
      <c r="D41" s="155"/>
      <c r="E41" s="115"/>
      <c r="F41" s="155"/>
    </row>
    <row r="42" spans="1:6" s="37" customFormat="1" ht="19.5" customHeight="1" thickBot="1">
      <c r="A42" s="113"/>
      <c r="B42" s="157" t="s">
        <v>56</v>
      </c>
      <c r="C42" s="158"/>
      <c r="D42" s="159"/>
      <c r="E42" s="160"/>
      <c r="F42" s="159"/>
    </row>
    <row r="43" spans="1:6" ht="12.75">
      <c r="A43" s="108"/>
      <c r="B43" s="161" t="s">
        <v>46</v>
      </c>
      <c r="C43" s="162"/>
      <c r="D43" s="127"/>
      <c r="E43" s="126" t="s">
        <v>47</v>
      </c>
      <c r="F43" s="111">
        <v>1000000</v>
      </c>
    </row>
    <row r="44" spans="1:6" s="37" customFormat="1" ht="12.75">
      <c r="A44" s="113"/>
      <c r="B44" s="163" t="s">
        <v>125</v>
      </c>
      <c r="C44" s="163"/>
      <c r="D44" s="155">
        <v>65000000</v>
      </c>
      <c r="E44" s="163" t="s">
        <v>48</v>
      </c>
      <c r="F44" s="116">
        <v>250000</v>
      </c>
    </row>
    <row r="45" spans="1:6" s="37" customFormat="1" ht="12.75">
      <c r="A45" s="113"/>
      <c r="B45" s="163"/>
      <c r="C45" s="163"/>
      <c r="D45" s="155"/>
      <c r="E45" s="163" t="s">
        <v>49</v>
      </c>
      <c r="F45" s="116">
        <v>250000</v>
      </c>
    </row>
    <row r="46" spans="1:6" s="37" customFormat="1" ht="12.75">
      <c r="A46" s="113"/>
      <c r="B46" s="163"/>
      <c r="C46" s="163"/>
      <c r="D46" s="155"/>
      <c r="E46" s="163" t="s">
        <v>148</v>
      </c>
      <c r="F46" s="116">
        <v>3810000</v>
      </c>
    </row>
    <row r="47" spans="1:6" s="37" customFormat="1" ht="12.75">
      <c r="A47" s="113"/>
      <c r="B47" s="163"/>
      <c r="C47" s="163"/>
      <c r="D47" s="155"/>
      <c r="E47" s="163" t="s">
        <v>331</v>
      </c>
      <c r="F47" s="116">
        <v>980000</v>
      </c>
    </row>
    <row r="48" spans="1:6" s="37" customFormat="1" ht="12.75">
      <c r="A48" s="113"/>
      <c r="B48" s="163"/>
      <c r="C48" s="163"/>
      <c r="D48" s="155"/>
      <c r="E48" s="163" t="s">
        <v>50</v>
      </c>
      <c r="F48" s="116">
        <v>1207000</v>
      </c>
    </row>
    <row r="49" spans="1:6" s="37" customFormat="1" ht="12" customHeight="1">
      <c r="A49" s="113"/>
      <c r="B49" s="164" t="s">
        <v>126</v>
      </c>
      <c r="C49" s="164"/>
      <c r="D49" s="121">
        <f>SUM(D44:D48)</f>
        <v>65000000</v>
      </c>
      <c r="E49" s="163" t="s">
        <v>51</v>
      </c>
      <c r="F49" s="116">
        <v>4800000</v>
      </c>
    </row>
    <row r="50" spans="1:6" s="37" customFormat="1" ht="12.75">
      <c r="A50" s="113"/>
      <c r="B50" s="163" t="s">
        <v>122</v>
      </c>
      <c r="C50" s="163"/>
      <c r="D50" s="155">
        <v>6000000</v>
      </c>
      <c r="E50" s="163" t="s">
        <v>53</v>
      </c>
      <c r="F50" s="116">
        <v>10000000</v>
      </c>
    </row>
    <row r="51" spans="1:6" s="37" customFormat="1" ht="12.75">
      <c r="A51" s="113"/>
      <c r="B51" s="164" t="s">
        <v>103</v>
      </c>
      <c r="C51" s="164"/>
      <c r="D51" s="121">
        <f>SUM(D50:D50)</f>
        <v>6000000</v>
      </c>
      <c r="E51" s="163" t="s">
        <v>54</v>
      </c>
      <c r="F51" s="116">
        <f>7670000+700000</f>
        <v>8370000</v>
      </c>
    </row>
    <row r="52" spans="1:6" s="37" customFormat="1" ht="12.75">
      <c r="A52" s="113"/>
      <c r="B52" s="163"/>
      <c r="C52" s="163"/>
      <c r="D52" s="155"/>
      <c r="E52" s="163" t="s">
        <v>57</v>
      </c>
      <c r="F52" s="116">
        <v>1315000</v>
      </c>
    </row>
    <row r="53" spans="1:6" s="37" customFormat="1" ht="12.75">
      <c r="A53" s="113"/>
      <c r="B53" s="163"/>
      <c r="C53" s="163"/>
      <c r="D53" s="155"/>
      <c r="E53" s="163" t="s">
        <v>330</v>
      </c>
      <c r="F53" s="116">
        <v>4100000</v>
      </c>
    </row>
    <row r="54" spans="1:6" s="37" customFormat="1" ht="12.75">
      <c r="A54" s="113"/>
      <c r="B54" s="163"/>
      <c r="C54" s="163"/>
      <c r="D54" s="155"/>
      <c r="E54" s="163" t="s">
        <v>58</v>
      </c>
      <c r="F54" s="116">
        <v>2540000</v>
      </c>
    </row>
    <row r="55" spans="1:6" s="37" customFormat="1" ht="12.75">
      <c r="A55" s="113"/>
      <c r="B55" s="163"/>
      <c r="C55" s="163"/>
      <c r="D55" s="155"/>
      <c r="E55" s="163" t="s">
        <v>59</v>
      </c>
      <c r="F55" s="116">
        <v>300000</v>
      </c>
    </row>
    <row r="56" spans="1:6" s="37" customFormat="1" ht="12.75">
      <c r="A56" s="113"/>
      <c r="B56" s="163"/>
      <c r="C56" s="163"/>
      <c r="D56" s="155"/>
      <c r="E56" s="163" t="s">
        <v>60</v>
      </c>
      <c r="F56" s="116">
        <v>500000</v>
      </c>
    </row>
    <row r="57" spans="1:6" s="37" customFormat="1" ht="12.75">
      <c r="A57" s="113"/>
      <c r="B57" s="163"/>
      <c r="C57" s="163"/>
      <c r="D57" s="155"/>
      <c r="E57" s="163" t="s">
        <v>118</v>
      </c>
      <c r="F57" s="116">
        <v>3048000</v>
      </c>
    </row>
    <row r="58" spans="1:6" s="37" customFormat="1" ht="12.75">
      <c r="A58" s="113"/>
      <c r="B58" s="164" t="s">
        <v>124</v>
      </c>
      <c r="C58" s="164"/>
      <c r="D58" s="121">
        <f>SUM(D52:D57)</f>
        <v>0</v>
      </c>
      <c r="E58" s="164" t="s">
        <v>11</v>
      </c>
      <c r="F58" s="165">
        <f>SUM(F43:F57)</f>
        <v>42470000</v>
      </c>
    </row>
    <row r="59" spans="1:6" s="38" customFormat="1" ht="18" customHeight="1" thickBot="1">
      <c r="A59" s="113"/>
      <c r="B59" s="166" t="s">
        <v>16</v>
      </c>
      <c r="C59" s="166"/>
      <c r="D59" s="175">
        <f>D51+D58+D49</f>
        <v>71000000</v>
      </c>
      <c r="E59" s="166"/>
      <c r="F59" s="120">
        <f>F58</f>
        <v>42470000</v>
      </c>
    </row>
    <row r="60" spans="1:6" s="37" customFormat="1" ht="11.25" customHeight="1" thickBot="1">
      <c r="A60" s="113"/>
      <c r="B60" s="115"/>
      <c r="C60" s="115"/>
      <c r="D60" s="155"/>
      <c r="E60" s="115"/>
      <c r="F60" s="155"/>
    </row>
    <row r="61" spans="1:6" s="38" customFormat="1" ht="12.75">
      <c r="A61" s="113"/>
      <c r="B61" s="109" t="s">
        <v>62</v>
      </c>
      <c r="C61" s="162" t="s">
        <v>64</v>
      </c>
      <c r="D61" s="167">
        <f>5700000+500000</f>
        <v>6200000</v>
      </c>
      <c r="E61" s="168" t="s">
        <v>63</v>
      </c>
      <c r="F61" s="167">
        <v>260000</v>
      </c>
    </row>
    <row r="62" spans="1:6" s="37" customFormat="1" ht="18" customHeight="1">
      <c r="A62" s="113"/>
      <c r="B62" s="117"/>
      <c r="C62" s="163" t="s">
        <v>84</v>
      </c>
      <c r="D62" s="116">
        <v>670000</v>
      </c>
      <c r="E62" s="115" t="s">
        <v>67</v>
      </c>
      <c r="F62" s="116">
        <v>1000000</v>
      </c>
    </row>
    <row r="63" spans="1:6" s="37" customFormat="1" ht="18" customHeight="1">
      <c r="A63" s="113"/>
      <c r="B63" s="117"/>
      <c r="C63" s="115" t="s">
        <v>282</v>
      </c>
      <c r="D63" s="116">
        <v>3000000</v>
      </c>
      <c r="E63" s="163" t="s">
        <v>301</v>
      </c>
      <c r="F63" s="116">
        <v>1013000</v>
      </c>
    </row>
    <row r="64" spans="1:6" s="37" customFormat="1" ht="18" customHeight="1">
      <c r="A64" s="113"/>
      <c r="B64" s="117"/>
      <c r="C64" s="163" t="s">
        <v>149</v>
      </c>
      <c r="D64" s="116">
        <v>1000000</v>
      </c>
      <c r="E64" s="115"/>
      <c r="F64" s="116"/>
    </row>
    <row r="65" spans="1:6" s="37" customFormat="1" ht="18" customHeight="1">
      <c r="A65" s="113"/>
      <c r="B65" s="114" t="s">
        <v>103</v>
      </c>
      <c r="C65" s="164"/>
      <c r="D65" s="165">
        <f>SUM(D61:D64)</f>
        <v>10870000</v>
      </c>
      <c r="E65" s="113" t="s">
        <v>55</v>
      </c>
      <c r="F65" s="165">
        <f>SUM(F61:F64)</f>
        <v>2273000</v>
      </c>
    </row>
    <row r="66" spans="1:6" s="37" customFormat="1" ht="18" customHeight="1">
      <c r="A66" s="113"/>
      <c r="B66" s="114"/>
      <c r="C66" s="164"/>
      <c r="D66" s="165"/>
      <c r="E66" s="113" t="s">
        <v>283</v>
      </c>
      <c r="F66" s="165">
        <v>3000000</v>
      </c>
    </row>
    <row r="67" spans="1:6" s="38" customFormat="1" ht="19.5" customHeight="1" thickBot="1">
      <c r="A67" s="113"/>
      <c r="B67" s="118" t="s">
        <v>16</v>
      </c>
      <c r="C67" s="166"/>
      <c r="D67" s="120">
        <f>D65</f>
        <v>10870000</v>
      </c>
      <c r="E67" s="156"/>
      <c r="F67" s="120">
        <f>F65+F66</f>
        <v>5273000</v>
      </c>
    </row>
    <row r="68" spans="1:6" s="37" customFormat="1" ht="12" customHeight="1" thickBot="1">
      <c r="A68" s="113"/>
      <c r="B68" s="115"/>
      <c r="C68" s="115"/>
      <c r="D68" s="155"/>
      <c r="E68" s="115"/>
      <c r="F68" s="155"/>
    </row>
    <row r="69" spans="1:6" ht="12.75">
      <c r="A69" s="108"/>
      <c r="B69" s="149" t="s">
        <v>327</v>
      </c>
      <c r="C69" s="110"/>
      <c r="D69" s="111"/>
      <c r="E69" s="112"/>
      <c r="F69" s="111"/>
    </row>
    <row r="70" spans="1:6" s="37" customFormat="1" ht="25.5">
      <c r="A70" s="113"/>
      <c r="B70" s="117"/>
      <c r="C70" s="115"/>
      <c r="D70" s="116"/>
      <c r="E70" s="113" t="s">
        <v>328</v>
      </c>
      <c r="F70" s="116">
        <v>16057000</v>
      </c>
    </row>
    <row r="71" spans="1:6" s="37" customFormat="1" ht="19.5" customHeight="1">
      <c r="A71" s="113"/>
      <c r="B71" s="117"/>
      <c r="C71" s="115"/>
      <c r="D71" s="116"/>
      <c r="E71" s="113" t="s">
        <v>154</v>
      </c>
      <c r="F71" s="116">
        <v>4335000</v>
      </c>
    </row>
    <row r="72" spans="1:6" s="37" customFormat="1" ht="17.25" customHeight="1" thickBot="1">
      <c r="A72" s="113"/>
      <c r="B72" s="118"/>
      <c r="C72" s="119"/>
      <c r="D72" s="120">
        <f>SUM(D70:D71)</f>
        <v>0</v>
      </c>
      <c r="E72" s="156" t="s">
        <v>2</v>
      </c>
      <c r="F72" s="120">
        <f>SUM(F69:F71)</f>
        <v>20392000</v>
      </c>
    </row>
    <row r="73" spans="1:6" s="37" customFormat="1" ht="17.25" customHeight="1" thickBot="1">
      <c r="A73" s="113"/>
      <c r="B73" s="118"/>
      <c r="C73" s="119"/>
      <c r="D73" s="120"/>
      <c r="E73" s="156"/>
      <c r="F73" s="120"/>
    </row>
    <row r="74" spans="1:6" s="37" customFormat="1" ht="17.25" customHeight="1" thickBot="1">
      <c r="A74" s="113"/>
      <c r="B74" s="160" t="s">
        <v>68</v>
      </c>
      <c r="C74" s="125"/>
      <c r="D74" s="169"/>
      <c r="E74" s="160" t="s">
        <v>69</v>
      </c>
      <c r="F74" s="169">
        <v>4200000</v>
      </c>
    </row>
    <row r="75" spans="1:6" s="37" customFormat="1" ht="13.5" thickBot="1">
      <c r="A75" s="113"/>
      <c r="B75" s="113"/>
      <c r="C75" s="113"/>
      <c r="D75" s="121"/>
      <c r="E75" s="113"/>
      <c r="F75" s="121"/>
    </row>
    <row r="76" spans="1:6" s="37" customFormat="1" ht="12.75">
      <c r="A76" s="113"/>
      <c r="B76" s="109" t="s">
        <v>73</v>
      </c>
      <c r="C76" s="170"/>
      <c r="D76" s="167"/>
      <c r="E76" s="170" t="s">
        <v>31</v>
      </c>
      <c r="F76" s="167"/>
    </row>
    <row r="77" spans="1:6" s="37" customFormat="1" ht="12.75">
      <c r="A77" s="113"/>
      <c r="B77" s="117"/>
      <c r="C77" s="115"/>
      <c r="D77" s="116"/>
      <c r="E77" s="115" t="s">
        <v>306</v>
      </c>
      <c r="F77" s="116">
        <v>119612000</v>
      </c>
    </row>
    <row r="78" spans="1:6" s="37" customFormat="1" ht="12.75">
      <c r="A78" s="113"/>
      <c r="B78" s="117"/>
      <c r="C78" s="115"/>
      <c r="D78" s="116"/>
      <c r="E78" s="115"/>
      <c r="F78" s="116"/>
    </row>
    <row r="79" spans="1:6" s="37" customFormat="1" ht="18" customHeight="1" thickBot="1">
      <c r="A79" s="113"/>
      <c r="B79" s="118" t="s">
        <v>16</v>
      </c>
      <c r="C79" s="156" t="s">
        <v>74</v>
      </c>
      <c r="D79" s="120">
        <f>SUM(D77:D77)</f>
        <v>0</v>
      </c>
      <c r="E79" s="156"/>
      <c r="F79" s="120">
        <f>SUM(F77:F78)</f>
        <v>119612000</v>
      </c>
    </row>
    <row r="80" spans="1:6" s="37" customFormat="1" ht="25.5" customHeight="1" thickBot="1">
      <c r="A80" s="113"/>
      <c r="B80" s="113"/>
      <c r="C80" s="113"/>
      <c r="D80" s="121"/>
      <c r="E80" s="113"/>
      <c r="F80" s="121"/>
    </row>
    <row r="81" spans="1:6" s="37" customFormat="1" ht="12.75">
      <c r="A81" s="113"/>
      <c r="B81" s="109" t="s">
        <v>75</v>
      </c>
      <c r="C81" s="170" t="s">
        <v>40</v>
      </c>
      <c r="D81" s="167"/>
      <c r="E81" s="171" t="s">
        <v>31</v>
      </c>
      <c r="F81" s="167"/>
    </row>
    <row r="82" spans="1:6" s="37" customFormat="1" ht="12.75">
      <c r="A82" s="113"/>
      <c r="B82" s="117"/>
      <c r="C82" s="115" t="s">
        <v>76</v>
      </c>
      <c r="D82" s="116">
        <v>2900000</v>
      </c>
      <c r="E82" s="163" t="s">
        <v>77</v>
      </c>
      <c r="F82" s="116">
        <v>4445000</v>
      </c>
    </row>
    <row r="83" spans="1:6" s="37" customFormat="1" ht="17.25" customHeight="1" thickBot="1">
      <c r="A83" s="113"/>
      <c r="B83" s="118" t="s">
        <v>16</v>
      </c>
      <c r="C83" s="156"/>
      <c r="D83" s="120">
        <f>SUM(D82:D82)</f>
        <v>2900000</v>
      </c>
      <c r="E83" s="166"/>
      <c r="F83" s="120">
        <f>SUM(F82:F82)</f>
        <v>4445000</v>
      </c>
    </row>
    <row r="84" spans="1:6" s="37" customFormat="1" ht="15" customHeight="1" thickBot="1">
      <c r="A84" s="113"/>
      <c r="B84" s="115"/>
      <c r="C84" s="115"/>
      <c r="D84" s="155"/>
      <c r="E84" s="115"/>
      <c r="F84" s="155"/>
    </row>
    <row r="85" spans="1:6" s="37" customFormat="1" ht="15" customHeight="1">
      <c r="A85" s="113"/>
      <c r="B85" s="171" t="s">
        <v>78</v>
      </c>
      <c r="C85" s="168"/>
      <c r="D85" s="174"/>
      <c r="E85" s="171" t="s">
        <v>43</v>
      </c>
      <c r="F85" s="167"/>
    </row>
    <row r="86" spans="1:6" s="37" customFormat="1" ht="15" customHeight="1">
      <c r="A86" s="113"/>
      <c r="B86" s="163"/>
      <c r="C86" s="115"/>
      <c r="D86" s="155"/>
      <c r="E86" s="163" t="s">
        <v>263</v>
      </c>
      <c r="F86" s="116">
        <v>28600000</v>
      </c>
    </row>
    <row r="87" spans="1:6" s="37" customFormat="1" ht="15" customHeight="1">
      <c r="A87" s="113"/>
      <c r="B87" s="163"/>
      <c r="C87" s="115"/>
      <c r="D87" s="155"/>
      <c r="E87" s="163" t="s">
        <v>264</v>
      </c>
      <c r="F87" s="116">
        <v>2500000</v>
      </c>
    </row>
    <row r="88" spans="1:6" s="37" customFormat="1" ht="15" customHeight="1">
      <c r="A88" s="113"/>
      <c r="B88" s="163"/>
      <c r="C88" s="115"/>
      <c r="D88" s="155"/>
      <c r="E88" s="163" t="s">
        <v>265</v>
      </c>
      <c r="F88" s="116">
        <v>2400000</v>
      </c>
    </row>
    <row r="89" spans="1:6" s="38" customFormat="1" ht="18" customHeight="1" thickBot="1">
      <c r="A89" s="113"/>
      <c r="B89" s="166"/>
      <c r="C89" s="156"/>
      <c r="D89" s="175"/>
      <c r="E89" s="166" t="s">
        <v>266</v>
      </c>
      <c r="F89" s="120">
        <f>SUM(F86:F88)</f>
        <v>33500000</v>
      </c>
    </row>
    <row r="90" spans="1:6" s="37" customFormat="1" ht="13.5" customHeight="1" thickBot="1">
      <c r="A90" s="172"/>
      <c r="B90" s="172"/>
      <c r="C90" s="172"/>
      <c r="D90" s="172"/>
      <c r="E90" s="172"/>
      <c r="F90" s="172"/>
    </row>
    <row r="91" spans="1:6" s="37" customFormat="1" ht="16.5" customHeight="1">
      <c r="A91" s="113"/>
      <c r="B91" s="109" t="s">
        <v>79</v>
      </c>
      <c r="C91" s="168" t="s">
        <v>21</v>
      </c>
      <c r="D91" s="167">
        <v>40000000</v>
      </c>
      <c r="E91" s="170"/>
      <c r="F91" s="173"/>
    </row>
    <row r="92" spans="1:6" s="37" customFormat="1" ht="16.5" customHeight="1">
      <c r="A92" s="113"/>
      <c r="B92" s="117"/>
      <c r="C92" s="115" t="s">
        <v>80</v>
      </c>
      <c r="D92" s="116">
        <v>11400000</v>
      </c>
      <c r="E92" s="115"/>
      <c r="F92" s="116"/>
    </row>
    <row r="93" spans="1:6" s="37" customFormat="1" ht="16.5" customHeight="1">
      <c r="A93" s="113"/>
      <c r="B93" s="117"/>
      <c r="C93" s="115" t="s">
        <v>19</v>
      </c>
      <c r="D93" s="116">
        <v>22000000</v>
      </c>
      <c r="E93" s="115" t="s">
        <v>81</v>
      </c>
      <c r="F93" s="116">
        <v>2000000</v>
      </c>
    </row>
    <row r="94" spans="1:6" s="37" customFormat="1" ht="16.5" customHeight="1">
      <c r="A94" s="113"/>
      <c r="B94" s="117"/>
      <c r="C94" s="115" t="s">
        <v>20</v>
      </c>
      <c r="D94" s="116">
        <v>41664000</v>
      </c>
      <c r="E94" s="113" t="s">
        <v>55</v>
      </c>
      <c r="F94" s="165">
        <f>SUM(F92:F93)</f>
        <v>2000000</v>
      </c>
    </row>
    <row r="95" spans="1:6" s="37" customFormat="1" ht="16.5" customHeight="1">
      <c r="A95" s="113"/>
      <c r="B95" s="117"/>
      <c r="C95" s="115" t="s">
        <v>82</v>
      </c>
      <c r="D95" s="116">
        <v>250000000</v>
      </c>
      <c r="E95" s="113"/>
      <c r="F95" s="165"/>
    </row>
    <row r="96" spans="1:6" s="37" customFormat="1" ht="16.5" customHeight="1">
      <c r="A96" s="113"/>
      <c r="B96" s="117"/>
      <c r="C96" s="115" t="s">
        <v>83</v>
      </c>
      <c r="D96" s="116">
        <v>500000</v>
      </c>
      <c r="E96" s="113"/>
      <c r="F96" s="116"/>
    </row>
    <row r="97" spans="1:6" s="37" customFormat="1" ht="24" customHeight="1">
      <c r="A97" s="113"/>
      <c r="B97" s="117"/>
      <c r="C97" s="115" t="s">
        <v>302</v>
      </c>
      <c r="D97" s="116">
        <v>29347000</v>
      </c>
      <c r="E97" s="113"/>
      <c r="F97" s="116"/>
    </row>
    <row r="98" spans="1:6" s="38" customFormat="1" ht="16.5" customHeight="1" thickBot="1">
      <c r="A98" s="113"/>
      <c r="B98" s="118" t="s">
        <v>16</v>
      </c>
      <c r="C98" s="156"/>
      <c r="D98" s="120">
        <f>SUM(D91:D97)</f>
        <v>394911000</v>
      </c>
      <c r="E98" s="166" t="s">
        <v>16</v>
      </c>
      <c r="F98" s="120">
        <f>F91+F94+F95</f>
        <v>2000000</v>
      </c>
    </row>
    <row r="99" spans="1:6" s="37" customFormat="1" ht="12" customHeight="1" thickBot="1">
      <c r="A99" s="113"/>
      <c r="B99" s="115"/>
      <c r="C99" s="115"/>
      <c r="D99" s="155"/>
      <c r="E99" s="115"/>
      <c r="F99" s="155"/>
    </row>
    <row r="100" spans="1:6" s="38" customFormat="1" ht="17.25" customHeight="1">
      <c r="A100" s="113"/>
      <c r="B100" s="171" t="s">
        <v>85</v>
      </c>
      <c r="C100" s="171"/>
      <c r="D100" s="173"/>
      <c r="E100" s="170" t="s">
        <v>303</v>
      </c>
      <c r="F100" s="173">
        <v>1000000</v>
      </c>
    </row>
    <row r="101" spans="1:6" s="38" customFormat="1" ht="18" customHeight="1" thickBot="1">
      <c r="A101" s="113"/>
      <c r="B101" s="166" t="s">
        <v>16</v>
      </c>
      <c r="C101" s="166"/>
      <c r="D101" s="120"/>
      <c r="E101" s="156"/>
      <c r="F101" s="120">
        <f>SUM(F100:F100)</f>
        <v>1000000</v>
      </c>
    </row>
    <row r="102" spans="1:6" s="37" customFormat="1" ht="9.75" customHeight="1" thickBot="1">
      <c r="A102" s="172"/>
      <c r="B102" s="172"/>
      <c r="C102" s="172"/>
      <c r="D102" s="172"/>
      <c r="E102" s="172"/>
      <c r="F102" s="172"/>
    </row>
    <row r="103" spans="1:6" s="37" customFormat="1" ht="15" customHeight="1">
      <c r="A103" s="113"/>
      <c r="B103" s="109" t="s">
        <v>87</v>
      </c>
      <c r="C103" s="168"/>
      <c r="D103" s="174"/>
      <c r="E103" s="162"/>
      <c r="F103" s="167"/>
    </row>
    <row r="104" spans="1:6" s="37" customFormat="1" ht="25.5" customHeight="1">
      <c r="A104" s="113"/>
      <c r="B104" s="114" t="s">
        <v>155</v>
      </c>
      <c r="C104" s="115"/>
      <c r="D104" s="155"/>
      <c r="E104" s="164" t="s">
        <v>267</v>
      </c>
      <c r="F104" s="116">
        <f>16300000+3500000+16575000+3230000</f>
        <v>39605000</v>
      </c>
    </row>
    <row r="105" spans="1:6" s="37" customFormat="1" ht="18" customHeight="1">
      <c r="A105" s="113"/>
      <c r="B105" s="117" t="s">
        <v>127</v>
      </c>
      <c r="C105" s="113"/>
      <c r="D105" s="155">
        <v>230000</v>
      </c>
      <c r="E105" s="164"/>
      <c r="F105" s="116"/>
    </row>
    <row r="106" spans="1:6" s="37" customFormat="1" ht="18" customHeight="1">
      <c r="A106" s="113"/>
      <c r="B106" s="117" t="s">
        <v>128</v>
      </c>
      <c r="C106" s="115"/>
      <c r="D106" s="155">
        <v>3000000</v>
      </c>
      <c r="E106" s="164" t="s">
        <v>304</v>
      </c>
      <c r="F106" s="116">
        <v>3000000</v>
      </c>
    </row>
    <row r="107" spans="1:6" s="37" customFormat="1" ht="17.25" customHeight="1" thickBot="1">
      <c r="A107" s="113"/>
      <c r="B107" s="118" t="s">
        <v>16</v>
      </c>
      <c r="C107" s="119"/>
      <c r="D107" s="175">
        <f>SUM(D104:D106)</f>
        <v>3230000</v>
      </c>
      <c r="E107" s="166" t="s">
        <v>16</v>
      </c>
      <c r="F107" s="120">
        <f>SUM(F103:F106)</f>
        <v>42605000</v>
      </c>
    </row>
    <row r="108" spans="1:6" s="37" customFormat="1" ht="8.25" customHeight="1" thickBot="1">
      <c r="A108" s="113"/>
      <c r="B108" s="115"/>
      <c r="C108" s="115"/>
      <c r="D108" s="155"/>
      <c r="E108" s="115"/>
      <c r="F108" s="155"/>
    </row>
    <row r="109" spans="1:6" s="38" customFormat="1" ht="26.25" customHeight="1">
      <c r="A109" s="113"/>
      <c r="B109" s="109" t="s">
        <v>305</v>
      </c>
      <c r="C109" s="162"/>
      <c r="D109" s="167"/>
      <c r="E109" s="170" t="s">
        <v>291</v>
      </c>
      <c r="F109" s="167"/>
    </row>
    <row r="110" spans="1:6" s="38" customFormat="1" ht="30" customHeight="1">
      <c r="A110" s="113"/>
      <c r="B110" s="117" t="s">
        <v>307</v>
      </c>
      <c r="C110" s="163"/>
      <c r="D110" s="116">
        <v>4690000</v>
      </c>
      <c r="E110" s="115" t="s">
        <v>309</v>
      </c>
      <c r="F110" s="116">
        <v>610000</v>
      </c>
    </row>
    <row r="111" spans="1:6" s="38" customFormat="1" ht="19.5" customHeight="1">
      <c r="A111" s="113"/>
      <c r="B111" s="117" t="s">
        <v>308</v>
      </c>
      <c r="C111" s="163"/>
      <c r="D111" s="116">
        <f>6835000+2278000</f>
        <v>9113000</v>
      </c>
      <c r="E111" s="115" t="s">
        <v>310</v>
      </c>
      <c r="F111" s="116">
        <v>1470000</v>
      </c>
    </row>
    <row r="112" spans="1:6" s="38" customFormat="1" ht="28.5" customHeight="1">
      <c r="A112" s="113"/>
      <c r="B112" s="117" t="s">
        <v>316</v>
      </c>
      <c r="C112" s="163"/>
      <c r="D112" s="116">
        <v>8323000</v>
      </c>
      <c r="E112" s="115" t="s">
        <v>311</v>
      </c>
      <c r="F112" s="116">
        <v>1340420</v>
      </c>
    </row>
    <row r="113" spans="1:6" s="38" customFormat="1" ht="16.5" customHeight="1">
      <c r="A113" s="113"/>
      <c r="B113" s="117" t="s">
        <v>317</v>
      </c>
      <c r="C113" s="163"/>
      <c r="D113" s="116">
        <v>9908000</v>
      </c>
      <c r="E113" s="115" t="s">
        <v>312</v>
      </c>
      <c r="F113" s="116">
        <v>360000</v>
      </c>
    </row>
    <row r="114" spans="1:6" s="38" customFormat="1" ht="16.5" customHeight="1">
      <c r="A114" s="113"/>
      <c r="B114" s="117" t="s">
        <v>317</v>
      </c>
      <c r="C114" s="163"/>
      <c r="D114" s="116"/>
      <c r="E114" s="113" t="s">
        <v>313</v>
      </c>
      <c r="F114" s="165">
        <f>SUM(F110:F113)</f>
        <v>3780420</v>
      </c>
    </row>
    <row r="115" spans="1:6" s="37" customFormat="1" ht="17.25" customHeight="1">
      <c r="A115" s="113"/>
      <c r="B115" s="117"/>
      <c r="C115" s="163"/>
      <c r="D115" s="116"/>
      <c r="E115" s="113" t="s">
        <v>286</v>
      </c>
      <c r="F115" s="116"/>
    </row>
    <row r="116" spans="1:6" s="38" customFormat="1" ht="18.75" customHeight="1">
      <c r="A116" s="113"/>
      <c r="B116" s="114" t="s">
        <v>285</v>
      </c>
      <c r="C116" s="163"/>
      <c r="D116" s="165">
        <f>SUM(D110:D115)</f>
        <v>32034000</v>
      </c>
      <c r="E116" s="115" t="s">
        <v>309</v>
      </c>
      <c r="F116" s="116">
        <v>165000</v>
      </c>
    </row>
    <row r="117" spans="1:6" s="38" customFormat="1" ht="19.5" customHeight="1">
      <c r="A117" s="113"/>
      <c r="B117" s="117"/>
      <c r="C117" s="163"/>
      <c r="D117" s="116"/>
      <c r="E117" s="115" t="s">
        <v>310</v>
      </c>
      <c r="F117" s="116">
        <v>397000</v>
      </c>
    </row>
    <row r="118" spans="1:6" s="38" customFormat="1" ht="16.5" customHeight="1">
      <c r="A118" s="113"/>
      <c r="B118" s="114"/>
      <c r="C118" s="163"/>
      <c r="D118" s="116"/>
      <c r="E118" s="115" t="s">
        <v>311</v>
      </c>
      <c r="F118" s="116">
        <v>363000</v>
      </c>
    </row>
    <row r="119" spans="1:6" s="38" customFormat="1" ht="16.5" customHeight="1">
      <c r="A119" s="113"/>
      <c r="B119" s="114"/>
      <c r="C119" s="163"/>
      <c r="D119" s="116"/>
      <c r="E119" s="115" t="s">
        <v>312</v>
      </c>
      <c r="F119" s="116">
        <v>100000</v>
      </c>
    </row>
    <row r="120" spans="1:6" s="38" customFormat="1" ht="16.5" customHeight="1">
      <c r="A120" s="113"/>
      <c r="B120" s="114"/>
      <c r="C120" s="163"/>
      <c r="D120" s="116"/>
      <c r="E120" s="113" t="s">
        <v>314</v>
      </c>
      <c r="F120" s="165">
        <f>SUM(F116:F119)</f>
        <v>1025000</v>
      </c>
    </row>
    <row r="121" spans="1:6" s="37" customFormat="1" ht="17.25" customHeight="1">
      <c r="A121" s="113"/>
      <c r="B121" s="117"/>
      <c r="C121" s="163"/>
      <c r="D121" s="116"/>
      <c r="E121" s="113" t="s">
        <v>11</v>
      </c>
      <c r="F121" s="116"/>
    </row>
    <row r="122" spans="1:6" s="37" customFormat="1" ht="28.5" customHeight="1">
      <c r="A122" s="113"/>
      <c r="B122" s="117"/>
      <c r="C122" s="163"/>
      <c r="D122" s="116"/>
      <c r="E122" s="115" t="s">
        <v>315</v>
      </c>
      <c r="F122" s="116">
        <f>7960000-1340420</f>
        <v>6619580</v>
      </c>
    </row>
    <row r="123" spans="1:6" s="37" customFormat="1" ht="30.75" customHeight="1">
      <c r="A123" s="113"/>
      <c r="B123" s="117"/>
      <c r="C123" s="163"/>
      <c r="D123" s="116"/>
      <c r="E123" s="115" t="s">
        <v>318</v>
      </c>
      <c r="F123" s="116">
        <v>9448000</v>
      </c>
    </row>
    <row r="124" spans="1:6" s="37" customFormat="1" ht="30.75" customHeight="1">
      <c r="A124" s="113"/>
      <c r="B124" s="117" t="s">
        <v>324</v>
      </c>
      <c r="C124" s="163"/>
      <c r="D124" s="116">
        <v>2934000</v>
      </c>
      <c r="E124" s="115" t="s">
        <v>321</v>
      </c>
      <c r="F124" s="116">
        <f>27000000+858000+3302000</f>
        <v>31160000</v>
      </c>
    </row>
    <row r="125" spans="1:6" s="37" customFormat="1" ht="28.5" customHeight="1">
      <c r="A125" s="113"/>
      <c r="B125" s="114" t="s">
        <v>325</v>
      </c>
      <c r="C125" s="164"/>
      <c r="D125" s="165">
        <f>SUM(D124)</f>
        <v>2934000</v>
      </c>
      <c r="E125" s="115" t="s">
        <v>326</v>
      </c>
      <c r="F125" s="116">
        <v>381000</v>
      </c>
    </row>
    <row r="126" spans="1:6" s="37" customFormat="1" ht="16.5" customHeight="1">
      <c r="A126" s="113"/>
      <c r="B126" s="117"/>
      <c r="C126" s="163"/>
      <c r="D126" s="116"/>
      <c r="E126" s="115" t="s">
        <v>319</v>
      </c>
      <c r="F126" s="116">
        <v>2934000</v>
      </c>
    </row>
    <row r="127" spans="1:6" s="37" customFormat="1" ht="17.25" customHeight="1">
      <c r="A127" s="113"/>
      <c r="B127" s="117" t="s">
        <v>322</v>
      </c>
      <c r="C127" s="163"/>
      <c r="D127" s="116">
        <v>33027000</v>
      </c>
      <c r="E127" s="115" t="s">
        <v>320</v>
      </c>
      <c r="F127" s="116">
        <v>3186000</v>
      </c>
    </row>
    <row r="128" spans="1:6" s="37" customFormat="1" ht="18" customHeight="1">
      <c r="A128" s="113"/>
      <c r="B128" s="114" t="s">
        <v>323</v>
      </c>
      <c r="C128" s="164"/>
      <c r="D128" s="165">
        <f>SUM(D127:D127)</f>
        <v>33027000</v>
      </c>
      <c r="E128" s="113" t="s">
        <v>55</v>
      </c>
      <c r="F128" s="165">
        <f>SUM(F122:F127)</f>
        <v>53728580</v>
      </c>
    </row>
    <row r="129" spans="1:6" s="38" customFormat="1" ht="19.5" customHeight="1" thickBot="1">
      <c r="A129" s="113"/>
      <c r="B129" s="118" t="s">
        <v>16</v>
      </c>
      <c r="C129" s="166"/>
      <c r="D129" s="120">
        <f>D116+D125+D128</f>
        <v>67995000</v>
      </c>
      <c r="E129" s="156"/>
      <c r="F129" s="120">
        <f>F128+F114+F120</f>
        <v>58534000</v>
      </c>
    </row>
    <row r="130" spans="1:6" s="37" customFormat="1" ht="12" customHeight="1" thickBot="1">
      <c r="A130" s="113"/>
      <c r="B130" s="115"/>
      <c r="C130" s="115"/>
      <c r="D130" s="155"/>
      <c r="E130" s="115"/>
      <c r="F130" s="155"/>
    </row>
    <row r="131" spans="1:6" s="38" customFormat="1" ht="24.75" customHeight="1" thickBot="1">
      <c r="A131" s="113"/>
      <c r="B131" s="157" t="s">
        <v>88</v>
      </c>
      <c r="C131" s="125"/>
      <c r="D131" s="169"/>
      <c r="E131" s="125" t="s">
        <v>90</v>
      </c>
      <c r="F131" s="169">
        <v>1161000</v>
      </c>
    </row>
    <row r="132" spans="1:6" s="37" customFormat="1" ht="21" customHeight="1" thickBot="1">
      <c r="A132" s="172"/>
      <c r="B132" s="172"/>
      <c r="C132" s="172"/>
      <c r="D132" s="172"/>
      <c r="E132" s="172"/>
      <c r="F132" s="172"/>
    </row>
    <row r="133" spans="1:6" ht="13.5" thickBot="1">
      <c r="A133" s="102"/>
      <c r="B133" s="122" t="s">
        <v>91</v>
      </c>
      <c r="C133" s="123"/>
      <c r="D133" s="419"/>
      <c r="E133" s="157" t="s">
        <v>31</v>
      </c>
      <c r="F133" s="124">
        <v>300000</v>
      </c>
    </row>
    <row r="134" spans="1:6" ht="13.5" thickBot="1">
      <c r="A134" s="102"/>
      <c r="B134" s="108"/>
      <c r="C134" s="108"/>
      <c r="D134" s="244"/>
      <c r="E134" s="113"/>
      <c r="F134" s="244"/>
    </row>
    <row r="135" spans="1:6" s="37" customFormat="1" ht="17.25" customHeight="1" thickBot="1">
      <c r="A135" s="113"/>
      <c r="B135" s="160" t="s">
        <v>337</v>
      </c>
      <c r="C135" s="158"/>
      <c r="D135" s="420"/>
      <c r="E135" s="421"/>
      <c r="F135" s="418">
        <v>25000000</v>
      </c>
    </row>
    <row r="136" spans="1:6" ht="23.25" customHeight="1" thickBot="1">
      <c r="A136" s="102"/>
      <c r="B136" s="103"/>
      <c r="C136" s="103"/>
      <c r="D136" s="104"/>
      <c r="E136" s="103"/>
      <c r="F136" s="104"/>
    </row>
    <row r="137" spans="1:6" ht="13.5" thickBot="1">
      <c r="A137" s="102"/>
      <c r="B137" s="122" t="s">
        <v>10</v>
      </c>
      <c r="C137" s="123"/>
      <c r="D137" s="124">
        <f>D8+D19+D35+D59+D67+D72+D74+D79+D83+D89+D98+D101+D107+D131+D133+D40+D135+D129</f>
        <v>1463635000</v>
      </c>
      <c r="E137" s="125"/>
      <c r="F137" s="124">
        <f>F8+F19+F35+F59+F67+F72+F74+F79+F83+F89+F98+F101+F107+F131+F133+F40+F135+F129</f>
        <v>1031776000</v>
      </c>
    </row>
    <row r="138" spans="1:6" ht="12.75">
      <c r="A138" s="102"/>
      <c r="B138" s="103"/>
      <c r="C138" s="103"/>
      <c r="D138" s="104"/>
      <c r="E138" s="103"/>
      <c r="F138" s="104"/>
    </row>
    <row r="139" spans="1:6" ht="12.75" hidden="1">
      <c r="A139" s="102"/>
      <c r="B139" s="126" t="s">
        <v>361</v>
      </c>
      <c r="C139" s="110"/>
      <c r="D139" s="111">
        <f>D98</f>
        <v>394911000</v>
      </c>
      <c r="E139" s="110" t="s">
        <v>106</v>
      </c>
      <c r="F139" s="111">
        <f>F70+F114</f>
        <v>19837420</v>
      </c>
    </row>
    <row r="140" spans="1:6" ht="12.75" hidden="1">
      <c r="A140" s="102"/>
      <c r="B140" s="128" t="s">
        <v>362</v>
      </c>
      <c r="C140" s="129"/>
      <c r="D140" s="131">
        <f>D125+D83+D65+D51+D40</f>
        <v>66169000</v>
      </c>
      <c r="E140" s="129" t="s">
        <v>108</v>
      </c>
      <c r="F140" s="131">
        <f>F120+F71</f>
        <v>5360000</v>
      </c>
    </row>
    <row r="141" spans="1:6" ht="12.75" hidden="1">
      <c r="A141" s="102"/>
      <c r="B141" s="128"/>
      <c r="C141" s="129"/>
      <c r="D141" s="131"/>
      <c r="E141" s="129" t="s">
        <v>110</v>
      </c>
      <c r="F141" s="131">
        <f>F133+F100+F94+F89+F83+F79+F65+F74+F58+F40+F31+F8+F128</f>
        <v>373081580</v>
      </c>
    </row>
    <row r="142" spans="1:6" ht="12.75" hidden="1">
      <c r="A142" s="102"/>
      <c r="B142" s="128"/>
      <c r="C142" s="129"/>
      <c r="D142" s="131"/>
      <c r="E142" s="129" t="s">
        <v>111</v>
      </c>
      <c r="F142" s="131">
        <f>F131+F35-F32-F31</f>
        <v>421035000</v>
      </c>
    </row>
    <row r="143" spans="1:6" ht="12.75" hidden="1">
      <c r="A143" s="102"/>
      <c r="B143" s="128" t="s">
        <v>107</v>
      </c>
      <c r="C143" s="129"/>
      <c r="D143" s="131">
        <f>D35+D58+D107+D116</f>
        <v>904528000</v>
      </c>
      <c r="E143" s="129" t="s">
        <v>112</v>
      </c>
      <c r="F143" s="131">
        <f>F19</f>
        <v>27881000</v>
      </c>
    </row>
    <row r="144" spans="1:6" ht="12.75" hidden="1">
      <c r="A144" s="102"/>
      <c r="B144" s="128" t="s">
        <v>109</v>
      </c>
      <c r="C144" s="129"/>
      <c r="D144" s="131">
        <f>D131</f>
        <v>0</v>
      </c>
      <c r="E144" s="129" t="s">
        <v>113</v>
      </c>
      <c r="F144" s="131">
        <f>F135+F66+F106</f>
        <v>31000000</v>
      </c>
    </row>
    <row r="145" spans="1:6" ht="12.75" hidden="1">
      <c r="A145" s="102"/>
      <c r="B145" s="128" t="s">
        <v>23</v>
      </c>
      <c r="C145" s="129"/>
      <c r="D145" s="131">
        <f>D49+D128</f>
        <v>98027000</v>
      </c>
      <c r="E145" s="129" t="s">
        <v>332</v>
      </c>
      <c r="F145" s="131">
        <f>F32</f>
        <v>113976000</v>
      </c>
    </row>
    <row r="146" spans="1:6" ht="13.5" hidden="1" thickBot="1">
      <c r="A146" s="102"/>
      <c r="B146" s="132"/>
      <c r="C146" s="133"/>
      <c r="D146" s="135"/>
      <c r="E146" s="133" t="s">
        <v>115</v>
      </c>
      <c r="F146" s="135">
        <f>F104</f>
        <v>39605000</v>
      </c>
    </row>
    <row r="147" spans="1:6" ht="13.5" hidden="1" thickBot="1">
      <c r="A147" s="102"/>
      <c r="B147" s="136" t="s">
        <v>116</v>
      </c>
      <c r="C147" s="137"/>
      <c r="D147" s="138">
        <f>SUM(D139:D146)</f>
        <v>1463635000</v>
      </c>
      <c r="E147" s="136" t="s">
        <v>116</v>
      </c>
      <c r="F147" s="138">
        <f>SUM(F139:F146)</f>
        <v>1031776000</v>
      </c>
    </row>
    <row r="148" spans="1:6" ht="12.75" hidden="1">
      <c r="A148" s="102"/>
      <c r="B148" s="103"/>
      <c r="C148" s="103"/>
      <c r="D148" s="104"/>
      <c r="E148" s="103"/>
      <c r="F148" s="104"/>
    </row>
    <row r="149" spans="1:6" ht="12.75">
      <c r="A149" s="102"/>
      <c r="B149" s="611"/>
      <c r="C149" s="611"/>
      <c r="D149" s="611"/>
      <c r="E149" s="103"/>
      <c r="F149" s="104">
        <f>F147-D147</f>
        <v>-431859000</v>
      </c>
    </row>
    <row r="150" spans="1:6" ht="13.5" thickBot="1">
      <c r="A150" s="245" t="s">
        <v>147</v>
      </c>
      <c r="B150" s="619" t="s">
        <v>157</v>
      </c>
      <c r="C150" s="619"/>
      <c r="D150" s="619"/>
      <c r="E150" s="66"/>
      <c r="F150" s="67"/>
    </row>
    <row r="151" spans="1:6" s="42" customFormat="1" ht="17.25" customHeight="1">
      <c r="A151" s="608"/>
      <c r="B151" s="609" t="s">
        <v>25</v>
      </c>
      <c r="C151" s="599" t="s">
        <v>26</v>
      </c>
      <c r="D151" s="599"/>
      <c r="E151" s="599" t="s">
        <v>27</v>
      </c>
      <c r="F151" s="600"/>
    </row>
    <row r="152" spans="1:6" s="42" customFormat="1" ht="18.75" customHeight="1" thickBot="1">
      <c r="A152" s="608"/>
      <c r="B152" s="610"/>
      <c r="C152" s="68"/>
      <c r="D152" s="69" t="s">
        <v>28</v>
      </c>
      <c r="E152" s="68" t="s">
        <v>29</v>
      </c>
      <c r="F152" s="70" t="s">
        <v>28</v>
      </c>
    </row>
    <row r="153" spans="1:6" ht="12.75">
      <c r="A153" s="71"/>
      <c r="B153" s="176" t="s">
        <v>32</v>
      </c>
      <c r="C153" s="73"/>
      <c r="D153" s="74"/>
      <c r="E153" s="75" t="s">
        <v>33</v>
      </c>
      <c r="F153" s="74"/>
    </row>
    <row r="154" spans="1:6" ht="12.75">
      <c r="A154" s="71"/>
      <c r="B154" s="177" t="s">
        <v>268</v>
      </c>
      <c r="C154" s="92"/>
      <c r="D154" s="94"/>
      <c r="E154" s="92"/>
      <c r="F154" s="94">
        <v>600000</v>
      </c>
    </row>
    <row r="155" spans="1:6" ht="12.75">
      <c r="A155" s="71"/>
      <c r="B155" s="177" t="s">
        <v>269</v>
      </c>
      <c r="C155" s="92"/>
      <c r="D155" s="94"/>
      <c r="E155" s="92"/>
      <c r="F155" s="94">
        <v>240000</v>
      </c>
    </row>
    <row r="156" spans="1:6" ht="12.75">
      <c r="A156" s="71"/>
      <c r="B156" s="177" t="s">
        <v>270</v>
      </c>
      <c r="C156" s="92"/>
      <c r="D156" s="94"/>
      <c r="E156" s="92"/>
      <c r="F156" s="94">
        <v>240000</v>
      </c>
    </row>
    <row r="157" spans="1:6" ht="12.75">
      <c r="A157" s="71"/>
      <c r="B157" s="177" t="s">
        <v>271</v>
      </c>
      <c r="C157" s="92"/>
      <c r="D157" s="94"/>
      <c r="E157" s="92" t="s">
        <v>335</v>
      </c>
      <c r="F157" s="94">
        <v>500000</v>
      </c>
    </row>
    <row r="158" spans="1:6" ht="12.75">
      <c r="A158" s="71"/>
      <c r="B158" s="177" t="s">
        <v>272</v>
      </c>
      <c r="C158" s="92"/>
      <c r="D158" s="94"/>
      <c r="E158" s="92"/>
      <c r="F158" s="94">
        <v>300000</v>
      </c>
    </row>
    <row r="159" spans="1:6" ht="12.75">
      <c r="A159" s="71"/>
      <c r="B159" s="177" t="s">
        <v>273</v>
      </c>
      <c r="C159" s="92"/>
      <c r="D159" s="94"/>
      <c r="E159" s="92"/>
      <c r="F159" s="94">
        <v>120000</v>
      </c>
    </row>
    <row r="160" spans="1:6" ht="12.75">
      <c r="A160" s="71"/>
      <c r="B160" s="177" t="s">
        <v>280</v>
      </c>
      <c r="C160" s="92"/>
      <c r="D160" s="94"/>
      <c r="E160" s="92"/>
      <c r="F160" s="94">
        <v>240000</v>
      </c>
    </row>
    <row r="161" spans="1:6" ht="12.75">
      <c r="A161" s="71"/>
      <c r="B161" s="177" t="s">
        <v>274</v>
      </c>
      <c r="C161" s="92"/>
      <c r="D161" s="94"/>
      <c r="E161" s="92"/>
      <c r="F161" s="94">
        <v>120000</v>
      </c>
    </row>
    <row r="162" spans="1:6" ht="12.75">
      <c r="A162" s="71"/>
      <c r="B162" s="177" t="s">
        <v>421</v>
      </c>
      <c r="C162" s="92"/>
      <c r="D162" s="94"/>
      <c r="E162" s="92"/>
      <c r="F162" s="94">
        <v>40000</v>
      </c>
    </row>
    <row r="163" spans="1:6" ht="12.75">
      <c r="A163" s="71"/>
      <c r="B163" s="177" t="s">
        <v>275</v>
      </c>
      <c r="C163" s="92"/>
      <c r="D163" s="94"/>
      <c r="E163" s="92"/>
      <c r="F163" s="94">
        <v>300000</v>
      </c>
    </row>
    <row r="164" spans="1:6" ht="12.75">
      <c r="A164" s="71"/>
      <c r="B164" s="177" t="s">
        <v>276</v>
      </c>
      <c r="C164" s="92"/>
      <c r="D164" s="94"/>
      <c r="E164" s="92"/>
      <c r="F164" s="94">
        <v>600000</v>
      </c>
    </row>
    <row r="165" spans="1:6" ht="12.75">
      <c r="A165" s="71"/>
      <c r="B165" s="177" t="s">
        <v>277</v>
      </c>
      <c r="C165" s="92"/>
      <c r="D165" s="94"/>
      <c r="E165" s="92"/>
      <c r="F165" s="94">
        <v>1200000</v>
      </c>
    </row>
    <row r="166" spans="1:6" ht="12.75">
      <c r="A166" s="71"/>
      <c r="B166" s="177" t="s">
        <v>278</v>
      </c>
      <c r="C166" s="92"/>
      <c r="D166" s="94"/>
      <c r="E166" s="92" t="s">
        <v>279</v>
      </c>
      <c r="F166" s="94">
        <v>1800000</v>
      </c>
    </row>
    <row r="167" spans="1:6" s="8" customFormat="1" ht="13.5">
      <c r="A167" s="178"/>
      <c r="B167" s="179" t="s">
        <v>2</v>
      </c>
      <c r="C167" s="180"/>
      <c r="D167" s="181"/>
      <c r="E167" s="180" t="s">
        <v>281</v>
      </c>
      <c r="F167" s="181">
        <f>SUM(F154:F166)</f>
        <v>6300000</v>
      </c>
    </row>
    <row r="168" spans="1:6" s="5" customFormat="1" ht="13.5" thickBot="1">
      <c r="A168" s="71"/>
      <c r="B168" s="182" t="s">
        <v>16</v>
      </c>
      <c r="C168" s="100"/>
      <c r="D168" s="101"/>
      <c r="E168" s="100"/>
      <c r="F168" s="101">
        <f>F167</f>
        <v>6300000</v>
      </c>
    </row>
    <row r="169" spans="1:6" ht="17.25" customHeight="1" thickBot="1">
      <c r="A169" s="71"/>
      <c r="B169" s="92"/>
      <c r="C169" s="92"/>
      <c r="D169" s="93"/>
      <c r="E169" s="92"/>
      <c r="F169" s="93"/>
    </row>
    <row r="170" spans="1:6" ht="12.75">
      <c r="A170" s="71"/>
      <c r="B170" s="176" t="s">
        <v>153</v>
      </c>
      <c r="C170" s="73"/>
      <c r="D170" s="74"/>
      <c r="E170" s="75"/>
      <c r="F170" s="74"/>
    </row>
    <row r="171" spans="1:6" s="37" customFormat="1" ht="12.75">
      <c r="A171" s="76"/>
      <c r="B171" s="80"/>
      <c r="C171" s="78"/>
      <c r="D171" s="79"/>
      <c r="E171" s="76" t="s">
        <v>329</v>
      </c>
      <c r="F171" s="79">
        <f>10321000+1925000</f>
        <v>12246000</v>
      </c>
    </row>
    <row r="172" spans="1:6" s="37" customFormat="1" ht="19.5" customHeight="1">
      <c r="A172" s="76"/>
      <c r="B172" s="80"/>
      <c r="C172" s="78"/>
      <c r="D172" s="79"/>
      <c r="E172" s="76" t="s">
        <v>154</v>
      </c>
      <c r="F172" s="79">
        <f>3029000</f>
        <v>3029000</v>
      </c>
    </row>
    <row r="173" spans="1:6" s="37" customFormat="1" ht="17.25" customHeight="1" thickBot="1">
      <c r="A173" s="76"/>
      <c r="B173" s="81"/>
      <c r="C173" s="82"/>
      <c r="D173" s="83">
        <f>SUM(D171:D172)</f>
        <v>0</v>
      </c>
      <c r="E173" s="183" t="s">
        <v>2</v>
      </c>
      <c r="F173" s="83">
        <f>SUM(F170:F172)</f>
        <v>15275000</v>
      </c>
    </row>
    <row r="174" spans="1:6" s="37" customFormat="1" ht="17.25" customHeight="1" thickBot="1">
      <c r="A174" s="76"/>
      <c r="B174" s="81"/>
      <c r="C174" s="82"/>
      <c r="D174" s="83"/>
      <c r="E174" s="183"/>
      <c r="F174" s="83"/>
    </row>
    <row r="175" spans="1:6" s="37" customFormat="1" ht="19.5" customHeight="1" thickBot="1">
      <c r="A175" s="76"/>
      <c r="B175" s="184" t="s">
        <v>56</v>
      </c>
      <c r="C175" s="185"/>
      <c r="D175" s="186"/>
      <c r="E175" s="188"/>
      <c r="F175" s="186"/>
    </row>
    <row r="176" spans="1:6" ht="12.75">
      <c r="A176" s="71"/>
      <c r="B176" s="189" t="s">
        <v>46</v>
      </c>
      <c r="C176" s="190"/>
      <c r="D176" s="74"/>
      <c r="E176" s="73"/>
      <c r="F176" s="74"/>
    </row>
    <row r="177" spans="1:6" s="37" customFormat="1" ht="12.75">
      <c r="A177" s="76"/>
      <c r="B177" s="191"/>
      <c r="C177" s="191"/>
      <c r="D177" s="79"/>
      <c r="E177" s="78" t="s">
        <v>52</v>
      </c>
      <c r="F177" s="79">
        <v>4800000</v>
      </c>
    </row>
    <row r="178" spans="1:6" s="37" customFormat="1" ht="12.75">
      <c r="A178" s="76"/>
      <c r="B178" s="191"/>
      <c r="C178" s="191"/>
      <c r="D178" s="79"/>
      <c r="E178" s="78" t="s">
        <v>61</v>
      </c>
      <c r="F178" s="79">
        <v>300000</v>
      </c>
    </row>
    <row r="179" spans="1:6" s="37" customFormat="1" ht="12.75">
      <c r="A179" s="76"/>
      <c r="B179" s="192"/>
      <c r="C179" s="192"/>
      <c r="D179" s="193"/>
      <c r="E179" s="76" t="s">
        <v>11</v>
      </c>
      <c r="F179" s="193">
        <f>SUM(F176:F178)</f>
        <v>5100000</v>
      </c>
    </row>
    <row r="180" spans="1:6" s="38" customFormat="1" ht="18" customHeight="1" thickBot="1">
      <c r="A180" s="76"/>
      <c r="B180" s="194" t="s">
        <v>16</v>
      </c>
      <c r="C180" s="194"/>
      <c r="D180" s="83"/>
      <c r="E180" s="183"/>
      <c r="F180" s="83">
        <f>F179</f>
        <v>5100000</v>
      </c>
    </row>
    <row r="181" spans="1:6" s="37" customFormat="1" ht="11.25" customHeight="1" thickBot="1">
      <c r="A181" s="76"/>
      <c r="B181" s="78"/>
      <c r="C181" s="78"/>
      <c r="D181" s="187"/>
      <c r="E181" s="78"/>
      <c r="F181" s="187"/>
    </row>
    <row r="182" spans="1:6" s="38" customFormat="1" ht="12.75">
      <c r="A182" s="76"/>
      <c r="B182" s="72" t="s">
        <v>62</v>
      </c>
      <c r="C182" s="190"/>
      <c r="D182" s="195"/>
      <c r="E182" s="196"/>
      <c r="F182" s="195"/>
    </row>
    <row r="183" spans="1:6" s="37" customFormat="1" ht="18" customHeight="1">
      <c r="A183" s="76"/>
      <c r="B183" s="80"/>
      <c r="C183" s="191" t="s">
        <v>66</v>
      </c>
      <c r="D183" s="79">
        <v>635000</v>
      </c>
      <c r="E183" s="78" t="s">
        <v>65</v>
      </c>
      <c r="F183" s="79">
        <v>600000</v>
      </c>
    </row>
    <row r="184" spans="1:6" s="37" customFormat="1" ht="18" customHeight="1">
      <c r="A184" s="76"/>
      <c r="B184" s="77" t="s">
        <v>103</v>
      </c>
      <c r="C184" s="192"/>
      <c r="D184" s="193">
        <f>SUM(D182:D183)</f>
        <v>635000</v>
      </c>
      <c r="E184" s="76" t="s">
        <v>55</v>
      </c>
      <c r="F184" s="193">
        <f>SUM(F182:F183)</f>
        <v>600000</v>
      </c>
    </row>
    <row r="185" spans="1:6" s="38" customFormat="1" ht="19.5" customHeight="1" thickBot="1">
      <c r="A185" s="76"/>
      <c r="B185" s="81" t="s">
        <v>16</v>
      </c>
      <c r="C185" s="194"/>
      <c r="D185" s="83">
        <f>SUM(D182:D183)</f>
        <v>635000</v>
      </c>
      <c r="E185" s="183"/>
      <c r="F185" s="83">
        <f>F184</f>
        <v>600000</v>
      </c>
    </row>
    <row r="186" spans="1:6" s="37" customFormat="1" ht="12" customHeight="1" thickBot="1">
      <c r="A186" s="76"/>
      <c r="B186" s="78"/>
      <c r="C186" s="78"/>
      <c r="D186" s="187"/>
      <c r="E186" s="78"/>
      <c r="F186" s="187"/>
    </row>
    <row r="187" spans="1:6" s="38" customFormat="1" ht="12.75">
      <c r="A187" s="76"/>
      <c r="B187" s="72" t="s">
        <v>70</v>
      </c>
      <c r="C187" s="197"/>
      <c r="D187" s="422"/>
      <c r="E187" s="201" t="s">
        <v>288</v>
      </c>
      <c r="F187" s="198">
        <f>5000000+1500000</f>
        <v>6500000</v>
      </c>
    </row>
    <row r="188" spans="1:6" s="38" customFormat="1" ht="25.5">
      <c r="A188" s="76"/>
      <c r="B188" s="77"/>
      <c r="C188" s="76"/>
      <c r="D188" s="84"/>
      <c r="E188" s="192" t="s">
        <v>287</v>
      </c>
      <c r="F188" s="193">
        <f>SUM(F187)</f>
        <v>6500000</v>
      </c>
    </row>
    <row r="189" spans="1:6" s="37" customFormat="1" ht="18" customHeight="1">
      <c r="A189" s="76"/>
      <c r="B189" s="80"/>
      <c r="C189" s="78"/>
      <c r="D189" s="187"/>
      <c r="E189" s="191"/>
      <c r="F189" s="79"/>
    </row>
    <row r="190" spans="1:6" s="37" customFormat="1" ht="18" customHeight="1">
      <c r="A190" s="76"/>
      <c r="B190" s="80"/>
      <c r="C190" s="78"/>
      <c r="D190" s="187"/>
      <c r="E190" s="191" t="s">
        <v>71</v>
      </c>
      <c r="F190" s="79">
        <v>2345000</v>
      </c>
    </row>
    <row r="191" spans="1:6" s="37" customFormat="1" ht="18" customHeight="1">
      <c r="A191" s="76"/>
      <c r="B191" s="80"/>
      <c r="C191" s="78"/>
      <c r="D191" s="187"/>
      <c r="E191" s="192" t="s">
        <v>55</v>
      </c>
      <c r="F191" s="193">
        <f>SUM(F189:F190)</f>
        <v>2345000</v>
      </c>
    </row>
    <row r="192" spans="1:6" s="37" customFormat="1" ht="14.25" customHeight="1">
      <c r="A192" s="76"/>
      <c r="B192" s="80"/>
      <c r="C192" s="78"/>
      <c r="D192" s="187"/>
      <c r="E192" s="192" t="s">
        <v>72</v>
      </c>
      <c r="F192" s="193">
        <v>1300000</v>
      </c>
    </row>
    <row r="193" spans="1:6" s="37" customFormat="1" ht="14.25" customHeight="1">
      <c r="A193" s="76"/>
      <c r="B193" s="80"/>
      <c r="C193" s="78"/>
      <c r="D193" s="187"/>
      <c r="E193" s="192"/>
      <c r="F193" s="79"/>
    </row>
    <row r="194" spans="1:6" s="38" customFormat="1" ht="16.5" customHeight="1" thickBot="1">
      <c r="A194" s="76"/>
      <c r="B194" s="81" t="s">
        <v>16</v>
      </c>
      <c r="C194" s="183"/>
      <c r="D194" s="205"/>
      <c r="E194" s="194" t="s">
        <v>16</v>
      </c>
      <c r="F194" s="83">
        <f>F188+F191+F192</f>
        <v>10145000</v>
      </c>
    </row>
    <row r="195" spans="1:6" s="37" customFormat="1" ht="36" customHeight="1" thickBot="1">
      <c r="A195" s="199"/>
      <c r="B195" s="199"/>
      <c r="C195" s="199"/>
      <c r="D195" s="199"/>
      <c r="E195" s="199"/>
      <c r="F195" s="199"/>
    </row>
    <row r="196" spans="1:6" ht="17.25" customHeight="1">
      <c r="A196" s="65"/>
      <c r="B196" s="189" t="s">
        <v>292</v>
      </c>
      <c r="C196" s="73"/>
      <c r="D196" s="200"/>
      <c r="E196" s="201" t="s">
        <v>151</v>
      </c>
      <c r="F196" s="200">
        <v>4200000</v>
      </c>
    </row>
    <row r="197" spans="1:6" ht="17.25" customHeight="1">
      <c r="A197" s="65"/>
      <c r="B197" s="202" t="s">
        <v>336</v>
      </c>
      <c r="C197" s="92"/>
      <c r="D197" s="203">
        <v>4200000</v>
      </c>
      <c r="E197" s="192" t="s">
        <v>152</v>
      </c>
      <c r="F197" s="203">
        <v>13999000</v>
      </c>
    </row>
    <row r="198" spans="1:6" ht="18.75" customHeight="1">
      <c r="A198" s="65"/>
      <c r="B198" s="202"/>
      <c r="C198" s="92"/>
      <c r="D198" s="203"/>
      <c r="E198" s="192" t="s">
        <v>150</v>
      </c>
      <c r="F198" s="203">
        <f>SUM(F196:F197)</f>
        <v>18199000</v>
      </c>
    </row>
    <row r="199" spans="1:6" ht="15.75" customHeight="1">
      <c r="A199" s="65"/>
      <c r="B199" s="202"/>
      <c r="C199" s="92"/>
      <c r="D199" s="203"/>
      <c r="E199" s="192" t="s">
        <v>86</v>
      </c>
      <c r="F199" s="203">
        <v>252000</v>
      </c>
    </row>
    <row r="200" spans="1:6" ht="19.5" customHeight="1" thickBot="1">
      <c r="A200" s="65"/>
      <c r="B200" s="99" t="s">
        <v>16</v>
      </c>
      <c r="C200" s="96"/>
      <c r="D200" s="101">
        <f>SUM(D197:D199)</f>
        <v>4200000</v>
      </c>
      <c r="E200" s="194" t="s">
        <v>16</v>
      </c>
      <c r="F200" s="101">
        <f>F198+F199</f>
        <v>18451000</v>
      </c>
    </row>
    <row r="201" spans="1:6" s="37" customFormat="1" ht="14.25" customHeight="1" thickBot="1">
      <c r="A201" s="199"/>
      <c r="B201" s="199"/>
      <c r="C201" s="199"/>
      <c r="D201" s="199"/>
      <c r="E201" s="199"/>
      <c r="F201" s="199"/>
    </row>
    <row r="202" spans="1:6" s="37" customFormat="1" ht="25.5" customHeight="1">
      <c r="A202" s="76"/>
      <c r="B202" s="72" t="s">
        <v>87</v>
      </c>
      <c r="C202" s="197"/>
      <c r="D202" s="204"/>
      <c r="E202" s="201" t="s">
        <v>289</v>
      </c>
      <c r="F202" s="195">
        <v>0</v>
      </c>
    </row>
    <row r="203" spans="1:6" s="37" customFormat="1" ht="17.25" customHeight="1" thickBot="1">
      <c r="A203" s="76"/>
      <c r="B203" s="81" t="s">
        <v>16</v>
      </c>
      <c r="C203" s="82"/>
      <c r="D203" s="205">
        <f>SUM(D202:D202)</f>
        <v>0</v>
      </c>
      <c r="E203" s="206"/>
      <c r="F203" s="83">
        <f>SUM(F202:F202)</f>
        <v>0</v>
      </c>
    </row>
    <row r="204" spans="1:6" ht="15" customHeight="1" thickBot="1">
      <c r="A204" s="65"/>
      <c r="B204" s="66"/>
      <c r="C204" s="66"/>
      <c r="D204" s="67"/>
      <c r="E204" s="66"/>
      <c r="F204" s="67"/>
    </row>
    <row r="205" spans="1:6" ht="20.25" customHeight="1">
      <c r="A205" s="65"/>
      <c r="B205" s="189" t="s">
        <v>333</v>
      </c>
      <c r="C205" s="73"/>
      <c r="D205" s="200"/>
      <c r="E205" s="201"/>
      <c r="F205" s="200">
        <v>0</v>
      </c>
    </row>
    <row r="206" spans="1:6" ht="17.25" customHeight="1">
      <c r="A206" s="65"/>
      <c r="B206" s="202"/>
      <c r="C206" s="92"/>
      <c r="D206" s="203"/>
      <c r="E206" s="192"/>
      <c r="F206" s="203">
        <v>0</v>
      </c>
    </row>
    <row r="207" spans="1:6" ht="18.75" customHeight="1">
      <c r="A207" s="65"/>
      <c r="B207" s="202" t="s">
        <v>334</v>
      </c>
      <c r="C207" s="92"/>
      <c r="D207" s="203">
        <v>10120000</v>
      </c>
      <c r="E207" s="192" t="s">
        <v>150</v>
      </c>
      <c r="F207" s="203">
        <v>10120000</v>
      </c>
    </row>
    <row r="208" spans="1:6" ht="19.5" customHeight="1" thickBot="1">
      <c r="A208" s="65"/>
      <c r="B208" s="99" t="s">
        <v>16</v>
      </c>
      <c r="C208" s="96"/>
      <c r="D208" s="101">
        <f>SUM(D205:D207)</f>
        <v>10120000</v>
      </c>
      <c r="E208" s="194" t="s">
        <v>16</v>
      </c>
      <c r="F208" s="101">
        <f>F205+F206+F207</f>
        <v>10120000</v>
      </c>
    </row>
    <row r="209" spans="1:6" s="37" customFormat="1" ht="18.75" customHeight="1" thickBot="1">
      <c r="A209" s="199"/>
      <c r="B209" s="199"/>
      <c r="C209" s="199"/>
      <c r="D209" s="199"/>
      <c r="E209" s="199"/>
      <c r="F209" s="199"/>
    </row>
    <row r="210" spans="1:6" ht="20.25" customHeight="1">
      <c r="A210" s="65"/>
      <c r="B210" s="189" t="s">
        <v>290</v>
      </c>
      <c r="C210" s="73"/>
      <c r="D210" s="200"/>
      <c r="E210" s="201" t="s">
        <v>291</v>
      </c>
      <c r="F210" s="200">
        <v>2500000</v>
      </c>
    </row>
    <row r="211" spans="1:6" ht="17.25" customHeight="1">
      <c r="A211" s="65"/>
      <c r="B211" s="202" t="s">
        <v>89</v>
      </c>
      <c r="C211" s="92"/>
      <c r="D211" s="203">
        <v>200000</v>
      </c>
      <c r="E211" s="192" t="s">
        <v>286</v>
      </c>
      <c r="F211" s="203">
        <f>127000+1020000</f>
        <v>1147000</v>
      </c>
    </row>
    <row r="212" spans="1:6" ht="18.75" customHeight="1">
      <c r="A212" s="65"/>
      <c r="B212" s="202"/>
      <c r="C212" s="92"/>
      <c r="D212" s="203"/>
      <c r="E212" s="192" t="s">
        <v>150</v>
      </c>
      <c r="F212" s="203">
        <f>7000000-2500000-1147000</f>
        <v>3353000</v>
      </c>
    </row>
    <row r="213" spans="1:6" ht="19.5" customHeight="1" thickBot="1">
      <c r="A213" s="65"/>
      <c r="B213" s="99" t="s">
        <v>16</v>
      </c>
      <c r="C213" s="96"/>
      <c r="D213" s="101">
        <f>SUM(D210:D212)</f>
        <v>200000</v>
      </c>
      <c r="E213" s="194" t="s">
        <v>16</v>
      </c>
      <c r="F213" s="101">
        <f>F210+F211+F212</f>
        <v>7000000</v>
      </c>
    </row>
    <row r="214" spans="1:6" s="37" customFormat="1" ht="10.5" customHeight="1" thickBot="1">
      <c r="A214" s="199"/>
      <c r="B214" s="199"/>
      <c r="C214" s="199"/>
      <c r="D214" s="199"/>
      <c r="E214" s="199"/>
      <c r="F214" s="199"/>
    </row>
    <row r="215" spans="1:6" ht="13.5" thickBot="1">
      <c r="A215" s="65"/>
      <c r="B215" s="85" t="s">
        <v>10</v>
      </c>
      <c r="C215" s="86"/>
      <c r="D215" s="87">
        <f>D168+D135+D180+D185+D200+D203+D194+D173+D213+D208</f>
        <v>15155000</v>
      </c>
      <c r="E215" s="88"/>
      <c r="F215" s="87">
        <f>F168+F180+F185+F200+F203+F194+F173+F213+F208</f>
        <v>72991000</v>
      </c>
    </row>
    <row r="216" spans="1:6" ht="12.75" hidden="1">
      <c r="A216" s="65"/>
      <c r="B216" s="89" t="s">
        <v>105</v>
      </c>
      <c r="C216" s="73"/>
      <c r="D216" s="90">
        <f>D200+D185</f>
        <v>4835000</v>
      </c>
      <c r="E216" s="89" t="s">
        <v>106</v>
      </c>
      <c r="F216" s="74">
        <f>F171+F210+F205</f>
        <v>14746000</v>
      </c>
    </row>
    <row r="217" spans="1:6" ht="12.75" hidden="1">
      <c r="A217" s="65"/>
      <c r="B217" s="91" t="s">
        <v>107</v>
      </c>
      <c r="C217" s="92"/>
      <c r="D217" s="93">
        <f>0</f>
        <v>0</v>
      </c>
      <c r="E217" s="91" t="s">
        <v>108</v>
      </c>
      <c r="F217" s="94">
        <f>F172+F211+F206</f>
        <v>4176000</v>
      </c>
    </row>
    <row r="218" spans="1:6" ht="12.75" hidden="1">
      <c r="A218" s="65"/>
      <c r="B218" s="91" t="s">
        <v>109</v>
      </c>
      <c r="C218" s="92"/>
      <c r="D218" s="93">
        <f>D211+D207</f>
        <v>10320000</v>
      </c>
      <c r="E218" s="91" t="s">
        <v>110</v>
      </c>
      <c r="F218" s="94">
        <f>F198+F184+F179+F191+F212+F207</f>
        <v>39717000</v>
      </c>
    </row>
    <row r="219" spans="1:6" ht="12.75" hidden="1">
      <c r="A219" s="65"/>
      <c r="B219" s="91" t="s">
        <v>23</v>
      </c>
      <c r="C219" s="92"/>
      <c r="D219" s="93">
        <f>D206</f>
        <v>0</v>
      </c>
      <c r="E219" s="91" t="s">
        <v>111</v>
      </c>
      <c r="F219" s="94">
        <f>0</f>
        <v>0</v>
      </c>
    </row>
    <row r="220" spans="1:6" ht="12.75" hidden="1">
      <c r="A220" s="65"/>
      <c r="B220" s="91"/>
      <c r="C220" s="92"/>
      <c r="D220" s="93"/>
      <c r="E220" s="91" t="s">
        <v>112</v>
      </c>
      <c r="F220" s="94">
        <f>F168+F199+F188</f>
        <v>13052000</v>
      </c>
    </row>
    <row r="221" spans="1:6" ht="12.75" hidden="1">
      <c r="A221" s="65"/>
      <c r="B221" s="91"/>
      <c r="C221" s="92"/>
      <c r="D221" s="93"/>
      <c r="E221" s="91" t="s">
        <v>113</v>
      </c>
      <c r="F221" s="94">
        <f>F192</f>
        <v>1300000</v>
      </c>
    </row>
    <row r="222" spans="1:6" ht="12.75" hidden="1">
      <c r="A222" s="65"/>
      <c r="B222" s="91"/>
      <c r="C222" s="92"/>
      <c r="D222" s="93"/>
      <c r="E222" s="91" t="s">
        <v>114</v>
      </c>
      <c r="F222" s="94"/>
    </row>
    <row r="223" spans="1:6" ht="13.5" hidden="1" thickBot="1">
      <c r="A223" s="65"/>
      <c r="B223" s="95"/>
      <c r="C223" s="96"/>
      <c r="D223" s="97"/>
      <c r="E223" s="95" t="s">
        <v>115</v>
      </c>
      <c r="F223" s="98">
        <f>F203</f>
        <v>0</v>
      </c>
    </row>
    <row r="224" spans="1:6" ht="13.5" hidden="1" thickBot="1">
      <c r="A224" s="65"/>
      <c r="B224" s="99" t="s">
        <v>116</v>
      </c>
      <c r="C224" s="100"/>
      <c r="D224" s="101">
        <f>SUM(D216:D223)</f>
        <v>15155000</v>
      </c>
      <c r="E224" s="99" t="s">
        <v>116</v>
      </c>
      <c r="F224" s="101">
        <f>SUM(F216:F223)</f>
        <v>72991000</v>
      </c>
    </row>
    <row r="225" spans="1:6" ht="12.75" hidden="1">
      <c r="A225" s="65"/>
      <c r="B225" s="66"/>
      <c r="C225" s="66"/>
      <c r="D225" s="67"/>
      <c r="E225" s="66"/>
      <c r="F225" s="67"/>
    </row>
    <row r="226" spans="1:6" ht="16.5" customHeight="1">
      <c r="A226" s="65"/>
      <c r="B226" s="66"/>
      <c r="C226" s="66"/>
      <c r="D226" s="67"/>
      <c r="E226" s="66"/>
      <c r="F226" s="67">
        <f>F224-D224</f>
        <v>57836000</v>
      </c>
    </row>
    <row r="227" spans="1:6" ht="21" customHeight="1">
      <c r="A227" s="102"/>
      <c r="B227" s="103"/>
      <c r="C227" s="103"/>
      <c r="D227" s="104"/>
      <c r="E227" s="103"/>
      <c r="F227" s="104"/>
    </row>
    <row r="228" spans="1:6" ht="12.75">
      <c r="A228" s="102" t="s">
        <v>7</v>
      </c>
      <c r="B228" s="611" t="s">
        <v>158</v>
      </c>
      <c r="C228" s="611"/>
      <c r="D228" s="611"/>
      <c r="E228" s="103"/>
      <c r="F228" s="104"/>
    </row>
    <row r="229" spans="1:6" ht="13.5" thickBot="1">
      <c r="A229" s="102"/>
      <c r="B229" s="103"/>
      <c r="C229" s="103"/>
      <c r="D229" s="104"/>
      <c r="E229" s="103"/>
      <c r="F229" s="104"/>
    </row>
    <row r="230" spans="1:6" s="42" customFormat="1" ht="17.25" customHeight="1">
      <c r="A230" s="612"/>
      <c r="B230" s="613" t="s">
        <v>25</v>
      </c>
      <c r="C230" s="615" t="s">
        <v>26</v>
      </c>
      <c r="D230" s="615"/>
      <c r="E230" s="615" t="s">
        <v>27</v>
      </c>
      <c r="F230" s="616"/>
    </row>
    <row r="231" spans="1:6" s="42" customFormat="1" ht="22.5" customHeight="1" thickBot="1">
      <c r="A231" s="612"/>
      <c r="B231" s="614"/>
      <c r="C231" s="105"/>
      <c r="D231" s="106" t="s">
        <v>28</v>
      </c>
      <c r="E231" s="105" t="s">
        <v>29</v>
      </c>
      <c r="F231" s="107" t="s">
        <v>28</v>
      </c>
    </row>
    <row r="232" spans="1:6" ht="25.5">
      <c r="A232" s="108"/>
      <c r="B232" s="109" t="s">
        <v>159</v>
      </c>
      <c r="C232" s="110"/>
      <c r="D232" s="111"/>
      <c r="E232" s="112" t="s">
        <v>41</v>
      </c>
      <c r="F232" s="111">
        <v>15802000</v>
      </c>
    </row>
    <row r="233" spans="1:6" s="37" customFormat="1" ht="12.75">
      <c r="A233" s="113"/>
      <c r="B233" s="114" t="s">
        <v>17</v>
      </c>
      <c r="C233" s="115"/>
      <c r="D233" s="116">
        <v>1900000</v>
      </c>
      <c r="E233" s="113" t="s">
        <v>42</v>
      </c>
      <c r="F233" s="116">
        <v>4289000</v>
      </c>
    </row>
    <row r="234" spans="1:6" s="37" customFormat="1" ht="12.75">
      <c r="A234" s="113"/>
      <c r="B234" s="114" t="s">
        <v>107</v>
      </c>
      <c r="C234" s="115"/>
      <c r="D234" s="116">
        <v>529000</v>
      </c>
      <c r="E234" s="113" t="s">
        <v>43</v>
      </c>
      <c r="F234" s="116">
        <v>9067000</v>
      </c>
    </row>
    <row r="235" spans="1:6" s="37" customFormat="1" ht="17.25" customHeight="1" thickBot="1">
      <c r="A235" s="113"/>
      <c r="B235" s="118" t="s">
        <v>16</v>
      </c>
      <c r="C235" s="119"/>
      <c r="D235" s="120">
        <f>SUM(D232:D234)</f>
        <v>2429000</v>
      </c>
      <c r="E235" s="119"/>
      <c r="F235" s="120">
        <f>SUM(F232:F234)</f>
        <v>29158000</v>
      </c>
    </row>
    <row r="236" spans="1:6" s="37" customFormat="1" ht="17.25" customHeight="1" thickBot="1">
      <c r="A236" s="113"/>
      <c r="B236" s="113"/>
      <c r="C236" s="115"/>
      <c r="D236" s="121"/>
      <c r="E236" s="115"/>
      <c r="F236" s="121"/>
    </row>
    <row r="237" spans="1:6" ht="12.75">
      <c r="A237" s="108"/>
      <c r="B237" s="109" t="s">
        <v>160</v>
      </c>
      <c r="C237" s="110"/>
      <c r="D237" s="111"/>
      <c r="E237" s="112" t="s">
        <v>41</v>
      </c>
      <c r="F237" s="111">
        <v>0</v>
      </c>
    </row>
    <row r="238" spans="1:6" s="37" customFormat="1" ht="12.75">
      <c r="A238" s="113"/>
      <c r="B238" s="114" t="s">
        <v>17</v>
      </c>
      <c r="C238" s="115"/>
      <c r="D238" s="116"/>
      <c r="E238" s="113" t="s">
        <v>42</v>
      </c>
      <c r="F238" s="116">
        <v>0</v>
      </c>
    </row>
    <row r="239" spans="1:6" s="37" customFormat="1" ht="12.75">
      <c r="A239" s="113"/>
      <c r="B239" s="117"/>
      <c r="C239" s="115"/>
      <c r="D239" s="116"/>
      <c r="E239" s="113" t="s">
        <v>43</v>
      </c>
      <c r="F239" s="116">
        <f>3350000+366000</f>
        <v>3716000</v>
      </c>
    </row>
    <row r="240" spans="1:6" s="37" customFormat="1" ht="17.25" customHeight="1" thickBot="1">
      <c r="A240" s="113"/>
      <c r="B240" s="118" t="s">
        <v>16</v>
      </c>
      <c r="C240" s="119"/>
      <c r="D240" s="120">
        <f>SUM(D237:D239)</f>
        <v>0</v>
      </c>
      <c r="E240" s="119"/>
      <c r="F240" s="120">
        <f>SUM(F237:F239)</f>
        <v>3716000</v>
      </c>
    </row>
    <row r="241" spans="1:6" ht="23.25" customHeight="1" thickBot="1">
      <c r="A241" s="102"/>
      <c r="B241" s="103"/>
      <c r="C241" s="103"/>
      <c r="D241" s="104"/>
      <c r="E241" s="103"/>
      <c r="F241" s="104"/>
    </row>
    <row r="242" spans="1:6" ht="13.5" thickBot="1">
      <c r="A242" s="102"/>
      <c r="B242" s="122" t="s">
        <v>10</v>
      </c>
      <c r="C242" s="123"/>
      <c r="D242" s="124">
        <f>D235+D240</f>
        <v>2429000</v>
      </c>
      <c r="E242" s="125"/>
      <c r="F242" s="124">
        <f>F235+F240</f>
        <v>32874000</v>
      </c>
    </row>
    <row r="243" spans="1:6" ht="12.75" hidden="1">
      <c r="A243" s="102"/>
      <c r="B243" s="126" t="s">
        <v>105</v>
      </c>
      <c r="C243" s="110"/>
      <c r="D243" s="127">
        <f>D233+D238</f>
        <v>1900000</v>
      </c>
      <c r="E243" s="126" t="s">
        <v>106</v>
      </c>
      <c r="F243" s="111">
        <f>F232+F237</f>
        <v>15802000</v>
      </c>
    </row>
    <row r="244" spans="1:6" ht="12.75" hidden="1">
      <c r="A244" s="102"/>
      <c r="B244" s="128" t="s">
        <v>107</v>
      </c>
      <c r="C244" s="129"/>
      <c r="D244" s="130">
        <f>D234</f>
        <v>529000</v>
      </c>
      <c r="E244" s="128" t="s">
        <v>108</v>
      </c>
      <c r="F244" s="131">
        <f>F233+F238</f>
        <v>4289000</v>
      </c>
    </row>
    <row r="245" spans="1:6" ht="12.75" hidden="1">
      <c r="A245" s="102"/>
      <c r="B245" s="128" t="s">
        <v>109</v>
      </c>
      <c r="C245" s="129"/>
      <c r="D245" s="130">
        <f>0</f>
        <v>0</v>
      </c>
      <c r="E245" s="128" t="s">
        <v>110</v>
      </c>
      <c r="F245" s="131">
        <f>F234+F239</f>
        <v>12783000</v>
      </c>
    </row>
    <row r="246" spans="1:6" ht="12.75" hidden="1">
      <c r="A246" s="102"/>
      <c r="B246" s="128" t="s">
        <v>23</v>
      </c>
      <c r="C246" s="129"/>
      <c r="D246" s="130">
        <f>0</f>
        <v>0</v>
      </c>
      <c r="E246" s="128" t="s">
        <v>111</v>
      </c>
      <c r="F246" s="131">
        <f>0</f>
        <v>0</v>
      </c>
    </row>
    <row r="247" spans="1:6" ht="12.75" hidden="1">
      <c r="A247" s="102"/>
      <c r="B247" s="128"/>
      <c r="C247" s="129"/>
      <c r="D247" s="130"/>
      <c r="E247" s="128" t="s">
        <v>112</v>
      </c>
      <c r="F247" s="131">
        <v>0</v>
      </c>
    </row>
    <row r="248" spans="1:6" ht="12.75" hidden="1">
      <c r="A248" s="102"/>
      <c r="B248" s="128"/>
      <c r="C248" s="129"/>
      <c r="D248" s="130"/>
      <c r="E248" s="128" t="s">
        <v>113</v>
      </c>
      <c r="F248" s="131">
        <v>0</v>
      </c>
    </row>
    <row r="249" spans="1:6" ht="12.75" hidden="1">
      <c r="A249" s="102"/>
      <c r="B249" s="128"/>
      <c r="C249" s="129"/>
      <c r="D249" s="130"/>
      <c r="E249" s="128" t="s">
        <v>114</v>
      </c>
      <c r="F249" s="131"/>
    </row>
    <row r="250" spans="1:6" ht="13.5" hidden="1" thickBot="1">
      <c r="A250" s="102"/>
      <c r="B250" s="132"/>
      <c r="C250" s="133"/>
      <c r="D250" s="134"/>
      <c r="E250" s="132" t="s">
        <v>115</v>
      </c>
      <c r="F250" s="135">
        <v>0</v>
      </c>
    </row>
    <row r="251" spans="1:6" ht="13.5" hidden="1" thickBot="1">
      <c r="A251" s="102"/>
      <c r="B251" s="136" t="s">
        <v>116</v>
      </c>
      <c r="C251" s="137"/>
      <c r="D251" s="138">
        <f>SUM(D243:D250)</f>
        <v>2429000</v>
      </c>
      <c r="E251" s="136" t="s">
        <v>116</v>
      </c>
      <c r="F251" s="138">
        <f>SUM(F243:F250)</f>
        <v>32874000</v>
      </c>
    </row>
    <row r="252" spans="1:6" ht="12.75" hidden="1">
      <c r="A252" s="102"/>
      <c r="B252" s="103"/>
      <c r="C252" s="103"/>
      <c r="D252" s="104"/>
      <c r="E252" s="103"/>
      <c r="F252" s="104"/>
    </row>
    <row r="253" spans="1:6" ht="12.75">
      <c r="A253" s="102"/>
      <c r="B253" s="103"/>
      <c r="C253" s="103"/>
      <c r="D253" s="104"/>
      <c r="E253" s="103"/>
      <c r="F253" s="104"/>
    </row>
    <row r="254" spans="1:6" ht="12.75">
      <c r="A254" s="102"/>
      <c r="B254" s="103"/>
      <c r="C254" s="103"/>
      <c r="D254" s="104"/>
      <c r="E254" s="103"/>
      <c r="F254" s="104">
        <f>F251-D251</f>
        <v>30445000</v>
      </c>
    </row>
    <row r="255" spans="1:6" ht="12.75">
      <c r="A255" s="65"/>
      <c r="B255" s="66"/>
      <c r="C255" s="66"/>
      <c r="D255" s="67"/>
      <c r="E255" s="66"/>
      <c r="F255" s="67"/>
    </row>
    <row r="256" spans="1:6" ht="12.75">
      <c r="A256" s="65" t="s">
        <v>7</v>
      </c>
      <c r="B256" s="607" t="s">
        <v>161</v>
      </c>
      <c r="C256" s="607"/>
      <c r="D256" s="607"/>
      <c r="E256" s="66"/>
      <c r="F256" s="67"/>
    </row>
    <row r="257" spans="1:6" ht="13.5" thickBot="1">
      <c r="A257" s="65"/>
      <c r="B257" s="66"/>
      <c r="C257" s="66"/>
      <c r="D257" s="67"/>
      <c r="E257" s="66"/>
      <c r="F257" s="67"/>
    </row>
    <row r="258" spans="1:6" s="42" customFormat="1" ht="17.25" customHeight="1">
      <c r="A258" s="608"/>
      <c r="B258" s="609" t="s">
        <v>25</v>
      </c>
      <c r="C258" s="599" t="s">
        <v>26</v>
      </c>
      <c r="D258" s="599"/>
      <c r="E258" s="599" t="s">
        <v>27</v>
      </c>
      <c r="F258" s="600"/>
    </row>
    <row r="259" spans="1:6" s="42" customFormat="1" ht="22.5" customHeight="1" thickBot="1">
      <c r="A259" s="608"/>
      <c r="B259" s="610"/>
      <c r="C259" s="68"/>
      <c r="D259" s="69" t="s">
        <v>28</v>
      </c>
      <c r="E259" s="68" t="s">
        <v>29</v>
      </c>
      <c r="F259" s="70" t="s">
        <v>28</v>
      </c>
    </row>
    <row r="260" spans="1:6" ht="12.75">
      <c r="A260" s="71"/>
      <c r="B260" s="72"/>
      <c r="C260" s="73"/>
      <c r="D260" s="74"/>
      <c r="E260" s="75" t="s">
        <v>41</v>
      </c>
      <c r="F260" s="74">
        <v>0</v>
      </c>
    </row>
    <row r="261" spans="1:6" s="37" customFormat="1" ht="12.75">
      <c r="A261" s="76"/>
      <c r="B261" s="77" t="s">
        <v>17</v>
      </c>
      <c r="C261" s="78"/>
      <c r="D261" s="79">
        <v>0</v>
      </c>
      <c r="E261" s="76" t="s">
        <v>42</v>
      </c>
      <c r="F261" s="79">
        <v>0</v>
      </c>
    </row>
    <row r="262" spans="1:6" s="37" customFormat="1" ht="12.75">
      <c r="A262" s="76"/>
      <c r="B262" s="77" t="s">
        <v>107</v>
      </c>
      <c r="C262" s="78"/>
      <c r="D262" s="79">
        <v>0</v>
      </c>
      <c r="E262" s="76" t="s">
        <v>43</v>
      </c>
      <c r="F262" s="79">
        <v>0</v>
      </c>
    </row>
    <row r="263" spans="1:6" s="37" customFormat="1" ht="17.25" customHeight="1" thickBot="1">
      <c r="A263" s="76"/>
      <c r="B263" s="81" t="s">
        <v>16</v>
      </c>
      <c r="C263" s="82"/>
      <c r="D263" s="83">
        <f>SUM(D260:D262)</f>
        <v>0</v>
      </c>
      <c r="E263" s="82"/>
      <c r="F263" s="83">
        <f>SUM(F260:F262)</f>
        <v>0</v>
      </c>
    </row>
    <row r="264" spans="1:6" s="37" customFormat="1" ht="17.25" customHeight="1" thickBot="1">
      <c r="A264" s="76"/>
      <c r="B264" s="76"/>
      <c r="C264" s="78"/>
      <c r="D264" s="84"/>
      <c r="E264" s="78"/>
      <c r="F264" s="84"/>
    </row>
    <row r="265" spans="1:6" ht="13.5" thickBot="1">
      <c r="A265" s="65"/>
      <c r="B265" s="85" t="s">
        <v>10</v>
      </c>
      <c r="C265" s="86"/>
      <c r="D265" s="87">
        <f>D263</f>
        <v>0</v>
      </c>
      <c r="E265" s="88"/>
      <c r="F265" s="87">
        <f>F263</f>
        <v>0</v>
      </c>
    </row>
    <row r="266" spans="1:6" ht="12.75" hidden="1">
      <c r="A266" s="65"/>
      <c r="B266" s="71"/>
      <c r="C266" s="71"/>
      <c r="D266" s="247"/>
      <c r="E266" s="76"/>
      <c r="F266" s="247"/>
    </row>
    <row r="267" spans="1:6" ht="13.5" hidden="1" thickBot="1">
      <c r="A267" s="65"/>
      <c r="B267" s="66"/>
      <c r="C267" s="66"/>
      <c r="D267" s="67"/>
      <c r="E267" s="66"/>
      <c r="F267" s="67"/>
    </row>
    <row r="268" spans="1:6" ht="12.75" hidden="1">
      <c r="A268" s="65"/>
      <c r="B268" s="89" t="s">
        <v>105</v>
      </c>
      <c r="C268" s="73"/>
      <c r="D268" s="90">
        <f>D261</f>
        <v>0</v>
      </c>
      <c r="E268" s="89" t="s">
        <v>106</v>
      </c>
      <c r="F268" s="74">
        <f>F260</f>
        <v>0</v>
      </c>
    </row>
    <row r="269" spans="1:6" ht="12.75" hidden="1">
      <c r="A269" s="65"/>
      <c r="B269" s="91" t="s">
        <v>107</v>
      </c>
      <c r="C269" s="92"/>
      <c r="D269" s="93">
        <f>D262</f>
        <v>0</v>
      </c>
      <c r="E269" s="91" t="s">
        <v>108</v>
      </c>
      <c r="F269" s="94">
        <f>F261</f>
        <v>0</v>
      </c>
    </row>
    <row r="270" spans="1:6" ht="12.75" hidden="1">
      <c r="A270" s="65"/>
      <c r="B270" s="91" t="s">
        <v>109</v>
      </c>
      <c r="C270" s="92"/>
      <c r="D270" s="93">
        <f>0</f>
        <v>0</v>
      </c>
      <c r="E270" s="91" t="s">
        <v>110</v>
      </c>
      <c r="F270" s="94">
        <f>F262</f>
        <v>0</v>
      </c>
    </row>
    <row r="271" spans="1:6" ht="12.75" hidden="1">
      <c r="A271" s="65"/>
      <c r="B271" s="91" t="s">
        <v>23</v>
      </c>
      <c r="C271" s="92"/>
      <c r="D271" s="93">
        <f>0</f>
        <v>0</v>
      </c>
      <c r="E271" s="91" t="s">
        <v>111</v>
      </c>
      <c r="F271" s="94">
        <f>0</f>
        <v>0</v>
      </c>
    </row>
    <row r="272" spans="1:6" ht="12.75" hidden="1">
      <c r="A272" s="65"/>
      <c r="B272" s="91"/>
      <c r="C272" s="92"/>
      <c r="D272" s="93"/>
      <c r="E272" s="91" t="s">
        <v>112</v>
      </c>
      <c r="F272" s="94">
        <v>0</v>
      </c>
    </row>
    <row r="273" spans="1:6" ht="12.75" hidden="1">
      <c r="A273" s="65"/>
      <c r="B273" s="91"/>
      <c r="C273" s="92"/>
      <c r="D273" s="93"/>
      <c r="E273" s="91" t="s">
        <v>113</v>
      </c>
      <c r="F273" s="94">
        <v>0</v>
      </c>
    </row>
    <row r="274" spans="1:6" ht="12.75" hidden="1">
      <c r="A274" s="65"/>
      <c r="B274" s="91"/>
      <c r="C274" s="92"/>
      <c r="D274" s="93"/>
      <c r="E274" s="91" t="s">
        <v>114</v>
      </c>
      <c r="F274" s="94"/>
    </row>
    <row r="275" spans="1:6" ht="13.5" hidden="1" thickBot="1">
      <c r="A275" s="65"/>
      <c r="B275" s="95"/>
      <c r="C275" s="96"/>
      <c r="D275" s="97"/>
      <c r="E275" s="95" t="s">
        <v>115</v>
      </c>
      <c r="F275" s="98">
        <v>0</v>
      </c>
    </row>
    <row r="276" spans="1:6" ht="13.5" hidden="1" thickBot="1">
      <c r="A276" s="65"/>
      <c r="B276" s="99" t="s">
        <v>116</v>
      </c>
      <c r="C276" s="100"/>
      <c r="D276" s="101">
        <f>SUM(D268:D275)</f>
        <v>0</v>
      </c>
      <c r="E276" s="99" t="s">
        <v>116</v>
      </c>
      <c r="F276" s="101">
        <f>SUM(F268:F275)</f>
        <v>0</v>
      </c>
    </row>
    <row r="277" spans="1:6" ht="12.75">
      <c r="A277" s="65"/>
      <c r="B277" s="66"/>
      <c r="C277" s="66"/>
      <c r="D277" s="67"/>
      <c r="E277" s="66"/>
      <c r="F277" s="67"/>
    </row>
    <row r="278" spans="1:6" ht="12.75">
      <c r="A278" s="102" t="s">
        <v>8</v>
      </c>
      <c r="B278" s="611" t="s">
        <v>162</v>
      </c>
      <c r="C278" s="611"/>
      <c r="D278" s="611"/>
      <c r="E278" s="103"/>
      <c r="F278" s="104"/>
    </row>
    <row r="279" spans="1:6" ht="13.5" thickBot="1">
      <c r="A279" s="102"/>
      <c r="B279" s="103"/>
      <c r="C279" s="103"/>
      <c r="D279" s="104"/>
      <c r="E279" s="103"/>
      <c r="F279" s="104"/>
    </row>
    <row r="280" spans="1:6" s="42" customFormat="1" ht="17.25" customHeight="1">
      <c r="A280" s="612"/>
      <c r="B280" s="613" t="s">
        <v>25</v>
      </c>
      <c r="C280" s="615" t="s">
        <v>26</v>
      </c>
      <c r="D280" s="615"/>
      <c r="E280" s="615" t="s">
        <v>27</v>
      </c>
      <c r="F280" s="616"/>
    </row>
    <row r="281" spans="1:6" s="42" customFormat="1" ht="22.5" customHeight="1" thickBot="1">
      <c r="A281" s="612"/>
      <c r="B281" s="614"/>
      <c r="C281" s="105"/>
      <c r="D281" s="106" t="s">
        <v>28</v>
      </c>
      <c r="E281" s="105" t="s">
        <v>29</v>
      </c>
      <c r="F281" s="107" t="s">
        <v>28</v>
      </c>
    </row>
    <row r="282" spans="1:6" ht="12.75">
      <c r="A282" s="108"/>
      <c r="B282" s="109" t="s">
        <v>164</v>
      </c>
      <c r="C282" s="110"/>
      <c r="D282" s="111"/>
      <c r="E282" s="112" t="s">
        <v>41</v>
      </c>
      <c r="F282" s="111">
        <v>19571000</v>
      </c>
    </row>
    <row r="283" spans="1:6" s="37" customFormat="1" ht="12.75">
      <c r="A283" s="113"/>
      <c r="B283" s="114" t="s">
        <v>17</v>
      </c>
      <c r="C283" s="115"/>
      <c r="D283" s="116">
        <v>30050000</v>
      </c>
      <c r="E283" s="113" t="s">
        <v>42</v>
      </c>
      <c r="F283" s="116">
        <v>5303000</v>
      </c>
    </row>
    <row r="284" spans="1:6" s="37" customFormat="1" ht="12.75">
      <c r="A284" s="113"/>
      <c r="B284" s="114" t="s">
        <v>366</v>
      </c>
      <c r="C284" s="115"/>
      <c r="D284" s="116">
        <v>823000</v>
      </c>
      <c r="E284" s="113" t="s">
        <v>43</v>
      </c>
      <c r="F284" s="116">
        <v>24495000</v>
      </c>
    </row>
    <row r="285" spans="1:6" s="37" customFormat="1" ht="17.25" customHeight="1" thickBot="1">
      <c r="A285" s="113"/>
      <c r="B285" s="118" t="s">
        <v>16</v>
      </c>
      <c r="C285" s="119"/>
      <c r="D285" s="120">
        <f>SUM(D282:D284)</f>
        <v>30873000</v>
      </c>
      <c r="E285" s="119"/>
      <c r="F285" s="120">
        <f>SUM(F282:F284)</f>
        <v>49369000</v>
      </c>
    </row>
    <row r="286" spans="1:6" s="37" customFormat="1" ht="17.25" customHeight="1" thickBot="1">
      <c r="A286" s="113"/>
      <c r="B286" s="113"/>
      <c r="C286" s="115"/>
      <c r="D286" s="121"/>
      <c r="E286" s="115"/>
      <c r="F286" s="121"/>
    </row>
    <row r="287" spans="1:6" ht="13.5" thickBot="1">
      <c r="A287" s="102"/>
      <c r="B287" s="122" t="s">
        <v>10</v>
      </c>
      <c r="C287" s="123"/>
      <c r="D287" s="124">
        <f>D285</f>
        <v>30873000</v>
      </c>
      <c r="E287" s="125"/>
      <c r="F287" s="124">
        <f>F285</f>
        <v>49369000</v>
      </c>
    </row>
    <row r="288" spans="1:6" ht="12.75" customHeight="1" hidden="1">
      <c r="A288" s="102"/>
      <c r="B288" s="126" t="s">
        <v>105</v>
      </c>
      <c r="C288" s="110"/>
      <c r="D288" s="127">
        <f>D283</f>
        <v>30050000</v>
      </c>
      <c r="E288" s="126" t="s">
        <v>106</v>
      </c>
      <c r="F288" s="111">
        <f>F282</f>
        <v>19571000</v>
      </c>
    </row>
    <row r="289" spans="1:6" ht="12.75" customHeight="1" hidden="1">
      <c r="A289" s="102"/>
      <c r="B289" s="128" t="s">
        <v>107</v>
      </c>
      <c r="C289" s="129"/>
      <c r="D289" s="130">
        <f>D284</f>
        <v>823000</v>
      </c>
      <c r="E289" s="128" t="s">
        <v>108</v>
      </c>
      <c r="F289" s="131">
        <f>F283</f>
        <v>5303000</v>
      </c>
    </row>
    <row r="290" spans="1:6" ht="12.75" customHeight="1" hidden="1">
      <c r="A290" s="102"/>
      <c r="B290" s="128" t="s">
        <v>109</v>
      </c>
      <c r="C290" s="129"/>
      <c r="D290" s="130">
        <f>0</f>
        <v>0</v>
      </c>
      <c r="E290" s="128" t="s">
        <v>110</v>
      </c>
      <c r="F290" s="131">
        <f>F284</f>
        <v>24495000</v>
      </c>
    </row>
    <row r="291" spans="1:6" ht="12.75" customHeight="1" hidden="1">
      <c r="A291" s="102"/>
      <c r="B291" s="128" t="s">
        <v>23</v>
      </c>
      <c r="C291" s="129"/>
      <c r="D291" s="130">
        <f>0</f>
        <v>0</v>
      </c>
      <c r="E291" s="128" t="s">
        <v>111</v>
      </c>
      <c r="F291" s="131">
        <f>0</f>
        <v>0</v>
      </c>
    </row>
    <row r="292" spans="1:6" ht="12.75" customHeight="1" hidden="1">
      <c r="A292" s="102"/>
      <c r="B292" s="128"/>
      <c r="C292" s="129"/>
      <c r="D292" s="130"/>
      <c r="E292" s="128" t="s">
        <v>112</v>
      </c>
      <c r="F292" s="131">
        <v>0</v>
      </c>
    </row>
    <row r="293" spans="1:6" ht="12.75" customHeight="1" hidden="1">
      <c r="A293" s="102"/>
      <c r="B293" s="128"/>
      <c r="C293" s="129"/>
      <c r="D293" s="130"/>
      <c r="E293" s="128" t="s">
        <v>113</v>
      </c>
      <c r="F293" s="131">
        <v>0</v>
      </c>
    </row>
    <row r="294" spans="1:6" ht="12.75" customHeight="1" hidden="1">
      <c r="A294" s="102"/>
      <c r="B294" s="128"/>
      <c r="C294" s="129"/>
      <c r="D294" s="130"/>
      <c r="E294" s="128" t="s">
        <v>114</v>
      </c>
      <c r="F294" s="131"/>
    </row>
    <row r="295" spans="1:6" ht="13.5" customHeight="1" hidden="1" thickBot="1">
      <c r="A295" s="102"/>
      <c r="B295" s="132"/>
      <c r="C295" s="133"/>
      <c r="D295" s="134"/>
      <c r="E295" s="132" t="s">
        <v>115</v>
      </c>
      <c r="F295" s="135">
        <v>0</v>
      </c>
    </row>
    <row r="296" spans="1:6" ht="13.5" customHeight="1" hidden="1" thickBot="1">
      <c r="A296" s="102"/>
      <c r="B296" s="136" t="s">
        <v>116</v>
      </c>
      <c r="C296" s="137"/>
      <c r="D296" s="138">
        <f>SUM(D288:D295)</f>
        <v>30873000</v>
      </c>
      <c r="E296" s="136" t="s">
        <v>116</v>
      </c>
      <c r="F296" s="138">
        <f>SUM(F288:F295)</f>
        <v>49369000</v>
      </c>
    </row>
    <row r="297" spans="1:6" ht="26.25" customHeight="1" hidden="1">
      <c r="A297" s="102"/>
      <c r="B297" s="103"/>
      <c r="C297" s="103"/>
      <c r="D297" s="104"/>
      <c r="E297" s="103"/>
      <c r="F297" s="104"/>
    </row>
    <row r="298" spans="1:6" ht="12.75">
      <c r="A298" s="102"/>
      <c r="B298" s="103"/>
      <c r="C298" s="103"/>
      <c r="D298" s="104"/>
      <c r="E298" s="103"/>
      <c r="F298" s="104">
        <f>F296-D296</f>
        <v>18496000</v>
      </c>
    </row>
    <row r="299" spans="1:6" ht="12.75">
      <c r="A299" s="65"/>
      <c r="B299" s="66"/>
      <c r="C299" s="66"/>
      <c r="D299" s="67"/>
      <c r="E299" s="66"/>
      <c r="F299" s="67"/>
    </row>
    <row r="300" spans="1:6" ht="12.75">
      <c r="A300" s="65" t="s">
        <v>8</v>
      </c>
      <c r="B300" s="607" t="s">
        <v>163</v>
      </c>
      <c r="C300" s="607"/>
      <c r="D300" s="607"/>
      <c r="E300" s="66"/>
      <c r="F300" s="67"/>
    </row>
    <row r="301" spans="1:6" ht="13.5" thickBot="1">
      <c r="A301" s="65"/>
      <c r="B301" s="66"/>
      <c r="C301" s="66"/>
      <c r="D301" s="67"/>
      <c r="E301" s="66"/>
      <c r="F301" s="67"/>
    </row>
    <row r="302" spans="1:6" s="42" customFormat="1" ht="17.25" customHeight="1">
      <c r="A302" s="608"/>
      <c r="B302" s="609" t="s">
        <v>25</v>
      </c>
      <c r="C302" s="599" t="s">
        <v>26</v>
      </c>
      <c r="D302" s="599"/>
      <c r="E302" s="599" t="s">
        <v>27</v>
      </c>
      <c r="F302" s="600"/>
    </row>
    <row r="303" spans="1:6" s="42" customFormat="1" ht="22.5" customHeight="1" thickBot="1">
      <c r="A303" s="608"/>
      <c r="B303" s="610"/>
      <c r="C303" s="68"/>
      <c r="D303" s="69" t="s">
        <v>28</v>
      </c>
      <c r="E303" s="68" t="s">
        <v>29</v>
      </c>
      <c r="F303" s="70" t="s">
        <v>28</v>
      </c>
    </row>
    <row r="304" spans="1:6" ht="25.5">
      <c r="A304" s="71"/>
      <c r="B304" s="72" t="s">
        <v>165</v>
      </c>
      <c r="C304" s="73"/>
      <c r="D304" s="74"/>
      <c r="E304" s="75" t="s">
        <v>41</v>
      </c>
      <c r="F304" s="74">
        <v>1510000</v>
      </c>
    </row>
    <row r="305" spans="1:6" s="37" customFormat="1" ht="12.75">
      <c r="A305" s="76"/>
      <c r="B305" s="77" t="s">
        <v>17</v>
      </c>
      <c r="C305" s="78"/>
      <c r="D305" s="79">
        <v>5880000</v>
      </c>
      <c r="E305" s="76" t="s">
        <v>42</v>
      </c>
      <c r="F305" s="79">
        <v>559000</v>
      </c>
    </row>
    <row r="306" spans="1:6" s="37" customFormat="1" ht="12.75">
      <c r="A306" s="76"/>
      <c r="B306" s="80"/>
      <c r="C306" s="78"/>
      <c r="D306" s="79"/>
      <c r="E306" s="76" t="s">
        <v>43</v>
      </c>
      <c r="F306" s="79">
        <v>5740000</v>
      </c>
    </row>
    <row r="307" spans="1:6" s="37" customFormat="1" ht="17.25" customHeight="1" thickBot="1">
      <c r="A307" s="76"/>
      <c r="B307" s="81" t="s">
        <v>16</v>
      </c>
      <c r="C307" s="82"/>
      <c r="D307" s="83">
        <f>SUM(D304:D306)</f>
        <v>5880000</v>
      </c>
      <c r="E307" s="82"/>
      <c r="F307" s="83">
        <f>SUM(F304:F306)</f>
        <v>7809000</v>
      </c>
    </row>
    <row r="308" spans="1:6" s="37" customFormat="1" ht="9" customHeight="1" thickBot="1">
      <c r="A308" s="76"/>
      <c r="B308" s="76"/>
      <c r="C308" s="78"/>
      <c r="D308" s="84"/>
      <c r="E308" s="78"/>
      <c r="F308" s="84"/>
    </row>
    <row r="309" spans="1:6" ht="12.75">
      <c r="A309" s="71"/>
      <c r="B309" s="72" t="s">
        <v>166</v>
      </c>
      <c r="C309" s="73"/>
      <c r="D309" s="74"/>
      <c r="E309" s="75" t="s">
        <v>41</v>
      </c>
      <c r="F309" s="74">
        <v>9200000</v>
      </c>
    </row>
    <row r="310" spans="1:6" s="37" customFormat="1" ht="12.75">
      <c r="A310" s="76"/>
      <c r="B310" s="77" t="s">
        <v>17</v>
      </c>
      <c r="C310" s="78"/>
      <c r="D310" s="79">
        <v>21336000</v>
      </c>
      <c r="E310" s="76" t="s">
        <v>42</v>
      </c>
      <c r="F310" s="79">
        <v>2554000</v>
      </c>
    </row>
    <row r="311" spans="1:6" s="37" customFormat="1" ht="12.75">
      <c r="A311" s="76"/>
      <c r="B311" s="77" t="s">
        <v>366</v>
      </c>
      <c r="C311" s="78"/>
      <c r="D311" s="79">
        <v>500000</v>
      </c>
      <c r="E311" s="76" t="s">
        <v>43</v>
      </c>
      <c r="F311" s="79">
        <v>20510000</v>
      </c>
    </row>
    <row r="312" spans="1:6" s="37" customFormat="1" ht="12.75">
      <c r="A312" s="76"/>
      <c r="B312" s="77" t="s">
        <v>365</v>
      </c>
      <c r="C312" s="78"/>
      <c r="D312" s="79">
        <v>1039000</v>
      </c>
      <c r="E312" s="76"/>
      <c r="F312" s="79"/>
    </row>
    <row r="313" spans="1:6" s="37" customFormat="1" ht="17.25" customHeight="1" thickBot="1">
      <c r="A313" s="76"/>
      <c r="B313" s="81" t="s">
        <v>16</v>
      </c>
      <c r="C313" s="82"/>
      <c r="D313" s="83">
        <f>SUM(D309:D312)</f>
        <v>22875000</v>
      </c>
      <c r="E313" s="82"/>
      <c r="F313" s="83">
        <f>SUM(F309:F311)</f>
        <v>32264000</v>
      </c>
    </row>
    <row r="314" spans="1:6" ht="12.75" customHeight="1" thickBot="1">
      <c r="A314" s="65"/>
      <c r="B314" s="66"/>
      <c r="C314" s="66"/>
      <c r="D314" s="67"/>
      <c r="E314" s="66"/>
      <c r="F314" s="67"/>
    </row>
    <row r="315" spans="1:6" ht="12.75">
      <c r="A315" s="71"/>
      <c r="B315" s="176" t="s">
        <v>39</v>
      </c>
      <c r="C315" s="73" t="s">
        <v>40</v>
      </c>
      <c r="D315" s="74">
        <v>9000000</v>
      </c>
      <c r="E315" s="75" t="s">
        <v>41</v>
      </c>
      <c r="F315" s="74">
        <v>660000</v>
      </c>
    </row>
    <row r="316" spans="1:6" s="37" customFormat="1" ht="12.75">
      <c r="A316" s="76"/>
      <c r="B316" s="80"/>
      <c r="C316" s="78"/>
      <c r="D316" s="79">
        <v>0</v>
      </c>
      <c r="E316" s="76" t="s">
        <v>42</v>
      </c>
      <c r="F316" s="79">
        <v>160000</v>
      </c>
    </row>
    <row r="317" spans="1:6" s="37" customFormat="1" ht="12.75">
      <c r="A317" s="76"/>
      <c r="B317" s="80"/>
      <c r="C317" s="78"/>
      <c r="D317" s="79"/>
      <c r="E317" s="76" t="s">
        <v>43</v>
      </c>
      <c r="F317" s="79">
        <v>9525000</v>
      </c>
    </row>
    <row r="318" spans="1:6" s="37" customFormat="1" ht="17.25" customHeight="1" thickBot="1">
      <c r="A318" s="76"/>
      <c r="B318" s="81" t="s">
        <v>16</v>
      </c>
      <c r="C318" s="82"/>
      <c r="D318" s="83">
        <f>SUM(D315:D317)</f>
        <v>9000000</v>
      </c>
      <c r="E318" s="82"/>
      <c r="F318" s="83">
        <f>SUM(F315:F317)</f>
        <v>10345000</v>
      </c>
    </row>
    <row r="319" spans="1:6" s="37" customFormat="1" ht="9.75" customHeight="1" thickBot="1">
      <c r="A319" s="76"/>
      <c r="B319" s="76"/>
      <c r="C319" s="78"/>
      <c r="D319" s="84"/>
      <c r="E319" s="78"/>
      <c r="F319" s="84"/>
    </row>
    <row r="320" spans="1:6" ht="12.75">
      <c r="A320" s="71"/>
      <c r="B320" s="176" t="s">
        <v>293</v>
      </c>
      <c r="C320" s="73"/>
      <c r="D320" s="74"/>
      <c r="E320" s="75" t="s">
        <v>41</v>
      </c>
      <c r="F320" s="74">
        <v>0</v>
      </c>
    </row>
    <row r="321" spans="1:6" s="37" customFormat="1" ht="12.75">
      <c r="A321" s="76"/>
      <c r="B321" s="77" t="s">
        <v>107</v>
      </c>
      <c r="C321" s="78"/>
      <c r="D321" s="79">
        <v>1521000</v>
      </c>
      <c r="E321" s="76" t="s">
        <v>42</v>
      </c>
      <c r="F321" s="79">
        <v>0</v>
      </c>
    </row>
    <row r="322" spans="1:6" s="37" customFormat="1" ht="12.75">
      <c r="A322" s="76"/>
      <c r="B322" s="80"/>
      <c r="C322" s="78"/>
      <c r="D322" s="79"/>
      <c r="E322" s="76" t="s">
        <v>43</v>
      </c>
      <c r="F322" s="79">
        <v>0</v>
      </c>
    </row>
    <row r="323" spans="1:6" s="37" customFormat="1" ht="17.25" customHeight="1" thickBot="1">
      <c r="A323" s="76"/>
      <c r="B323" s="81" t="s">
        <v>16</v>
      </c>
      <c r="C323" s="82"/>
      <c r="D323" s="83">
        <f>SUM(D320:D322)</f>
        <v>1521000</v>
      </c>
      <c r="E323" s="82"/>
      <c r="F323" s="83">
        <f>SUM(F320:F322)</f>
        <v>0</v>
      </c>
    </row>
    <row r="324" spans="1:6" s="37" customFormat="1" ht="9.75" customHeight="1" thickBot="1">
      <c r="A324" s="76"/>
      <c r="B324" s="76"/>
      <c r="C324" s="78"/>
      <c r="D324" s="84"/>
      <c r="E324" s="78"/>
      <c r="F324" s="84"/>
    </row>
    <row r="325" spans="1:6" ht="13.5" thickBot="1">
      <c r="A325" s="65"/>
      <c r="B325" s="85" t="s">
        <v>10</v>
      </c>
      <c r="C325" s="86"/>
      <c r="D325" s="87">
        <f>D307+D313+D323+D318</f>
        <v>39276000</v>
      </c>
      <c r="E325" s="88"/>
      <c r="F325" s="87">
        <f>F307+F313+F323+F318</f>
        <v>50418000</v>
      </c>
    </row>
    <row r="326" spans="1:6" ht="12.75" hidden="1">
      <c r="A326" s="65"/>
      <c r="B326" s="89" t="s">
        <v>105</v>
      </c>
      <c r="C326" s="73"/>
      <c r="D326" s="90">
        <f>D305+D310+D320+D315</f>
        <v>36216000</v>
      </c>
      <c r="E326" s="89" t="s">
        <v>106</v>
      </c>
      <c r="F326" s="74">
        <f>F304+F309+F320+F315</f>
        <v>11370000</v>
      </c>
    </row>
    <row r="327" spans="1:6" ht="12.75" hidden="1">
      <c r="A327" s="65"/>
      <c r="B327" s="91" t="s">
        <v>107</v>
      </c>
      <c r="C327" s="92"/>
      <c r="D327" s="93">
        <f>D321+D316+D311</f>
        <v>2021000</v>
      </c>
      <c r="E327" s="91" t="s">
        <v>108</v>
      </c>
      <c r="F327" s="94">
        <f>F305+F310+F321+F316</f>
        <v>3273000</v>
      </c>
    </row>
    <row r="328" spans="1:6" ht="12.75" hidden="1">
      <c r="A328" s="65"/>
      <c r="B328" s="91" t="s">
        <v>109</v>
      </c>
      <c r="C328" s="92"/>
      <c r="D328" s="93">
        <f>D312</f>
        <v>1039000</v>
      </c>
      <c r="E328" s="91" t="s">
        <v>110</v>
      </c>
      <c r="F328" s="94">
        <f>F306+F311+F322+F317</f>
        <v>35775000</v>
      </c>
    </row>
    <row r="329" spans="1:6" ht="12.75" hidden="1">
      <c r="A329" s="65"/>
      <c r="B329" s="91" t="s">
        <v>23</v>
      </c>
      <c r="C329" s="92"/>
      <c r="D329" s="93">
        <f>0</f>
        <v>0</v>
      </c>
      <c r="E329" s="91" t="s">
        <v>111</v>
      </c>
      <c r="F329" s="94">
        <f>0</f>
        <v>0</v>
      </c>
    </row>
    <row r="330" spans="1:6" ht="12.75" hidden="1">
      <c r="A330" s="65"/>
      <c r="B330" s="91"/>
      <c r="C330" s="92"/>
      <c r="D330" s="93"/>
      <c r="E330" s="91" t="s">
        <v>112</v>
      </c>
      <c r="F330" s="94">
        <v>0</v>
      </c>
    </row>
    <row r="331" spans="1:6" ht="12.75" hidden="1">
      <c r="A331" s="65"/>
      <c r="B331" s="91"/>
      <c r="C331" s="92"/>
      <c r="D331" s="93"/>
      <c r="E331" s="91" t="s">
        <v>113</v>
      </c>
      <c r="F331" s="94">
        <v>0</v>
      </c>
    </row>
    <row r="332" spans="1:6" ht="12.75" hidden="1">
      <c r="A332" s="65"/>
      <c r="B332" s="91"/>
      <c r="C332" s="92"/>
      <c r="D332" s="93"/>
      <c r="E332" s="91" t="s">
        <v>114</v>
      </c>
      <c r="F332" s="94"/>
    </row>
    <row r="333" spans="1:6" ht="13.5" hidden="1" thickBot="1">
      <c r="A333" s="65"/>
      <c r="B333" s="95"/>
      <c r="C333" s="96"/>
      <c r="D333" s="97"/>
      <c r="E333" s="95" t="s">
        <v>115</v>
      </c>
      <c r="F333" s="98">
        <v>0</v>
      </c>
    </row>
    <row r="334" spans="1:6" ht="13.5" hidden="1" thickBot="1">
      <c r="A334" s="65"/>
      <c r="B334" s="99" t="s">
        <v>116</v>
      </c>
      <c r="C334" s="100"/>
      <c r="D334" s="101">
        <f>SUM(D326:D333)</f>
        <v>39276000</v>
      </c>
      <c r="E334" s="99" t="s">
        <v>116</v>
      </c>
      <c r="F334" s="101">
        <f>SUM(F326:F333)</f>
        <v>50418000</v>
      </c>
    </row>
    <row r="335" spans="1:6" ht="12.75">
      <c r="A335" s="65"/>
      <c r="B335" s="66"/>
      <c r="C335" s="66"/>
      <c r="D335" s="67"/>
      <c r="E335" s="66"/>
      <c r="F335" s="67"/>
    </row>
    <row r="336" spans="1:6" ht="12.75">
      <c r="A336" s="65"/>
      <c r="B336" s="66"/>
      <c r="C336" s="66"/>
      <c r="D336" s="67"/>
      <c r="E336" s="66"/>
      <c r="F336" s="67">
        <f>F334-D334</f>
        <v>11142000</v>
      </c>
    </row>
    <row r="337" spans="1:6" ht="17.25" customHeight="1">
      <c r="A337" s="102" t="s">
        <v>9</v>
      </c>
      <c r="B337" s="611" t="s">
        <v>167</v>
      </c>
      <c r="C337" s="611"/>
      <c r="D337" s="611"/>
      <c r="E337" s="103"/>
      <c r="F337" s="104"/>
    </row>
    <row r="338" spans="1:6" ht="13.5" thickBot="1">
      <c r="A338" s="102"/>
      <c r="B338" s="103"/>
      <c r="C338" s="103"/>
      <c r="D338" s="104"/>
      <c r="E338" s="103"/>
      <c r="F338" s="104"/>
    </row>
    <row r="339" spans="1:6" s="42" customFormat="1" ht="17.25" customHeight="1">
      <c r="A339" s="612"/>
      <c r="B339" s="613" t="s">
        <v>25</v>
      </c>
      <c r="C339" s="615" t="s">
        <v>26</v>
      </c>
      <c r="D339" s="615"/>
      <c r="E339" s="615" t="s">
        <v>27</v>
      </c>
      <c r="F339" s="616"/>
    </row>
    <row r="340" spans="1:6" s="42" customFormat="1" ht="16.5" customHeight="1" thickBot="1">
      <c r="A340" s="612"/>
      <c r="B340" s="614"/>
      <c r="C340" s="105"/>
      <c r="D340" s="106" t="s">
        <v>28</v>
      </c>
      <c r="E340" s="105" t="s">
        <v>29</v>
      </c>
      <c r="F340" s="107" t="s">
        <v>28</v>
      </c>
    </row>
    <row r="341" spans="1:6" ht="16.5" customHeight="1">
      <c r="A341" s="108"/>
      <c r="B341" s="594" t="s">
        <v>168</v>
      </c>
      <c r="C341" s="595"/>
      <c r="D341" s="111"/>
      <c r="E341" s="112" t="s">
        <v>41</v>
      </c>
      <c r="F341" s="111">
        <v>22408000</v>
      </c>
    </row>
    <row r="342" spans="1:6" s="37" customFormat="1" ht="12.75">
      <c r="A342" s="113"/>
      <c r="B342" s="114" t="s">
        <v>17</v>
      </c>
      <c r="C342" s="115"/>
      <c r="D342" s="116">
        <v>3000000</v>
      </c>
      <c r="E342" s="113" t="s">
        <v>42</v>
      </c>
      <c r="F342" s="116">
        <v>5934000</v>
      </c>
    </row>
    <row r="343" spans="1:6" s="37" customFormat="1" ht="12.75">
      <c r="A343" s="113"/>
      <c r="B343" s="114" t="s">
        <v>294</v>
      </c>
      <c r="C343" s="115"/>
      <c r="D343" s="116">
        <v>0</v>
      </c>
      <c r="E343" s="113" t="s">
        <v>43</v>
      </c>
      <c r="F343" s="116">
        <v>10573000</v>
      </c>
    </row>
    <row r="344" spans="1:6" s="37" customFormat="1" ht="17.25" customHeight="1" thickBot="1">
      <c r="A344" s="113"/>
      <c r="B344" s="118" t="s">
        <v>16</v>
      </c>
      <c r="C344" s="119"/>
      <c r="D344" s="120">
        <f>SUM(D341:D343)</f>
        <v>3000000</v>
      </c>
      <c r="E344" s="119"/>
      <c r="F344" s="120">
        <f>SUM(F341:F343)</f>
        <v>38915000</v>
      </c>
    </row>
    <row r="345" spans="1:6" s="37" customFormat="1" ht="17.25" customHeight="1" thickBot="1">
      <c r="A345" s="113"/>
      <c r="B345" s="113"/>
      <c r="C345" s="115"/>
      <c r="D345" s="121"/>
      <c r="E345" s="115"/>
      <c r="F345" s="121"/>
    </row>
    <row r="346" spans="1:6" ht="13.5" thickBot="1">
      <c r="A346" s="102"/>
      <c r="B346" s="122" t="s">
        <v>10</v>
      </c>
      <c r="C346" s="123"/>
      <c r="D346" s="124">
        <f>D344</f>
        <v>3000000</v>
      </c>
      <c r="E346" s="125"/>
      <c r="F346" s="124">
        <f>F344</f>
        <v>38915000</v>
      </c>
    </row>
    <row r="347" spans="1:6" ht="12.75" hidden="1">
      <c r="A347" s="102"/>
      <c r="B347" s="126" t="s">
        <v>105</v>
      </c>
      <c r="C347" s="110"/>
      <c r="D347" s="127">
        <f>D342</f>
        <v>3000000</v>
      </c>
      <c r="E347" s="126" t="s">
        <v>106</v>
      </c>
      <c r="F347" s="111">
        <f>F341</f>
        <v>22408000</v>
      </c>
    </row>
    <row r="348" spans="1:6" ht="12.75" hidden="1">
      <c r="A348" s="102"/>
      <c r="B348" s="128" t="s">
        <v>107</v>
      </c>
      <c r="C348" s="129"/>
      <c r="D348" s="130">
        <v>0</v>
      </c>
      <c r="E348" s="128" t="s">
        <v>108</v>
      </c>
      <c r="F348" s="131">
        <f>F342</f>
        <v>5934000</v>
      </c>
    </row>
    <row r="349" spans="1:6" ht="12.75" hidden="1">
      <c r="A349" s="102"/>
      <c r="B349" s="128" t="s">
        <v>109</v>
      </c>
      <c r="C349" s="129"/>
      <c r="D349" s="130">
        <f>0</f>
        <v>0</v>
      </c>
      <c r="E349" s="128" t="s">
        <v>110</v>
      </c>
      <c r="F349" s="131">
        <f>F343</f>
        <v>10573000</v>
      </c>
    </row>
    <row r="350" spans="1:6" ht="12.75" hidden="1">
      <c r="A350" s="102"/>
      <c r="B350" s="128" t="s">
        <v>23</v>
      </c>
      <c r="C350" s="129"/>
      <c r="D350" s="130">
        <f>D343</f>
        <v>0</v>
      </c>
      <c r="E350" s="128" t="s">
        <v>111</v>
      </c>
      <c r="F350" s="131">
        <f>0</f>
        <v>0</v>
      </c>
    </row>
    <row r="351" spans="1:6" ht="12.75" hidden="1">
      <c r="A351" s="102"/>
      <c r="B351" s="128"/>
      <c r="C351" s="129"/>
      <c r="D351" s="130"/>
      <c r="E351" s="128" t="s">
        <v>112</v>
      </c>
      <c r="F351" s="131">
        <v>0</v>
      </c>
    </row>
    <row r="352" spans="1:6" ht="12.75" hidden="1">
      <c r="A352" s="102"/>
      <c r="B352" s="128"/>
      <c r="C352" s="129"/>
      <c r="D352" s="130"/>
      <c r="E352" s="128" t="s">
        <v>113</v>
      </c>
      <c r="F352" s="131">
        <v>0</v>
      </c>
    </row>
    <row r="353" spans="1:6" ht="12.75" hidden="1">
      <c r="A353" s="102"/>
      <c r="B353" s="128"/>
      <c r="C353" s="129"/>
      <c r="D353" s="130"/>
      <c r="E353" s="128" t="s">
        <v>114</v>
      </c>
      <c r="F353" s="131"/>
    </row>
    <row r="354" spans="1:6" ht="13.5" hidden="1" thickBot="1">
      <c r="A354" s="102"/>
      <c r="B354" s="132"/>
      <c r="C354" s="133"/>
      <c r="D354" s="134"/>
      <c r="E354" s="132" t="s">
        <v>115</v>
      </c>
      <c r="F354" s="135">
        <v>0</v>
      </c>
    </row>
    <row r="355" spans="1:6" ht="13.5" hidden="1" thickBot="1">
      <c r="A355" s="102"/>
      <c r="B355" s="136" t="s">
        <v>116</v>
      </c>
      <c r="C355" s="137"/>
      <c r="D355" s="138">
        <f>SUM(D347:D354)</f>
        <v>3000000</v>
      </c>
      <c r="E355" s="136" t="s">
        <v>116</v>
      </c>
      <c r="F355" s="138">
        <f>SUM(F347:F354)</f>
        <v>38915000</v>
      </c>
    </row>
    <row r="356" spans="1:6" ht="12.75" hidden="1">
      <c r="A356" s="102"/>
      <c r="B356" s="108"/>
      <c r="C356" s="108"/>
      <c r="D356" s="244"/>
      <c r="E356" s="108"/>
      <c r="F356" s="244"/>
    </row>
    <row r="357" spans="1:6" ht="12.75" hidden="1">
      <c r="A357" s="102"/>
      <c r="B357" s="103"/>
      <c r="C357" s="103"/>
      <c r="D357" s="104"/>
      <c r="E357" s="103"/>
      <c r="F357" s="104"/>
    </row>
    <row r="358" spans="1:6" ht="12.75">
      <c r="A358" s="102"/>
      <c r="B358" s="103"/>
      <c r="C358" s="103"/>
      <c r="D358" s="104"/>
      <c r="E358" s="103"/>
      <c r="F358" s="104">
        <f>F355-D355</f>
        <v>35915000</v>
      </c>
    </row>
    <row r="359" spans="1:6" ht="12.75">
      <c r="A359" s="65"/>
      <c r="B359" s="66"/>
      <c r="C359" s="66"/>
      <c r="D359" s="67"/>
      <c r="E359" s="66"/>
      <c r="F359" s="67"/>
    </row>
    <row r="360" spans="1:6" ht="12.75">
      <c r="A360" s="65" t="s">
        <v>9</v>
      </c>
      <c r="B360" s="607" t="s">
        <v>169</v>
      </c>
      <c r="C360" s="607"/>
      <c r="D360" s="607"/>
      <c r="E360" s="66"/>
      <c r="F360" s="67"/>
    </row>
    <row r="361" spans="1:6" ht="13.5" thickBot="1">
      <c r="A361" s="65"/>
      <c r="B361" s="66"/>
      <c r="C361" s="66"/>
      <c r="D361" s="67"/>
      <c r="E361" s="66"/>
      <c r="F361" s="67"/>
    </row>
    <row r="362" spans="1:6" s="42" customFormat="1" ht="17.25" customHeight="1">
      <c r="A362" s="608"/>
      <c r="B362" s="609" t="s">
        <v>25</v>
      </c>
      <c r="C362" s="599" t="s">
        <v>26</v>
      </c>
      <c r="D362" s="599"/>
      <c r="E362" s="599" t="s">
        <v>27</v>
      </c>
      <c r="F362" s="600"/>
    </row>
    <row r="363" spans="1:6" s="42" customFormat="1" ht="22.5" customHeight="1" thickBot="1">
      <c r="A363" s="608"/>
      <c r="B363" s="610"/>
      <c r="C363" s="68"/>
      <c r="D363" s="69" t="s">
        <v>28</v>
      </c>
      <c r="E363" s="68" t="s">
        <v>29</v>
      </c>
      <c r="F363" s="70" t="s">
        <v>28</v>
      </c>
    </row>
    <row r="364" spans="1:6" ht="25.5">
      <c r="A364" s="71"/>
      <c r="B364" s="72" t="s">
        <v>159</v>
      </c>
      <c r="C364" s="73"/>
      <c r="D364" s="74"/>
      <c r="E364" s="75" t="s">
        <v>41</v>
      </c>
      <c r="F364" s="74">
        <v>0</v>
      </c>
    </row>
    <row r="365" spans="1:6" s="37" customFormat="1" ht="12.75">
      <c r="A365" s="76"/>
      <c r="B365" s="77" t="s">
        <v>17</v>
      </c>
      <c r="C365" s="78"/>
      <c r="D365" s="79">
        <v>0</v>
      </c>
      <c r="E365" s="76" t="s">
        <v>42</v>
      </c>
      <c r="F365" s="79">
        <v>0</v>
      </c>
    </row>
    <row r="366" spans="1:6" s="37" customFormat="1" ht="12.75">
      <c r="A366" s="76"/>
      <c r="B366" s="80"/>
      <c r="C366" s="78"/>
      <c r="D366" s="79"/>
      <c r="E366" s="76" t="s">
        <v>43</v>
      </c>
      <c r="F366" s="79">
        <v>0</v>
      </c>
    </row>
    <row r="367" spans="1:6" s="37" customFormat="1" ht="17.25" customHeight="1" thickBot="1">
      <c r="A367" s="76"/>
      <c r="B367" s="81" t="s">
        <v>16</v>
      </c>
      <c r="C367" s="82"/>
      <c r="D367" s="83">
        <f>SUM(D364:D366)</f>
        <v>0</v>
      </c>
      <c r="E367" s="82"/>
      <c r="F367" s="83">
        <f>SUM(F364:F366)</f>
        <v>0</v>
      </c>
    </row>
    <row r="368" spans="1:6" s="37" customFormat="1" ht="17.25" customHeight="1" thickBot="1">
      <c r="A368" s="76"/>
      <c r="B368" s="76"/>
      <c r="C368" s="78"/>
      <c r="D368" s="84"/>
      <c r="E368" s="78"/>
      <c r="F368" s="84"/>
    </row>
    <row r="369" spans="1:6" ht="13.5" thickBot="1">
      <c r="A369" s="65"/>
      <c r="B369" s="85" t="s">
        <v>10</v>
      </c>
      <c r="C369" s="86"/>
      <c r="D369" s="87">
        <f>D367</f>
        <v>0</v>
      </c>
      <c r="E369" s="88"/>
      <c r="F369" s="87">
        <f>F367</f>
        <v>0</v>
      </c>
    </row>
    <row r="370" spans="1:6" ht="12.75" hidden="1">
      <c r="A370" s="65"/>
      <c r="B370" s="89" t="s">
        <v>105</v>
      </c>
      <c r="C370" s="73"/>
      <c r="D370" s="90">
        <f>D365</f>
        <v>0</v>
      </c>
      <c r="E370" s="89" t="s">
        <v>106</v>
      </c>
      <c r="F370" s="74">
        <f>F364</f>
        <v>0</v>
      </c>
    </row>
    <row r="371" spans="1:6" ht="12.75" hidden="1">
      <c r="A371" s="65"/>
      <c r="B371" s="91" t="s">
        <v>107</v>
      </c>
      <c r="C371" s="92"/>
      <c r="D371" s="93">
        <v>0</v>
      </c>
      <c r="E371" s="91" t="s">
        <v>108</v>
      </c>
      <c r="F371" s="94">
        <f>F365</f>
        <v>0</v>
      </c>
    </row>
    <row r="372" spans="1:6" ht="12.75" hidden="1">
      <c r="A372" s="65"/>
      <c r="B372" s="91" t="s">
        <v>109</v>
      </c>
      <c r="C372" s="92"/>
      <c r="D372" s="93">
        <f>0</f>
        <v>0</v>
      </c>
      <c r="E372" s="91" t="s">
        <v>110</v>
      </c>
      <c r="F372" s="94">
        <f>F366</f>
        <v>0</v>
      </c>
    </row>
    <row r="373" spans="1:6" ht="12.75" hidden="1">
      <c r="A373" s="65"/>
      <c r="B373" s="91" t="s">
        <v>23</v>
      </c>
      <c r="C373" s="92"/>
      <c r="D373" s="93">
        <f>0</f>
        <v>0</v>
      </c>
      <c r="E373" s="91" t="s">
        <v>111</v>
      </c>
      <c r="F373" s="94">
        <f>0</f>
        <v>0</v>
      </c>
    </row>
    <row r="374" spans="1:6" ht="12.75" hidden="1">
      <c r="A374" s="65"/>
      <c r="B374" s="91"/>
      <c r="C374" s="92"/>
      <c r="D374" s="93"/>
      <c r="E374" s="91" t="s">
        <v>112</v>
      </c>
      <c r="F374" s="94">
        <v>0</v>
      </c>
    </row>
    <row r="375" spans="1:6" ht="12.75" hidden="1">
      <c r="A375" s="65"/>
      <c r="B375" s="91"/>
      <c r="C375" s="92"/>
      <c r="D375" s="93"/>
      <c r="E375" s="91" t="s">
        <v>113</v>
      </c>
      <c r="F375" s="94">
        <v>0</v>
      </c>
    </row>
    <row r="376" spans="1:6" ht="12.75" hidden="1">
      <c r="A376" s="65"/>
      <c r="B376" s="91"/>
      <c r="C376" s="92"/>
      <c r="D376" s="93"/>
      <c r="E376" s="91" t="s">
        <v>114</v>
      </c>
      <c r="F376" s="94"/>
    </row>
    <row r="377" spans="1:6" ht="13.5" hidden="1" thickBot="1">
      <c r="A377" s="65"/>
      <c r="B377" s="95"/>
      <c r="C377" s="96"/>
      <c r="D377" s="97"/>
      <c r="E377" s="95" t="s">
        <v>115</v>
      </c>
      <c r="F377" s="98">
        <v>0</v>
      </c>
    </row>
    <row r="378" spans="1:6" ht="13.5" hidden="1" thickBot="1">
      <c r="A378" s="65"/>
      <c r="B378" s="99" t="s">
        <v>116</v>
      </c>
      <c r="C378" s="100"/>
      <c r="D378" s="101">
        <f>SUM(D370:D377)</f>
        <v>0</v>
      </c>
      <c r="E378" s="99" t="s">
        <v>116</v>
      </c>
      <c r="F378" s="101">
        <f>SUM(F370:F377)</f>
        <v>0</v>
      </c>
    </row>
    <row r="379" spans="1:6" ht="12.75" hidden="1">
      <c r="A379" s="65"/>
      <c r="B379" s="66"/>
      <c r="C379" s="66"/>
      <c r="D379" s="67"/>
      <c r="E379" s="66"/>
      <c r="F379" s="67"/>
    </row>
    <row r="380" spans="1:6" ht="12.75">
      <c r="A380" s="102"/>
      <c r="B380" s="103"/>
      <c r="C380" s="103"/>
      <c r="D380" s="104"/>
      <c r="E380" s="103"/>
      <c r="F380" s="104"/>
    </row>
    <row r="381" spans="1:6" ht="12.75">
      <c r="A381" s="102" t="s">
        <v>170</v>
      </c>
      <c r="B381" s="611" t="s">
        <v>171</v>
      </c>
      <c r="C381" s="611"/>
      <c r="D381" s="611"/>
      <c r="E381" s="103"/>
      <c r="F381" s="104"/>
    </row>
    <row r="382" spans="1:6" ht="13.5" thickBot="1">
      <c r="A382" s="102"/>
      <c r="B382" s="103"/>
      <c r="C382" s="103"/>
      <c r="D382" s="104"/>
      <c r="E382" s="103"/>
      <c r="F382" s="104"/>
    </row>
    <row r="383" spans="1:6" s="42" customFormat="1" ht="17.25" customHeight="1">
      <c r="A383" s="612"/>
      <c r="B383" s="613" t="s">
        <v>25</v>
      </c>
      <c r="C383" s="615" t="s">
        <v>26</v>
      </c>
      <c r="D383" s="615"/>
      <c r="E383" s="615" t="s">
        <v>27</v>
      </c>
      <c r="F383" s="616"/>
    </row>
    <row r="384" spans="1:6" s="42" customFormat="1" ht="22.5" customHeight="1" thickBot="1">
      <c r="A384" s="612"/>
      <c r="B384" s="614"/>
      <c r="C384" s="105"/>
      <c r="D384" s="106" t="s">
        <v>28</v>
      </c>
      <c r="E384" s="105" t="s">
        <v>29</v>
      </c>
      <c r="F384" s="107" t="s">
        <v>28</v>
      </c>
    </row>
    <row r="385" spans="1:6" ht="26.25" customHeight="1">
      <c r="A385" s="108"/>
      <c r="B385" s="109" t="s">
        <v>174</v>
      </c>
      <c r="C385" s="110"/>
      <c r="D385" s="111"/>
      <c r="E385" s="112" t="s">
        <v>41</v>
      </c>
      <c r="F385" s="111">
        <v>120332000</v>
      </c>
    </row>
    <row r="386" spans="1:6" s="37" customFormat="1" ht="12.75">
      <c r="A386" s="113"/>
      <c r="B386" s="114" t="s">
        <v>17</v>
      </c>
      <c r="C386" s="115"/>
      <c r="D386" s="116">
        <v>1100000</v>
      </c>
      <c r="E386" s="113" t="s">
        <v>42</v>
      </c>
      <c r="F386" s="116">
        <v>35664000</v>
      </c>
    </row>
    <row r="387" spans="1:6" s="37" customFormat="1" ht="27.75" customHeight="1">
      <c r="A387" s="113"/>
      <c r="B387" s="117" t="s">
        <v>175</v>
      </c>
      <c r="C387" s="115"/>
      <c r="D387" s="116">
        <v>7084000</v>
      </c>
      <c r="E387" s="113" t="s">
        <v>43</v>
      </c>
      <c r="F387" s="116">
        <v>44870000</v>
      </c>
    </row>
    <row r="388" spans="1:6" s="37" customFormat="1" ht="27.75" customHeight="1">
      <c r="A388" s="113"/>
      <c r="B388" s="117" t="s">
        <v>176</v>
      </c>
      <c r="C388" s="115"/>
      <c r="D388" s="116">
        <v>13561000</v>
      </c>
      <c r="E388" s="113"/>
      <c r="F388" s="116"/>
    </row>
    <row r="389" spans="1:6" s="37" customFormat="1" ht="24" customHeight="1">
      <c r="A389" s="113"/>
      <c r="B389" s="114" t="s">
        <v>367</v>
      </c>
      <c r="C389" s="115"/>
      <c r="D389" s="116">
        <f>SUM(D387:D388)</f>
        <v>20645000</v>
      </c>
      <c r="E389" s="113"/>
      <c r="F389" s="116"/>
    </row>
    <row r="390" spans="1:6" s="37" customFormat="1" ht="17.25" customHeight="1" thickBot="1">
      <c r="A390" s="113"/>
      <c r="B390" s="118" t="s">
        <v>16</v>
      </c>
      <c r="C390" s="119"/>
      <c r="D390" s="120">
        <f>D386+D389</f>
        <v>21745000</v>
      </c>
      <c r="E390" s="119"/>
      <c r="F390" s="120">
        <f>SUM(F385:F388)</f>
        <v>200866000</v>
      </c>
    </row>
    <row r="391" spans="1:6" s="37" customFormat="1" ht="17.25" customHeight="1" thickBot="1">
      <c r="A391" s="113"/>
      <c r="B391" s="113"/>
      <c r="C391" s="115"/>
      <c r="D391" s="121"/>
      <c r="E391" s="115"/>
      <c r="F391" s="121"/>
    </row>
    <row r="392" spans="1:6" ht="13.5" thickBot="1">
      <c r="A392" s="102"/>
      <c r="B392" s="122" t="s">
        <v>10</v>
      </c>
      <c r="C392" s="123"/>
      <c r="D392" s="124">
        <f>D390</f>
        <v>21745000</v>
      </c>
      <c r="E392" s="125"/>
      <c r="F392" s="124">
        <f>F390</f>
        <v>200866000</v>
      </c>
    </row>
    <row r="393" spans="1:6" ht="12.75" hidden="1">
      <c r="A393" s="102"/>
      <c r="B393" s="126" t="s">
        <v>105</v>
      </c>
      <c r="C393" s="110"/>
      <c r="D393" s="127">
        <f>D386</f>
        <v>1100000</v>
      </c>
      <c r="E393" s="126" t="s">
        <v>106</v>
      </c>
      <c r="F393" s="111">
        <f>F385</f>
        <v>120332000</v>
      </c>
    </row>
    <row r="394" spans="1:6" ht="12.75" hidden="1">
      <c r="A394" s="102"/>
      <c r="B394" s="128" t="s">
        <v>107</v>
      </c>
      <c r="C394" s="129"/>
      <c r="D394" s="130">
        <f>D389</f>
        <v>20645000</v>
      </c>
      <c r="E394" s="128" t="s">
        <v>108</v>
      </c>
      <c r="F394" s="131">
        <f>F386</f>
        <v>35664000</v>
      </c>
    </row>
    <row r="395" spans="1:6" ht="12.75" hidden="1">
      <c r="A395" s="102"/>
      <c r="B395" s="128" t="s">
        <v>109</v>
      </c>
      <c r="C395" s="129"/>
      <c r="D395" s="130">
        <f>0</f>
        <v>0</v>
      </c>
      <c r="E395" s="128" t="s">
        <v>110</v>
      </c>
      <c r="F395" s="131">
        <f>F387</f>
        <v>44870000</v>
      </c>
    </row>
    <row r="396" spans="1:6" ht="12.75" hidden="1">
      <c r="A396" s="102"/>
      <c r="B396" s="128" t="s">
        <v>23</v>
      </c>
      <c r="C396" s="129"/>
      <c r="D396" s="130">
        <f>0</f>
        <v>0</v>
      </c>
      <c r="E396" s="128" t="s">
        <v>111</v>
      </c>
      <c r="F396" s="131">
        <f>0</f>
        <v>0</v>
      </c>
    </row>
    <row r="397" spans="1:6" ht="12.75" hidden="1">
      <c r="A397" s="102"/>
      <c r="B397" s="128"/>
      <c r="C397" s="129"/>
      <c r="D397" s="130"/>
      <c r="E397" s="128" t="s">
        <v>112</v>
      </c>
      <c r="F397" s="131">
        <v>0</v>
      </c>
    </row>
    <row r="398" spans="1:6" ht="12.75" hidden="1">
      <c r="A398" s="102"/>
      <c r="B398" s="128"/>
      <c r="C398" s="129"/>
      <c r="D398" s="130"/>
      <c r="E398" s="128" t="s">
        <v>113</v>
      </c>
      <c r="F398" s="131">
        <v>0</v>
      </c>
    </row>
    <row r="399" spans="1:6" ht="12.75" hidden="1">
      <c r="A399" s="102"/>
      <c r="B399" s="128"/>
      <c r="C399" s="129"/>
      <c r="D399" s="130"/>
      <c r="E399" s="128" t="s">
        <v>114</v>
      </c>
      <c r="F399" s="131"/>
    </row>
    <row r="400" spans="1:6" ht="13.5" hidden="1" thickBot="1">
      <c r="A400" s="102"/>
      <c r="B400" s="132"/>
      <c r="C400" s="133"/>
      <c r="D400" s="134"/>
      <c r="E400" s="132" t="s">
        <v>115</v>
      </c>
      <c r="F400" s="135">
        <v>0</v>
      </c>
    </row>
    <row r="401" spans="1:6" ht="13.5" hidden="1" thickBot="1">
      <c r="A401" s="102"/>
      <c r="B401" s="136" t="s">
        <v>116</v>
      </c>
      <c r="C401" s="137"/>
      <c r="D401" s="138">
        <f>SUM(D393:D400)</f>
        <v>21745000</v>
      </c>
      <c r="E401" s="136" t="s">
        <v>116</v>
      </c>
      <c r="F401" s="138">
        <f>SUM(F393:F400)</f>
        <v>200866000</v>
      </c>
    </row>
    <row r="402" spans="1:6" ht="17.25" customHeight="1" hidden="1">
      <c r="A402" s="102"/>
      <c r="B402" s="103"/>
      <c r="C402" s="103"/>
      <c r="D402" s="104"/>
      <c r="E402" s="103"/>
      <c r="F402" s="104"/>
    </row>
    <row r="403" spans="1:6" ht="12.75">
      <c r="A403" s="102"/>
      <c r="B403" s="103"/>
      <c r="C403" s="103"/>
      <c r="D403" s="104"/>
      <c r="E403" s="103"/>
      <c r="F403" s="104">
        <f>F401-D401</f>
        <v>179121000</v>
      </c>
    </row>
    <row r="404" spans="1:6" ht="12.75">
      <c r="A404" s="65"/>
      <c r="B404" s="66"/>
      <c r="C404" s="66"/>
      <c r="D404" s="67"/>
      <c r="E404" s="66"/>
      <c r="F404" s="67"/>
    </row>
    <row r="405" spans="1:6" ht="12.75">
      <c r="A405" s="65" t="s">
        <v>12</v>
      </c>
      <c r="B405" s="607" t="s">
        <v>172</v>
      </c>
      <c r="C405" s="607"/>
      <c r="D405" s="607"/>
      <c r="E405" s="66"/>
      <c r="F405" s="67"/>
    </row>
    <row r="406" spans="1:6" ht="13.5" thickBot="1">
      <c r="A406" s="65"/>
      <c r="B406" s="66"/>
      <c r="C406" s="66"/>
      <c r="D406" s="67"/>
      <c r="E406" s="66"/>
      <c r="F406" s="67"/>
    </row>
    <row r="407" spans="1:6" s="42" customFormat="1" ht="17.25" customHeight="1">
      <c r="A407" s="608"/>
      <c r="B407" s="609" t="s">
        <v>25</v>
      </c>
      <c r="C407" s="599" t="s">
        <v>26</v>
      </c>
      <c r="D407" s="599"/>
      <c r="E407" s="599" t="s">
        <v>27</v>
      </c>
      <c r="F407" s="600"/>
    </row>
    <row r="408" spans="1:6" s="42" customFormat="1" ht="22.5" customHeight="1" thickBot="1">
      <c r="A408" s="608"/>
      <c r="B408" s="610"/>
      <c r="C408" s="68"/>
      <c r="D408" s="69" t="s">
        <v>28</v>
      </c>
      <c r="E408" s="68" t="s">
        <v>29</v>
      </c>
      <c r="F408" s="70" t="s">
        <v>28</v>
      </c>
    </row>
    <row r="409" spans="1:6" ht="27.75" customHeight="1">
      <c r="A409" s="71"/>
      <c r="B409" s="72" t="s">
        <v>174</v>
      </c>
      <c r="C409" s="73"/>
      <c r="D409" s="74"/>
      <c r="E409" s="75" t="s">
        <v>41</v>
      </c>
      <c r="F409" s="74">
        <v>0</v>
      </c>
    </row>
    <row r="410" spans="1:6" s="37" customFormat="1" ht="12.75">
      <c r="A410" s="76"/>
      <c r="B410" s="77" t="s">
        <v>17</v>
      </c>
      <c r="C410" s="78"/>
      <c r="D410" s="79">
        <v>0</v>
      </c>
      <c r="E410" s="76" t="s">
        <v>42</v>
      </c>
      <c r="F410" s="79">
        <v>0</v>
      </c>
    </row>
    <row r="411" spans="1:6" s="37" customFormat="1" ht="12.75">
      <c r="A411" s="76"/>
      <c r="B411" s="80"/>
      <c r="C411" s="78"/>
      <c r="D411" s="79"/>
      <c r="E411" s="76" t="s">
        <v>43</v>
      </c>
      <c r="F411" s="79">
        <v>0</v>
      </c>
    </row>
    <row r="412" spans="1:6" s="37" customFormat="1" ht="17.25" customHeight="1" thickBot="1">
      <c r="A412" s="76"/>
      <c r="B412" s="81" t="s">
        <v>16</v>
      </c>
      <c r="C412" s="82"/>
      <c r="D412" s="83">
        <f>SUM(D409:D411)</f>
        <v>0</v>
      </c>
      <c r="E412" s="82"/>
      <c r="F412" s="83">
        <f>SUM(F409:F411)</f>
        <v>0</v>
      </c>
    </row>
    <row r="413" spans="1:6" s="37" customFormat="1" ht="17.25" customHeight="1" thickBot="1">
      <c r="A413" s="76"/>
      <c r="B413" s="76"/>
      <c r="C413" s="78"/>
      <c r="D413" s="84"/>
      <c r="E413" s="78"/>
      <c r="F413" s="84"/>
    </row>
    <row r="414" spans="1:6" ht="13.5" thickBot="1">
      <c r="A414" s="65"/>
      <c r="B414" s="85" t="s">
        <v>10</v>
      </c>
      <c r="C414" s="86"/>
      <c r="D414" s="87">
        <f>D412</f>
        <v>0</v>
      </c>
      <c r="E414" s="88"/>
      <c r="F414" s="87">
        <f>F412</f>
        <v>0</v>
      </c>
    </row>
    <row r="415" spans="1:6" ht="12.75">
      <c r="A415" s="65"/>
      <c r="B415" s="66"/>
      <c r="C415" s="66"/>
      <c r="D415" s="67"/>
      <c r="E415" s="66"/>
      <c r="F415" s="67"/>
    </row>
    <row r="416" spans="1:6" ht="12.75" hidden="1">
      <c r="A416" s="65"/>
      <c r="B416" s="89" t="s">
        <v>105</v>
      </c>
      <c r="C416" s="73"/>
      <c r="D416" s="90">
        <f>D410</f>
        <v>0</v>
      </c>
      <c r="E416" s="89" t="s">
        <v>106</v>
      </c>
      <c r="F416" s="74">
        <f>F409</f>
        <v>0</v>
      </c>
    </row>
    <row r="417" spans="1:6" ht="12.75" hidden="1">
      <c r="A417" s="65"/>
      <c r="B417" s="91" t="s">
        <v>107</v>
      </c>
      <c r="C417" s="92"/>
      <c r="D417" s="93">
        <v>0</v>
      </c>
      <c r="E417" s="91" t="s">
        <v>108</v>
      </c>
      <c r="F417" s="94">
        <f>F410</f>
        <v>0</v>
      </c>
    </row>
    <row r="418" spans="1:6" ht="12.75" hidden="1">
      <c r="A418" s="65"/>
      <c r="B418" s="91" t="s">
        <v>109</v>
      </c>
      <c r="C418" s="92"/>
      <c r="D418" s="93">
        <f>0</f>
        <v>0</v>
      </c>
      <c r="E418" s="91" t="s">
        <v>110</v>
      </c>
      <c r="F418" s="94">
        <f>F411</f>
        <v>0</v>
      </c>
    </row>
    <row r="419" spans="1:6" ht="12.75" hidden="1">
      <c r="A419" s="65"/>
      <c r="B419" s="91" t="s">
        <v>23</v>
      </c>
      <c r="C419" s="92"/>
      <c r="D419" s="93">
        <f>0</f>
        <v>0</v>
      </c>
      <c r="E419" s="91" t="s">
        <v>111</v>
      </c>
      <c r="F419" s="94">
        <f>0</f>
        <v>0</v>
      </c>
    </row>
    <row r="420" spans="1:6" ht="12.75" hidden="1">
      <c r="A420" s="65"/>
      <c r="B420" s="91"/>
      <c r="C420" s="92"/>
      <c r="D420" s="93"/>
      <c r="E420" s="91" t="s">
        <v>112</v>
      </c>
      <c r="F420" s="94">
        <v>0</v>
      </c>
    </row>
    <row r="421" spans="1:6" ht="12.75" hidden="1">
      <c r="A421" s="65"/>
      <c r="B421" s="91"/>
      <c r="C421" s="92"/>
      <c r="D421" s="93"/>
      <c r="E421" s="91" t="s">
        <v>113</v>
      </c>
      <c r="F421" s="94">
        <v>0</v>
      </c>
    </row>
    <row r="422" spans="1:6" ht="12.75" hidden="1">
      <c r="A422" s="65"/>
      <c r="B422" s="91"/>
      <c r="C422" s="92"/>
      <c r="D422" s="93"/>
      <c r="E422" s="91" t="s">
        <v>114</v>
      </c>
      <c r="F422" s="94"/>
    </row>
    <row r="423" spans="1:6" ht="13.5" hidden="1" thickBot="1">
      <c r="A423" s="65"/>
      <c r="B423" s="95"/>
      <c r="C423" s="96"/>
      <c r="D423" s="97"/>
      <c r="E423" s="95" t="s">
        <v>115</v>
      </c>
      <c r="F423" s="98">
        <v>0</v>
      </c>
    </row>
    <row r="424" spans="1:6" ht="13.5" hidden="1" thickBot="1">
      <c r="A424" s="65"/>
      <c r="B424" s="99" t="s">
        <v>116</v>
      </c>
      <c r="C424" s="100"/>
      <c r="D424" s="101">
        <f>SUM(D416:D423)</f>
        <v>0</v>
      </c>
      <c r="E424" s="99" t="s">
        <v>116</v>
      </c>
      <c r="F424" s="101">
        <f>SUM(F416:F423)</f>
        <v>0</v>
      </c>
    </row>
    <row r="425" spans="1:6" ht="12.75">
      <c r="A425" s="65"/>
      <c r="B425" s="71"/>
      <c r="C425" s="71"/>
      <c r="D425" s="247"/>
      <c r="E425" s="71"/>
      <c r="F425" s="247">
        <f>F424-D424</f>
        <v>0</v>
      </c>
    </row>
    <row r="426" spans="1:6" ht="6.75" customHeight="1">
      <c r="A426" s="65"/>
      <c r="B426" s="71"/>
      <c r="C426" s="71"/>
      <c r="D426" s="247"/>
      <c r="E426" s="71"/>
      <c r="F426" s="247"/>
    </row>
    <row r="427" spans="1:6" ht="12.75">
      <c r="A427" s="207" t="s">
        <v>12</v>
      </c>
      <c r="B427" s="601" t="s">
        <v>173</v>
      </c>
      <c r="C427" s="601"/>
      <c r="D427" s="601"/>
      <c r="E427" s="208"/>
      <c r="F427" s="209"/>
    </row>
    <row r="428" spans="1:6" ht="13.5" thickBot="1">
      <c r="A428" s="207"/>
      <c r="B428" s="246"/>
      <c r="C428" s="246"/>
      <c r="D428" s="246"/>
      <c r="E428" s="208"/>
      <c r="F428" s="209"/>
    </row>
    <row r="429" spans="1:6" s="42" customFormat="1" ht="17.25" customHeight="1">
      <c r="A429" s="602"/>
      <c r="B429" s="603" t="s">
        <v>25</v>
      </c>
      <c r="C429" s="605" t="s">
        <v>26</v>
      </c>
      <c r="D429" s="605"/>
      <c r="E429" s="605" t="s">
        <v>27</v>
      </c>
      <c r="F429" s="606"/>
    </row>
    <row r="430" spans="1:6" s="42" customFormat="1" ht="15.75" customHeight="1" thickBot="1">
      <c r="A430" s="602"/>
      <c r="B430" s="604"/>
      <c r="C430" s="210"/>
      <c r="D430" s="211" t="s">
        <v>28</v>
      </c>
      <c r="E430" s="210" t="s">
        <v>29</v>
      </c>
      <c r="F430" s="212" t="s">
        <v>28</v>
      </c>
    </row>
    <row r="431" spans="1:6" ht="28.5" customHeight="1">
      <c r="A431" s="213"/>
      <c r="B431" s="214" t="s">
        <v>174</v>
      </c>
      <c r="C431" s="215"/>
      <c r="D431" s="216"/>
      <c r="E431" s="217" t="s">
        <v>41</v>
      </c>
      <c r="F431" s="216">
        <f>179600000-120332000</f>
        <v>59268000</v>
      </c>
    </row>
    <row r="432" spans="1:6" s="37" customFormat="1" ht="12.75">
      <c r="A432" s="218"/>
      <c r="B432" s="219" t="s">
        <v>17</v>
      </c>
      <c r="C432" s="220"/>
      <c r="D432" s="221">
        <v>0</v>
      </c>
      <c r="E432" s="218" t="s">
        <v>42</v>
      </c>
      <c r="F432" s="221">
        <f>53200000-35664000</f>
        <v>17536000</v>
      </c>
    </row>
    <row r="433" spans="1:6" s="37" customFormat="1" ht="12.75">
      <c r="A433" s="218"/>
      <c r="B433" s="222"/>
      <c r="C433" s="220"/>
      <c r="D433" s="221"/>
      <c r="E433" s="218" t="s">
        <v>43</v>
      </c>
      <c r="F433" s="221">
        <v>22100000</v>
      </c>
    </row>
    <row r="434" spans="1:6" s="37" customFormat="1" ht="17.25" customHeight="1" thickBot="1">
      <c r="A434" s="218"/>
      <c r="B434" s="223" t="s">
        <v>16</v>
      </c>
      <c r="C434" s="224"/>
      <c r="D434" s="225">
        <f>SUM(D431:D433)</f>
        <v>0</v>
      </c>
      <c r="E434" s="224"/>
      <c r="F434" s="225">
        <f>SUM(F431:F433)</f>
        <v>98904000</v>
      </c>
    </row>
    <row r="435" spans="1:6" s="37" customFormat="1" ht="17.25" customHeight="1" thickBot="1">
      <c r="A435" s="218"/>
      <c r="B435" s="218"/>
      <c r="C435" s="220"/>
      <c r="D435" s="226"/>
      <c r="E435" s="220"/>
      <c r="F435" s="226"/>
    </row>
    <row r="436" spans="1:6" ht="13.5" thickBot="1">
      <c r="A436" s="207"/>
      <c r="B436" s="227" t="s">
        <v>10</v>
      </c>
      <c r="C436" s="228"/>
      <c r="D436" s="229">
        <f>D434</f>
        <v>0</v>
      </c>
      <c r="E436" s="230"/>
      <c r="F436" s="229">
        <f>F434</f>
        <v>98904000</v>
      </c>
    </row>
    <row r="437" spans="1:6" ht="12.75" hidden="1">
      <c r="A437" s="207"/>
      <c r="B437" s="231" t="s">
        <v>105</v>
      </c>
      <c r="C437" s="215"/>
      <c r="D437" s="232">
        <f>D432</f>
        <v>0</v>
      </c>
      <c r="E437" s="231" t="s">
        <v>106</v>
      </c>
      <c r="F437" s="216">
        <f>F431</f>
        <v>59268000</v>
      </c>
    </row>
    <row r="438" spans="1:6" ht="12.75" hidden="1">
      <c r="A438" s="207"/>
      <c r="B438" s="233" t="s">
        <v>107</v>
      </c>
      <c r="C438" s="234"/>
      <c r="D438" s="235">
        <v>0</v>
      </c>
      <c r="E438" s="233" t="s">
        <v>108</v>
      </c>
      <c r="F438" s="236">
        <f>F432</f>
        <v>17536000</v>
      </c>
    </row>
    <row r="439" spans="1:6" ht="12.75" hidden="1">
      <c r="A439" s="207"/>
      <c r="B439" s="233" t="s">
        <v>109</v>
      </c>
      <c r="C439" s="234"/>
      <c r="D439" s="235">
        <f>0</f>
        <v>0</v>
      </c>
      <c r="E439" s="233" t="s">
        <v>110</v>
      </c>
      <c r="F439" s="236">
        <f>F433</f>
        <v>22100000</v>
      </c>
    </row>
    <row r="440" spans="1:6" ht="12.75" hidden="1">
      <c r="A440" s="207"/>
      <c r="B440" s="233" t="s">
        <v>23</v>
      </c>
      <c r="C440" s="234"/>
      <c r="D440" s="235">
        <f>0</f>
        <v>0</v>
      </c>
      <c r="E440" s="233" t="s">
        <v>111</v>
      </c>
      <c r="F440" s="236">
        <f>0</f>
        <v>0</v>
      </c>
    </row>
    <row r="441" spans="1:6" ht="12.75" hidden="1">
      <c r="A441" s="207"/>
      <c r="B441" s="233"/>
      <c r="C441" s="234"/>
      <c r="D441" s="235"/>
      <c r="E441" s="233" t="s">
        <v>112</v>
      </c>
      <c r="F441" s="236">
        <v>0</v>
      </c>
    </row>
    <row r="442" spans="1:6" ht="12.75" hidden="1">
      <c r="A442" s="207"/>
      <c r="B442" s="233"/>
      <c r="C442" s="234"/>
      <c r="D442" s="235"/>
      <c r="E442" s="233" t="s">
        <v>113</v>
      </c>
      <c r="F442" s="236">
        <v>0</v>
      </c>
    </row>
    <row r="443" spans="1:6" ht="12.75" hidden="1">
      <c r="A443" s="207"/>
      <c r="B443" s="233"/>
      <c r="C443" s="234"/>
      <c r="D443" s="235"/>
      <c r="E443" s="233" t="s">
        <v>114</v>
      </c>
      <c r="F443" s="236"/>
    </row>
    <row r="444" spans="1:6" ht="13.5" hidden="1" thickBot="1">
      <c r="A444" s="207"/>
      <c r="B444" s="237"/>
      <c r="C444" s="238"/>
      <c r="D444" s="239"/>
      <c r="E444" s="237" t="s">
        <v>115</v>
      </c>
      <c r="F444" s="240">
        <v>0</v>
      </c>
    </row>
    <row r="445" spans="1:6" ht="13.5" hidden="1" thickBot="1">
      <c r="A445" s="207"/>
      <c r="B445" s="241" t="s">
        <v>116</v>
      </c>
      <c r="C445" s="242"/>
      <c r="D445" s="243">
        <f>SUM(D437:D444)</f>
        <v>0</v>
      </c>
      <c r="E445" s="241" t="s">
        <v>116</v>
      </c>
      <c r="F445" s="243">
        <f>SUM(F437:F444)</f>
        <v>98904000</v>
      </c>
    </row>
    <row r="446" spans="1:6" ht="12.75" hidden="1">
      <c r="A446" s="207"/>
      <c r="B446" s="208"/>
      <c r="C446" s="208"/>
      <c r="D446" s="209"/>
      <c r="E446" s="208"/>
      <c r="F446" s="209"/>
    </row>
    <row r="447" spans="1:6" ht="16.5" customHeight="1">
      <c r="A447" s="207"/>
      <c r="B447" s="208"/>
      <c r="C447" s="208"/>
      <c r="D447" s="209"/>
      <c r="E447" s="208"/>
      <c r="F447" s="209">
        <f>F445-D445</f>
        <v>98904000</v>
      </c>
    </row>
    <row r="448" ht="26.25" customHeight="1"/>
    <row r="449" spans="1:6" ht="21" customHeight="1" thickBot="1">
      <c r="A449" s="598" t="s">
        <v>177</v>
      </c>
      <c r="B449" s="598"/>
      <c r="C449" s="598"/>
      <c r="D449" s="598"/>
      <c r="E449" s="598"/>
      <c r="F449" s="598"/>
    </row>
    <row r="450" spans="1:6" ht="12.75">
      <c r="A450" s="102"/>
      <c r="B450" s="126" t="s">
        <v>368</v>
      </c>
      <c r="C450" s="110"/>
      <c r="D450" s="127">
        <f>D393+D347+D288+D243+D140</f>
        <v>102219000</v>
      </c>
      <c r="E450" s="126" t="s">
        <v>106</v>
      </c>
      <c r="F450" s="111">
        <f>F393+F347+F288+F243+F139</f>
        <v>197950420</v>
      </c>
    </row>
    <row r="451" spans="1:6" ht="12.75">
      <c r="A451" s="102"/>
      <c r="B451" s="128" t="s">
        <v>369</v>
      </c>
      <c r="C451" s="129"/>
      <c r="D451" s="130">
        <f>D139</f>
        <v>394911000</v>
      </c>
      <c r="E451" s="128" t="s">
        <v>108</v>
      </c>
      <c r="F451" s="131">
        <f>F394+F348+F289+F244+F140</f>
        <v>56550000</v>
      </c>
    </row>
    <row r="452" spans="1:6" ht="12.75">
      <c r="A452" s="102"/>
      <c r="B452" s="128"/>
      <c r="C452" s="129"/>
      <c r="D452" s="130"/>
      <c r="E452" s="128" t="s">
        <v>110</v>
      </c>
      <c r="F452" s="131">
        <f>F395+F349+F290+F245+F141</f>
        <v>465802580</v>
      </c>
    </row>
    <row r="453" spans="1:6" ht="12.75">
      <c r="A453" s="102"/>
      <c r="B453" s="128"/>
      <c r="C453" s="129"/>
      <c r="D453" s="130"/>
      <c r="E453" s="128" t="s">
        <v>111</v>
      </c>
      <c r="F453" s="131">
        <f>F396+F350+F291+F246+F142</f>
        <v>421035000</v>
      </c>
    </row>
    <row r="454" spans="1:6" ht="12.75">
      <c r="A454" s="102"/>
      <c r="B454" s="128" t="s">
        <v>107</v>
      </c>
      <c r="C454" s="129"/>
      <c r="D454" s="130">
        <f>D394+D348+D289+D244+D143</f>
        <v>926525000</v>
      </c>
      <c r="E454" s="128" t="s">
        <v>112</v>
      </c>
      <c r="F454" s="131">
        <f>F397+F351+F292+F247+F143</f>
        <v>27881000</v>
      </c>
    </row>
    <row r="455" spans="1:6" ht="12.75">
      <c r="A455" s="102"/>
      <c r="B455" s="128" t="s">
        <v>109</v>
      </c>
      <c r="C455" s="129"/>
      <c r="D455" s="130">
        <f>D395+D349+D290+D245+D144</f>
        <v>0</v>
      </c>
      <c r="E455" s="128" t="s">
        <v>113</v>
      </c>
      <c r="F455" s="131">
        <f>F398+F352+F293+F248+F144</f>
        <v>31000000</v>
      </c>
    </row>
    <row r="456" spans="1:6" ht="12.75">
      <c r="A456" s="102"/>
      <c r="B456" s="128" t="s">
        <v>23</v>
      </c>
      <c r="C456" s="129"/>
      <c r="D456" s="130">
        <f>D396++D350+D291+D246+D145</f>
        <v>98027000</v>
      </c>
      <c r="E456" s="128" t="s">
        <v>332</v>
      </c>
      <c r="F456" s="131">
        <f>F399+F353+F294+F249+F145</f>
        <v>113976000</v>
      </c>
    </row>
    <row r="457" spans="1:6" ht="13.5" thickBot="1">
      <c r="A457" s="102"/>
      <c r="B457" s="132"/>
      <c r="C457" s="133"/>
      <c r="D457" s="134"/>
      <c r="E457" s="132" t="s">
        <v>115</v>
      </c>
      <c r="F457" s="135">
        <f>F400+F354+F295+F250+F146</f>
        <v>39605000</v>
      </c>
    </row>
    <row r="458" spans="1:6" ht="13.5" thickBot="1">
      <c r="A458" s="102"/>
      <c r="B458" s="136" t="s">
        <v>116</v>
      </c>
      <c r="C458" s="137"/>
      <c r="D458" s="138">
        <f>SUM(D450:D457)</f>
        <v>1521682000</v>
      </c>
      <c r="E458" s="136" t="s">
        <v>116</v>
      </c>
      <c r="F458" s="138">
        <f>SUM(F450:F457)</f>
        <v>1353800000</v>
      </c>
    </row>
    <row r="459" spans="1:6" ht="12.75">
      <c r="A459" s="102"/>
      <c r="B459" s="108"/>
      <c r="C459" s="108"/>
      <c r="D459" s="244"/>
      <c r="E459" s="108"/>
      <c r="F459" s="244">
        <f>F149+F254+F298+F403+F358</f>
        <v>-167882000</v>
      </c>
    </row>
    <row r="460" spans="1:6" ht="20.25" customHeight="1" thickBot="1">
      <c r="A460" s="597" t="s">
        <v>178</v>
      </c>
      <c r="B460" s="597"/>
      <c r="C460" s="597"/>
      <c r="D460" s="597"/>
      <c r="E460" s="597"/>
      <c r="F460" s="597"/>
    </row>
    <row r="461" spans="1:6" ht="12.75">
      <c r="A461" s="65"/>
      <c r="B461" s="89" t="s">
        <v>105</v>
      </c>
      <c r="C461" s="73"/>
      <c r="D461" s="90">
        <f>D416+D370+D326+D268+D216</f>
        <v>41051000</v>
      </c>
      <c r="E461" s="89" t="s">
        <v>106</v>
      </c>
      <c r="F461" s="74">
        <f aca="true" t="shared" si="0" ref="F461:F466">F416+F370+F326+F268+F216</f>
        <v>26116000</v>
      </c>
    </row>
    <row r="462" spans="1:6" ht="12.75">
      <c r="A462" s="65"/>
      <c r="B462" s="91" t="s">
        <v>107</v>
      </c>
      <c r="C462" s="92"/>
      <c r="D462" s="93">
        <f>D417+D371+D327+D269+D217</f>
        <v>2021000</v>
      </c>
      <c r="E462" s="91" t="s">
        <v>108</v>
      </c>
      <c r="F462" s="94">
        <f t="shared" si="0"/>
        <v>7449000</v>
      </c>
    </row>
    <row r="463" spans="1:6" ht="12.75">
      <c r="A463" s="65"/>
      <c r="B463" s="91" t="s">
        <v>109</v>
      </c>
      <c r="C463" s="92"/>
      <c r="D463" s="93">
        <f>D418+D372+D328+D270+D218</f>
        <v>11359000</v>
      </c>
      <c r="E463" s="91" t="s">
        <v>110</v>
      </c>
      <c r="F463" s="94">
        <f t="shared" si="0"/>
        <v>75492000</v>
      </c>
    </row>
    <row r="464" spans="1:6" ht="12.75">
      <c r="A464" s="65"/>
      <c r="B464" s="91" t="s">
        <v>23</v>
      </c>
      <c r="C464" s="92"/>
      <c r="D464" s="93">
        <f>D419+D373+D329+D271+D219</f>
        <v>0</v>
      </c>
      <c r="E464" s="91" t="s">
        <v>111</v>
      </c>
      <c r="F464" s="94">
        <f t="shared" si="0"/>
        <v>0</v>
      </c>
    </row>
    <row r="465" spans="1:6" ht="12.75">
      <c r="A465" s="65"/>
      <c r="B465" s="91"/>
      <c r="C465" s="92"/>
      <c r="D465" s="93"/>
      <c r="E465" s="91" t="s">
        <v>112</v>
      </c>
      <c r="F465" s="94">
        <f t="shared" si="0"/>
        <v>13052000</v>
      </c>
    </row>
    <row r="466" spans="1:6" ht="12.75">
      <c r="A466" s="65"/>
      <c r="B466" s="91"/>
      <c r="C466" s="92"/>
      <c r="D466" s="93"/>
      <c r="E466" s="91" t="s">
        <v>113</v>
      </c>
      <c r="F466" s="94">
        <f t="shared" si="0"/>
        <v>1300000</v>
      </c>
    </row>
    <row r="467" spans="1:6" ht="12.75">
      <c r="A467" s="65"/>
      <c r="B467" s="91"/>
      <c r="C467" s="92"/>
      <c r="D467" s="93"/>
      <c r="E467" s="91" t="s">
        <v>114</v>
      </c>
      <c r="F467" s="94"/>
    </row>
    <row r="468" spans="1:6" ht="13.5" thickBot="1">
      <c r="A468" s="65"/>
      <c r="B468" s="95"/>
      <c r="C468" s="96"/>
      <c r="D468" s="97"/>
      <c r="E468" s="95" t="s">
        <v>115</v>
      </c>
      <c r="F468" s="98">
        <f>F423+F377+F333+F275+F223</f>
        <v>0</v>
      </c>
    </row>
    <row r="469" spans="1:6" ht="13.5" thickBot="1">
      <c r="A469" s="65"/>
      <c r="B469" s="99" t="s">
        <v>116</v>
      </c>
      <c r="C469" s="100"/>
      <c r="D469" s="101">
        <f>SUM(D461:D468)</f>
        <v>54431000</v>
      </c>
      <c r="E469" s="99" t="s">
        <v>116</v>
      </c>
      <c r="F469" s="101">
        <f>SUM(F461:F468)</f>
        <v>123409000</v>
      </c>
    </row>
    <row r="470" spans="1:6" ht="12.75">
      <c r="A470" s="65"/>
      <c r="B470" s="66"/>
      <c r="C470" s="66"/>
      <c r="D470" s="67"/>
      <c r="E470" s="66"/>
      <c r="F470" s="67">
        <f>F226+F277+F336+F379+F425</f>
        <v>68978000</v>
      </c>
    </row>
    <row r="471" spans="1:6" ht="18" customHeight="1" thickBot="1">
      <c r="A471" s="596" t="s">
        <v>179</v>
      </c>
      <c r="B471" s="596"/>
      <c r="C471" s="596"/>
      <c r="D471" s="596"/>
      <c r="E471" s="596"/>
      <c r="F471" s="596"/>
    </row>
    <row r="472" spans="1:6" ht="12.75">
      <c r="A472" s="207"/>
      <c r="B472" s="231" t="s">
        <v>105</v>
      </c>
      <c r="C472" s="215"/>
      <c r="D472" s="232">
        <f>D437</f>
        <v>0</v>
      </c>
      <c r="E472" s="231" t="s">
        <v>106</v>
      </c>
      <c r="F472" s="216">
        <f>F437</f>
        <v>59268000</v>
      </c>
    </row>
    <row r="473" spans="1:6" ht="12.75">
      <c r="A473" s="207"/>
      <c r="B473" s="233" t="s">
        <v>107</v>
      </c>
      <c r="C473" s="234"/>
      <c r="D473" s="235">
        <v>0</v>
      </c>
      <c r="E473" s="233" t="s">
        <v>108</v>
      </c>
      <c r="F473" s="236">
        <f>F438</f>
        <v>17536000</v>
      </c>
    </row>
    <row r="474" spans="1:6" ht="12.75">
      <c r="A474" s="207"/>
      <c r="B474" s="233" t="s">
        <v>109</v>
      </c>
      <c r="C474" s="234"/>
      <c r="D474" s="235">
        <f>0</f>
        <v>0</v>
      </c>
      <c r="E474" s="233" t="s">
        <v>110</v>
      </c>
      <c r="F474" s="236">
        <f>F439</f>
        <v>22100000</v>
      </c>
    </row>
    <row r="475" spans="1:6" ht="12.75">
      <c r="A475" s="207"/>
      <c r="B475" s="233" t="s">
        <v>23</v>
      </c>
      <c r="C475" s="234"/>
      <c r="D475" s="235">
        <f>0</f>
        <v>0</v>
      </c>
      <c r="E475" s="233" t="s">
        <v>111</v>
      </c>
      <c r="F475" s="236">
        <f>0</f>
        <v>0</v>
      </c>
    </row>
    <row r="476" spans="1:6" ht="12.75">
      <c r="A476" s="207"/>
      <c r="B476" s="233"/>
      <c r="C476" s="234"/>
      <c r="D476" s="235"/>
      <c r="E476" s="233" t="s">
        <v>112</v>
      </c>
      <c r="F476" s="236">
        <v>0</v>
      </c>
    </row>
    <row r="477" spans="1:6" ht="12.75">
      <c r="A477" s="207"/>
      <c r="B477" s="233"/>
      <c r="C477" s="234"/>
      <c r="D477" s="235"/>
      <c r="E477" s="233" t="s">
        <v>113</v>
      </c>
      <c r="F477" s="236">
        <v>0</v>
      </c>
    </row>
    <row r="478" spans="1:6" ht="12.75">
      <c r="A478" s="207"/>
      <c r="B478" s="233"/>
      <c r="C478" s="234"/>
      <c r="D478" s="235"/>
      <c r="E478" s="233" t="s">
        <v>114</v>
      </c>
      <c r="F478" s="236"/>
    </row>
    <row r="479" spans="1:6" ht="13.5" thickBot="1">
      <c r="A479" s="207"/>
      <c r="B479" s="237"/>
      <c r="C479" s="238"/>
      <c r="D479" s="239"/>
      <c r="E479" s="237" t="s">
        <v>115</v>
      </c>
      <c r="F479" s="240">
        <v>0</v>
      </c>
    </row>
    <row r="480" spans="1:6" ht="13.5" thickBot="1">
      <c r="A480" s="207"/>
      <c r="B480" s="241" t="s">
        <v>116</v>
      </c>
      <c r="C480" s="242"/>
      <c r="D480" s="243">
        <f>SUM(D472:D479)</f>
        <v>0</v>
      </c>
      <c r="E480" s="241" t="s">
        <v>116</v>
      </c>
      <c r="F480" s="243">
        <f>SUM(F472:F479)</f>
        <v>98904000</v>
      </c>
    </row>
    <row r="481" spans="1:6" ht="12.75">
      <c r="A481" s="207"/>
      <c r="B481" s="208"/>
      <c r="C481" s="208"/>
      <c r="D481" s="209"/>
      <c r="E481" s="208"/>
      <c r="F481" s="209">
        <f>F447</f>
        <v>98904000</v>
      </c>
    </row>
    <row r="482" ht="13.5" thickBot="1"/>
    <row r="483" spans="2:6" s="423" customFormat="1" ht="25.5" customHeight="1" thickBot="1">
      <c r="B483" s="424" t="s">
        <v>299</v>
      </c>
      <c r="C483" s="425"/>
      <c r="D483" s="426">
        <f>D458+D469+D480</f>
        <v>1576113000</v>
      </c>
      <c r="E483" s="427"/>
      <c r="F483" s="426">
        <f>F458+F469+F480</f>
        <v>1576113000</v>
      </c>
    </row>
  </sheetData>
  <sheetProtection/>
  <mergeCells count="62">
    <mergeCell ref="C5:D5"/>
    <mergeCell ref="E5:F5"/>
    <mergeCell ref="B149:D149"/>
    <mergeCell ref="A151:A152"/>
    <mergeCell ref="B151:B152"/>
    <mergeCell ref="C151:D151"/>
    <mergeCell ref="B150:D150"/>
    <mergeCell ref="B2:F2"/>
    <mergeCell ref="B4:D4"/>
    <mergeCell ref="B228:D228"/>
    <mergeCell ref="A230:A231"/>
    <mergeCell ref="B230:B231"/>
    <mergeCell ref="C230:D230"/>
    <mergeCell ref="E230:F230"/>
    <mergeCell ref="E151:F151"/>
    <mergeCell ref="A5:A6"/>
    <mergeCell ref="B5:B6"/>
    <mergeCell ref="B256:D256"/>
    <mergeCell ref="A258:A259"/>
    <mergeCell ref="B258:B259"/>
    <mergeCell ref="C258:D258"/>
    <mergeCell ref="E258:F258"/>
    <mergeCell ref="B278:D278"/>
    <mergeCell ref="A280:A281"/>
    <mergeCell ref="B280:B281"/>
    <mergeCell ref="C280:D280"/>
    <mergeCell ref="E280:F280"/>
    <mergeCell ref="B300:D300"/>
    <mergeCell ref="A302:A303"/>
    <mergeCell ref="B302:B303"/>
    <mergeCell ref="C302:D302"/>
    <mergeCell ref="E302:F302"/>
    <mergeCell ref="B337:D337"/>
    <mergeCell ref="A339:A340"/>
    <mergeCell ref="B339:B340"/>
    <mergeCell ref="C339:D339"/>
    <mergeCell ref="E339:F339"/>
    <mergeCell ref="B360:D360"/>
    <mergeCell ref="A362:A363"/>
    <mergeCell ref="B362:B363"/>
    <mergeCell ref="C362:D362"/>
    <mergeCell ref="E362:F362"/>
    <mergeCell ref="B381:D381"/>
    <mergeCell ref="A383:A384"/>
    <mergeCell ref="B383:B384"/>
    <mergeCell ref="C383:D383"/>
    <mergeCell ref="E383:F383"/>
    <mergeCell ref="E429:F429"/>
    <mergeCell ref="B405:D405"/>
    <mergeCell ref="A407:A408"/>
    <mergeCell ref="B407:B408"/>
    <mergeCell ref="C407:D407"/>
    <mergeCell ref="A1:C1"/>
    <mergeCell ref="B341:C341"/>
    <mergeCell ref="A471:F471"/>
    <mergeCell ref="A460:F460"/>
    <mergeCell ref="A449:F449"/>
    <mergeCell ref="E407:F407"/>
    <mergeCell ref="B427:D427"/>
    <mergeCell ref="A429:A430"/>
    <mergeCell ref="B429:B430"/>
    <mergeCell ref="C429:D429"/>
  </mergeCells>
  <printOptions/>
  <pageMargins left="0.3937007874015748" right="0.3937007874015748" top="0.4" bottom="0.37" header="0.17" footer="0.17"/>
  <pageSetup horizontalDpi="600" verticalDpi="600" orientation="landscape" paperSize="9" scale="83" r:id="rId1"/>
  <rowBreaks count="10" manualBreakCount="10">
    <brk id="36" max="255" man="1"/>
    <brk id="74" max="255" man="1"/>
    <brk id="108" max="5" man="1"/>
    <brk id="149" max="255" man="1"/>
    <brk id="186" max="255" man="1"/>
    <brk id="226" max="255" man="1"/>
    <brk id="277" max="255" man="1"/>
    <brk id="336" max="255" man="1"/>
    <brk id="380" max="255" man="1"/>
    <brk id="4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.75390625" style="27" customWidth="1"/>
    <col min="2" max="2" width="27.875" style="27" customWidth="1"/>
    <col min="3" max="3" width="10.25390625" style="27" customWidth="1"/>
    <col min="4" max="4" width="11.00390625" style="27" customWidth="1"/>
    <col min="5" max="5" width="11.00390625" style="2" customWidth="1"/>
    <col min="6" max="6" width="11.00390625" style="27" customWidth="1"/>
    <col min="7" max="8" width="11.00390625" style="2" customWidth="1"/>
    <col min="9" max="9" width="11.125" style="27" customWidth="1"/>
    <col min="10" max="10" width="12.75390625" style="27" customWidth="1"/>
    <col min="11" max="11" width="13.75390625" style="27" customWidth="1"/>
    <col min="12" max="16384" width="9.125" style="27" customWidth="1"/>
  </cols>
  <sheetData>
    <row r="1" spans="1:8" ht="13.5">
      <c r="A1" s="593" t="s">
        <v>376</v>
      </c>
      <c r="B1" s="593"/>
      <c r="C1" s="593"/>
      <c r="D1" s="593"/>
      <c r="E1" s="3"/>
      <c r="F1" s="3"/>
      <c r="G1" s="3"/>
      <c r="H1" s="3"/>
    </row>
    <row r="2" spans="2:13" ht="12.75">
      <c r="B2" s="620" t="s">
        <v>18</v>
      </c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</row>
    <row r="3" spans="2:13" ht="12.75" customHeight="1">
      <c r="B3" s="620" t="s">
        <v>130</v>
      </c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</row>
    <row r="4" ht="12.75" customHeight="1">
      <c r="B4" s="28"/>
    </row>
    <row r="5" spans="2:9" s="32" customFormat="1" ht="24.75" customHeight="1">
      <c r="B5" s="31"/>
      <c r="C5" s="35">
        <v>2015</v>
      </c>
      <c r="D5" s="39">
        <v>2016</v>
      </c>
      <c r="E5" s="39">
        <v>2017</v>
      </c>
      <c r="F5" s="39">
        <v>2018</v>
      </c>
      <c r="G5" s="39">
        <v>2019</v>
      </c>
      <c r="H5" s="36" t="s">
        <v>375</v>
      </c>
      <c r="I5" s="35" t="s">
        <v>13</v>
      </c>
    </row>
    <row r="6" spans="1:9" ht="21" customHeight="1">
      <c r="A6" s="32" t="s">
        <v>3</v>
      </c>
      <c r="B6" s="34" t="s">
        <v>22</v>
      </c>
      <c r="C6" s="28">
        <f>52095+9908</f>
        <v>62003</v>
      </c>
      <c r="D6" s="3"/>
      <c r="E6" s="3"/>
      <c r="F6" s="3"/>
      <c r="G6" s="3"/>
      <c r="H6" s="28"/>
      <c r="I6" s="31">
        <f aca="true" t="shared" si="0" ref="I6:I11">H6+C6+E6+D6</f>
        <v>62003</v>
      </c>
    </row>
    <row r="7" spans="1:9" ht="28.5" customHeight="1">
      <c r="A7" s="32" t="s">
        <v>4</v>
      </c>
      <c r="B7" s="30" t="s">
        <v>129</v>
      </c>
      <c r="C7" s="28">
        <f>33022+8323</f>
        <v>41345</v>
      </c>
      <c r="D7" s="3"/>
      <c r="E7" s="3"/>
      <c r="F7" s="3"/>
      <c r="G7" s="3"/>
      <c r="H7" s="28"/>
      <c r="I7" s="31">
        <f t="shared" si="0"/>
        <v>41345</v>
      </c>
    </row>
    <row r="8" spans="1:9" ht="28.5" customHeight="1">
      <c r="A8" s="32" t="s">
        <v>5</v>
      </c>
      <c r="B8" s="30" t="s">
        <v>295</v>
      </c>
      <c r="C8" s="28">
        <v>16652</v>
      </c>
      <c r="D8" s="3"/>
      <c r="E8" s="3"/>
      <c r="F8" s="3"/>
      <c r="G8" s="3"/>
      <c r="H8" s="28"/>
      <c r="I8" s="31">
        <f t="shared" si="0"/>
        <v>16652</v>
      </c>
    </row>
    <row r="9" spans="1:9" ht="28.5" customHeight="1">
      <c r="A9" s="32" t="s">
        <v>6</v>
      </c>
      <c r="B9" s="30" t="s">
        <v>372</v>
      </c>
      <c r="C9" s="28">
        <v>381</v>
      </c>
      <c r="D9" s="3"/>
      <c r="E9" s="3"/>
      <c r="F9" s="3"/>
      <c r="G9" s="3"/>
      <c r="H9" s="28"/>
      <c r="I9" s="31">
        <f t="shared" si="0"/>
        <v>381</v>
      </c>
    </row>
    <row r="10" spans="1:9" ht="28.5" customHeight="1">
      <c r="A10" s="32" t="s">
        <v>297</v>
      </c>
      <c r="B10" s="30" t="s">
        <v>373</v>
      </c>
      <c r="C10" s="28">
        <v>12703</v>
      </c>
      <c r="D10" s="3"/>
      <c r="E10" s="3"/>
      <c r="F10" s="3"/>
      <c r="G10" s="3"/>
      <c r="H10" s="28"/>
      <c r="I10" s="31">
        <f t="shared" si="0"/>
        <v>12703</v>
      </c>
    </row>
    <row r="11" spans="1:9" ht="28.5" customHeight="1">
      <c r="A11" s="32" t="s">
        <v>298</v>
      </c>
      <c r="B11" s="30" t="s">
        <v>310</v>
      </c>
      <c r="C11" s="28">
        <v>142562</v>
      </c>
      <c r="D11" s="3"/>
      <c r="E11" s="3"/>
      <c r="F11" s="3"/>
      <c r="G11" s="3"/>
      <c r="H11" s="28"/>
      <c r="I11" s="31">
        <f t="shared" si="0"/>
        <v>142562</v>
      </c>
    </row>
    <row r="12" spans="2:9" s="32" customFormat="1" ht="21.75" customHeight="1">
      <c r="B12" s="31" t="s">
        <v>2</v>
      </c>
      <c r="C12" s="31">
        <f>SUM(C6:C11)</f>
        <v>275646</v>
      </c>
      <c r="D12" s="31">
        <f aca="true" t="shared" si="1" ref="D12:I12">SUM(D6:D11)</f>
        <v>0</v>
      </c>
      <c r="E12" s="31">
        <f t="shared" si="1"/>
        <v>0</v>
      </c>
      <c r="F12" s="31">
        <f>SUM(F6:F11)</f>
        <v>0</v>
      </c>
      <c r="G12" s="31">
        <f>SUM(G6:G11)</f>
        <v>0</v>
      </c>
      <c r="H12" s="31">
        <f t="shared" si="1"/>
        <v>0</v>
      </c>
      <c r="I12" s="31">
        <f t="shared" si="1"/>
        <v>275646</v>
      </c>
    </row>
    <row r="13" spans="3:10" ht="12.75">
      <c r="C13" s="28"/>
      <c r="D13" s="28"/>
      <c r="E13" s="3"/>
      <c r="F13" s="28"/>
      <c r="G13" s="3"/>
      <c r="H13" s="3"/>
      <c r="I13" s="28"/>
      <c r="J13" s="28"/>
    </row>
    <row r="14" spans="2:10" ht="12.75">
      <c r="B14" s="622" t="s">
        <v>374</v>
      </c>
      <c r="C14" s="623"/>
      <c r="D14" s="623"/>
      <c r="E14" s="623"/>
      <c r="F14" s="623"/>
      <c r="G14" s="623"/>
      <c r="H14" s="623"/>
      <c r="I14" s="623"/>
      <c r="J14" s="623"/>
    </row>
    <row r="15" spans="2:10" ht="12.75">
      <c r="B15" s="623"/>
      <c r="C15" s="623"/>
      <c r="D15" s="623"/>
      <c r="E15" s="623"/>
      <c r="F15" s="623"/>
      <c r="G15" s="623"/>
      <c r="H15" s="623"/>
      <c r="I15" s="623"/>
      <c r="J15" s="623"/>
    </row>
  </sheetData>
  <sheetProtection/>
  <mergeCells count="4">
    <mergeCell ref="B2:M2"/>
    <mergeCell ref="B3:M3"/>
    <mergeCell ref="B14:J15"/>
    <mergeCell ref="A1:D1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SheetLayoutView="100" workbookViewId="0" topLeftCell="A19">
      <selection activeCell="A17" sqref="A17"/>
    </sheetView>
  </sheetViews>
  <sheetFormatPr defaultColWidth="9.00390625" defaultRowHeight="12.75"/>
  <cols>
    <col min="1" max="1" width="27.625" style="48" customWidth="1"/>
    <col min="2" max="2" width="8.25390625" style="28" customWidth="1"/>
    <col min="3" max="3" width="9.75390625" style="28" customWidth="1"/>
    <col min="4" max="4" width="8.625" style="28" customWidth="1"/>
    <col min="5" max="5" width="10.875" style="28" customWidth="1"/>
    <col min="6" max="6" width="10.375" style="28" bestFit="1" customWidth="1"/>
    <col min="7" max="16384" width="9.125" style="27" customWidth="1"/>
  </cols>
  <sheetData>
    <row r="1" spans="1:4" ht="13.5">
      <c r="A1" s="593" t="s">
        <v>377</v>
      </c>
      <c r="B1" s="593"/>
      <c r="C1" s="593"/>
      <c r="D1" s="593"/>
    </row>
    <row r="2" spans="1:7" ht="13.5">
      <c r="A2" s="628" t="s">
        <v>18</v>
      </c>
      <c r="B2" s="629"/>
      <c r="C2" s="629"/>
      <c r="D2" s="629"/>
      <c r="E2" s="629"/>
      <c r="F2" s="629"/>
      <c r="G2" s="629"/>
    </row>
    <row r="3" spans="1:7" ht="12.75">
      <c r="A3" s="626" t="s">
        <v>131</v>
      </c>
      <c r="B3" s="626"/>
      <c r="C3" s="626"/>
      <c r="D3" s="626"/>
      <c r="E3" s="627"/>
      <c r="F3" s="627"/>
      <c r="G3" s="627"/>
    </row>
    <row r="4" spans="1:5" ht="12.75">
      <c r="A4" s="50"/>
      <c r="B4" s="625" t="s">
        <v>378</v>
      </c>
      <c r="C4" s="625"/>
      <c r="D4" s="625"/>
      <c r="E4" s="53"/>
    </row>
    <row r="5" spans="1:5" ht="12.75">
      <c r="A5" s="50"/>
      <c r="B5" s="52"/>
      <c r="C5" s="52"/>
      <c r="D5" s="52"/>
      <c r="E5" s="53"/>
    </row>
    <row r="6" spans="1:7" ht="13.5">
      <c r="A6" s="631" t="s">
        <v>132</v>
      </c>
      <c r="B6" s="632"/>
      <c r="C6" s="632"/>
      <c r="D6" s="632"/>
      <c r="E6" s="632"/>
      <c r="F6" s="632"/>
      <c r="G6" s="632"/>
    </row>
    <row r="7" spans="1:5" ht="26.25" customHeight="1">
      <c r="A7" s="633" t="s">
        <v>180</v>
      </c>
      <c r="B7" s="627"/>
      <c r="C7" s="627"/>
      <c r="D7" s="627"/>
      <c r="E7" s="9">
        <v>126296</v>
      </c>
    </row>
    <row r="8" spans="1:5" ht="12.75">
      <c r="A8" s="50" t="s">
        <v>133</v>
      </c>
      <c r="B8" s="52"/>
      <c r="C8" s="52"/>
      <c r="D8" s="52"/>
      <c r="E8" s="33">
        <v>38773</v>
      </c>
    </row>
    <row r="9" spans="1:5" ht="12.75">
      <c r="A9" s="49" t="s">
        <v>134</v>
      </c>
      <c r="B9" s="52"/>
      <c r="C9" s="52"/>
      <c r="D9" s="52"/>
      <c r="E9" s="53">
        <f>E7-E8</f>
        <v>87523</v>
      </c>
    </row>
    <row r="10" spans="1:5" ht="12.75">
      <c r="A10" s="50"/>
      <c r="B10" s="52"/>
      <c r="C10" s="52"/>
      <c r="D10" s="52"/>
      <c r="E10" s="53"/>
    </row>
    <row r="11" spans="1:6" s="29" customFormat="1" ht="25.5">
      <c r="A11" s="49" t="s">
        <v>135</v>
      </c>
      <c r="B11" s="52"/>
      <c r="C11" s="52"/>
      <c r="D11" s="52"/>
      <c r="E11" s="6">
        <v>1000</v>
      </c>
      <c r="F11" s="56"/>
    </row>
    <row r="12" spans="1:5" ht="12.75">
      <c r="A12" s="50"/>
      <c r="B12" s="52"/>
      <c r="C12" s="52"/>
      <c r="D12" s="52"/>
      <c r="E12" s="53"/>
    </row>
    <row r="13" spans="1:5" ht="13.5">
      <c r="A13" s="631" t="s">
        <v>136</v>
      </c>
      <c r="B13" s="632"/>
      <c r="C13" s="51"/>
      <c r="D13" s="51"/>
      <c r="E13" s="31">
        <f>E8+E11</f>
        <v>39773</v>
      </c>
    </row>
    <row r="14" spans="1:5" ht="13.5">
      <c r="A14" s="54"/>
      <c r="B14" s="55"/>
      <c r="C14" s="51"/>
      <c r="D14" s="51"/>
      <c r="E14" s="31"/>
    </row>
    <row r="15" spans="1:7" ht="13.5">
      <c r="A15" s="631" t="s">
        <v>137</v>
      </c>
      <c r="B15" s="627"/>
      <c r="C15" s="627"/>
      <c r="D15" s="627"/>
      <c r="E15" s="627"/>
      <c r="F15" s="627"/>
      <c r="G15" s="627"/>
    </row>
    <row r="16" spans="1:7" ht="12.75">
      <c r="A16" s="634" t="s">
        <v>381</v>
      </c>
      <c r="B16" s="627"/>
      <c r="C16" s="627"/>
      <c r="D16" s="627"/>
      <c r="E16" s="627"/>
      <c r="F16" s="627"/>
      <c r="G16" s="627"/>
    </row>
    <row r="17" spans="1:5" ht="12.75">
      <c r="A17" s="50"/>
      <c r="B17" s="52"/>
      <c r="C17" s="52"/>
      <c r="D17" s="52"/>
      <c r="E17" s="53"/>
    </row>
    <row r="18" spans="1:7" s="29" customFormat="1" ht="13.5">
      <c r="A18" s="631" t="s">
        <v>138</v>
      </c>
      <c r="B18" s="632"/>
      <c r="C18" s="632"/>
      <c r="D18" s="632"/>
      <c r="E18" s="632"/>
      <c r="F18" s="632"/>
      <c r="G18" s="632"/>
    </row>
    <row r="19" spans="1:5" ht="12.75">
      <c r="A19" s="49" t="s">
        <v>20</v>
      </c>
      <c r="B19" s="57"/>
      <c r="C19" s="57"/>
      <c r="D19" s="57"/>
      <c r="E19" s="3">
        <v>48453</v>
      </c>
    </row>
    <row r="20" spans="1:6" s="62" customFormat="1" ht="12.75">
      <c r="A20" s="59" t="s">
        <v>133</v>
      </c>
      <c r="B20" s="60"/>
      <c r="C20" s="60"/>
      <c r="D20" s="60"/>
      <c r="E20" s="14">
        <v>6789</v>
      </c>
      <c r="F20" s="61"/>
    </row>
    <row r="21" spans="1:6" s="29" customFormat="1" ht="12.75">
      <c r="A21" s="49" t="s">
        <v>134</v>
      </c>
      <c r="B21" s="58"/>
      <c r="C21" s="58"/>
      <c r="D21" s="58"/>
      <c r="E21" s="7">
        <f>E19-E20</f>
        <v>41664</v>
      </c>
      <c r="F21" s="56"/>
    </row>
    <row r="22" spans="1:5" ht="6.75" customHeight="1">
      <c r="A22" s="50"/>
      <c r="B22" s="57"/>
      <c r="C22" s="57"/>
      <c r="D22" s="57"/>
      <c r="E22" s="3"/>
    </row>
    <row r="23" spans="1:5" ht="12.75">
      <c r="A23" s="49" t="s">
        <v>139</v>
      </c>
      <c r="B23" s="57"/>
      <c r="C23" s="57"/>
      <c r="D23" s="57"/>
      <c r="E23" s="3">
        <v>78317</v>
      </c>
    </row>
    <row r="24" spans="1:5" ht="12.75">
      <c r="A24" s="50" t="s">
        <v>140</v>
      </c>
      <c r="B24" s="57"/>
      <c r="C24" s="57"/>
      <c r="D24" s="57"/>
      <c r="E24" s="3">
        <v>2343</v>
      </c>
    </row>
    <row r="25" spans="1:5" ht="12.75">
      <c r="A25" s="50" t="s">
        <v>141</v>
      </c>
      <c r="B25" s="57"/>
      <c r="C25" s="57"/>
      <c r="D25" s="57"/>
      <c r="E25" s="3">
        <v>2607</v>
      </c>
    </row>
    <row r="26" spans="1:6" s="32" customFormat="1" ht="13.5">
      <c r="A26" s="49" t="s">
        <v>134</v>
      </c>
      <c r="B26" s="63"/>
      <c r="C26" s="63"/>
      <c r="D26" s="63"/>
      <c r="E26" s="10">
        <f>E23-E24-E25</f>
        <v>73367</v>
      </c>
      <c r="F26" s="31"/>
    </row>
    <row r="27" spans="1:4" ht="12.75">
      <c r="A27" s="50"/>
      <c r="B27" s="51"/>
      <c r="C27" s="51"/>
      <c r="D27" s="51"/>
    </row>
    <row r="28" spans="1:5" ht="28.5" customHeight="1">
      <c r="A28" s="624" t="s">
        <v>379</v>
      </c>
      <c r="B28" s="624"/>
      <c r="C28" s="624"/>
      <c r="D28" s="624"/>
      <c r="E28" s="31">
        <f>E20+(E24+E25)*0.4</f>
        <v>8769</v>
      </c>
    </row>
    <row r="29" spans="1:4" ht="12.75">
      <c r="A29" s="50"/>
      <c r="B29" s="51"/>
      <c r="C29" s="51"/>
      <c r="D29" s="51"/>
    </row>
    <row r="30" spans="1:7" ht="13.5">
      <c r="A30" s="630" t="s">
        <v>142</v>
      </c>
      <c r="B30" s="627"/>
      <c r="C30" s="627"/>
      <c r="D30" s="627"/>
      <c r="E30" s="627"/>
      <c r="F30" s="627"/>
      <c r="G30" s="627"/>
    </row>
    <row r="31" spans="1:4" ht="27" customHeight="1">
      <c r="A31" s="635" t="s">
        <v>143</v>
      </c>
      <c r="B31" s="627"/>
      <c r="C31" s="627"/>
      <c r="D31" s="51"/>
    </row>
    <row r="32" spans="1:5" ht="12.75">
      <c r="A32" s="635" t="s">
        <v>380</v>
      </c>
      <c r="B32" s="627"/>
      <c r="C32" s="627"/>
      <c r="D32" s="627"/>
      <c r="E32" s="3">
        <v>23440</v>
      </c>
    </row>
    <row r="33" spans="1:4" ht="12.75">
      <c r="A33" s="50"/>
      <c r="B33" s="51"/>
      <c r="C33" s="51"/>
      <c r="D33" s="51"/>
    </row>
    <row r="34" spans="1:5" ht="13.5">
      <c r="A34" s="631" t="s">
        <v>136</v>
      </c>
      <c r="B34" s="632"/>
      <c r="C34" s="51"/>
      <c r="D34" s="51"/>
      <c r="E34" s="31">
        <f>E32</f>
        <v>23440</v>
      </c>
    </row>
    <row r="35" spans="1:4" ht="12.75">
      <c r="A35" s="50"/>
      <c r="B35" s="51"/>
      <c r="C35" s="51"/>
      <c r="D35" s="51"/>
    </row>
    <row r="36" spans="1:7" ht="13.5">
      <c r="A36" s="631" t="s">
        <v>144</v>
      </c>
      <c r="B36" s="632"/>
      <c r="C36" s="632"/>
      <c r="D36" s="632"/>
      <c r="E36" s="632"/>
      <c r="F36" s="632"/>
      <c r="G36" s="632"/>
    </row>
    <row r="37" spans="1:5" ht="12.75">
      <c r="A37" s="635" t="s">
        <v>145</v>
      </c>
      <c r="B37" s="627"/>
      <c r="C37" s="627"/>
      <c r="D37" s="51"/>
      <c r="E37" s="28">
        <v>9000</v>
      </c>
    </row>
    <row r="38" spans="1:5" ht="12.75">
      <c r="A38" s="50" t="s">
        <v>133</v>
      </c>
      <c r="B38" s="57"/>
      <c r="C38" s="57"/>
      <c r="D38" s="57"/>
      <c r="E38" s="28">
        <v>100</v>
      </c>
    </row>
    <row r="39" spans="1:6" s="32" customFormat="1" ht="13.5">
      <c r="A39" s="49" t="s">
        <v>134</v>
      </c>
      <c r="B39" s="63"/>
      <c r="C39" s="63"/>
      <c r="D39" s="63"/>
      <c r="E39" s="56">
        <f>E37-E38</f>
        <v>8900</v>
      </c>
      <c r="F39" s="31"/>
    </row>
    <row r="40" spans="1:4" ht="12.75">
      <c r="A40" s="50"/>
      <c r="B40" s="51"/>
      <c r="C40" s="51"/>
      <c r="D40" s="51"/>
    </row>
    <row r="41" spans="1:5" ht="13.5">
      <c r="A41" s="631" t="s">
        <v>136</v>
      </c>
      <c r="B41" s="632"/>
      <c r="C41" s="51"/>
      <c r="D41" s="51"/>
      <c r="E41" s="31">
        <f>E38</f>
        <v>100</v>
      </c>
    </row>
    <row r="42" spans="1:4" ht="12.75">
      <c r="A42" s="50"/>
      <c r="B42" s="51"/>
      <c r="C42" s="51"/>
      <c r="D42" s="51"/>
    </row>
    <row r="43" spans="1:6" s="29" customFormat="1" ht="12.75">
      <c r="A43" s="636" t="s">
        <v>146</v>
      </c>
      <c r="B43" s="637"/>
      <c r="C43" s="637"/>
      <c r="D43" s="64"/>
      <c r="E43" s="56">
        <f>E41+E34+E28+E13</f>
        <v>72082</v>
      </c>
      <c r="F43" s="56"/>
    </row>
    <row r="44" spans="1:4" ht="12.75">
      <c r="A44" s="50"/>
      <c r="B44" s="51"/>
      <c r="C44" s="51"/>
      <c r="D44" s="51"/>
    </row>
  </sheetData>
  <sheetProtection/>
  <mergeCells count="19">
    <mergeCell ref="A37:C37"/>
    <mergeCell ref="A41:B41"/>
    <mergeCell ref="A43:C43"/>
    <mergeCell ref="A31:C31"/>
    <mergeCell ref="A32:D32"/>
    <mergeCell ref="A34:B34"/>
    <mergeCell ref="A36:G36"/>
    <mergeCell ref="A30:G30"/>
    <mergeCell ref="A18:G18"/>
    <mergeCell ref="A6:G6"/>
    <mergeCell ref="A7:D7"/>
    <mergeCell ref="A13:B13"/>
    <mergeCell ref="A15:G15"/>
    <mergeCell ref="A16:G16"/>
    <mergeCell ref="A1:D1"/>
    <mergeCell ref="A28:D28"/>
    <mergeCell ref="B4:D4"/>
    <mergeCell ref="A3:G3"/>
    <mergeCell ref="A2:G2"/>
  </mergeCells>
  <printOptions/>
  <pageMargins left="0.7874015748031497" right="0.7874015748031497" top="1.1023622047244095" bottom="1.1811023622047245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7">
      <selection activeCell="F16" sqref="F16"/>
    </sheetView>
  </sheetViews>
  <sheetFormatPr defaultColWidth="9.00390625" defaultRowHeight="12.75"/>
  <cols>
    <col min="1" max="1" width="27.875" style="450" customWidth="1"/>
    <col min="2" max="2" width="7.625" style="450" customWidth="1"/>
    <col min="3" max="3" width="7.875" style="450" customWidth="1"/>
    <col min="4" max="4" width="8.25390625" style="450" customWidth="1"/>
    <col min="5" max="6" width="7.375" style="450" customWidth="1"/>
    <col min="7" max="7" width="7.875" style="450" customWidth="1"/>
    <col min="8" max="8" width="7.25390625" style="450" customWidth="1"/>
    <col min="9" max="9" width="9.375" style="450" customWidth="1"/>
    <col min="10" max="10" width="10.625" style="450" customWidth="1"/>
    <col min="11" max="11" width="8.625" style="450" customWidth="1"/>
    <col min="12" max="12" width="9.75390625" style="450" customWidth="1"/>
    <col min="13" max="14" width="9.00390625" style="450" customWidth="1"/>
    <col min="15" max="15" width="10.875" style="450" bestFit="1" customWidth="1"/>
    <col min="16" max="16384" width="9.125" style="450" customWidth="1"/>
  </cols>
  <sheetData>
    <row r="1" ht="13.5">
      <c r="A1" s="248" t="s">
        <v>400</v>
      </c>
    </row>
    <row r="2" ht="13.5">
      <c r="A2" s="248"/>
    </row>
    <row r="3" spans="1:15" s="452" customFormat="1" ht="33" customHeight="1">
      <c r="A3" s="638" t="s">
        <v>401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451"/>
    </row>
    <row r="4" spans="14:15" s="453" customFormat="1" ht="9" customHeight="1">
      <c r="N4" s="454"/>
      <c r="O4" s="455"/>
    </row>
    <row r="5" spans="1:15" s="460" customFormat="1" ht="12.75">
      <c r="A5" s="456"/>
      <c r="B5" s="457" t="s">
        <v>383</v>
      </c>
      <c r="C5" s="457" t="s">
        <v>384</v>
      </c>
      <c r="D5" s="457" t="s">
        <v>385</v>
      </c>
      <c r="E5" s="457" t="s">
        <v>386</v>
      </c>
      <c r="F5" s="457" t="s">
        <v>387</v>
      </c>
      <c r="G5" s="457" t="s">
        <v>388</v>
      </c>
      <c r="H5" s="457" t="s">
        <v>389</v>
      </c>
      <c r="I5" s="457" t="s">
        <v>390</v>
      </c>
      <c r="J5" s="457" t="s">
        <v>391</v>
      </c>
      <c r="K5" s="457" t="s">
        <v>392</v>
      </c>
      <c r="L5" s="457" t="s">
        <v>393</v>
      </c>
      <c r="M5" s="457" t="s">
        <v>394</v>
      </c>
      <c r="N5" s="458" t="s">
        <v>13</v>
      </c>
      <c r="O5" s="459"/>
    </row>
    <row r="6" spans="1:15" s="453" customFormat="1" ht="12.75">
      <c r="A6" s="461" t="s">
        <v>402</v>
      </c>
      <c r="B6" s="462">
        <v>77376</v>
      </c>
      <c r="C6" s="462">
        <v>77376</v>
      </c>
      <c r="D6" s="462">
        <v>77376</v>
      </c>
      <c r="E6" s="462">
        <v>77376</v>
      </c>
      <c r="F6" s="462">
        <v>77376</v>
      </c>
      <c r="G6" s="462">
        <v>77376</v>
      </c>
      <c r="H6" s="462">
        <v>77376</v>
      </c>
      <c r="I6" s="462">
        <v>77376</v>
      </c>
      <c r="J6" s="462">
        <v>77376</v>
      </c>
      <c r="K6" s="462">
        <v>77376</v>
      </c>
      <c r="L6" s="462">
        <v>77376</v>
      </c>
      <c r="M6" s="462">
        <v>77410</v>
      </c>
      <c r="N6" s="463">
        <f aca="true" t="shared" si="0" ref="N6:N17">SUM(B6:M6)</f>
        <v>928546</v>
      </c>
      <c r="O6" s="455"/>
    </row>
    <row r="7" spans="1:15" s="453" customFormat="1" ht="12.75">
      <c r="A7" s="461" t="s">
        <v>404</v>
      </c>
      <c r="B7" s="465">
        <v>500</v>
      </c>
      <c r="C7" s="465">
        <v>500</v>
      </c>
      <c r="D7" s="462">
        <v>175000</v>
      </c>
      <c r="E7" s="462">
        <v>4500</v>
      </c>
      <c r="F7" s="462">
        <v>5000</v>
      </c>
      <c r="G7" s="462">
        <v>5000</v>
      </c>
      <c r="H7" s="462">
        <v>5000</v>
      </c>
      <c r="I7" s="462">
        <v>5000</v>
      </c>
      <c r="J7" s="462">
        <v>175000</v>
      </c>
      <c r="K7" s="462">
        <v>3900</v>
      </c>
      <c r="L7" s="462">
        <v>500</v>
      </c>
      <c r="M7" s="462">
        <v>15011</v>
      </c>
      <c r="N7" s="463">
        <f t="shared" si="0"/>
        <v>394911</v>
      </c>
      <c r="O7" s="455"/>
    </row>
    <row r="8" spans="1:15" s="453" customFormat="1" ht="15" customHeight="1">
      <c r="A8" s="466" t="s">
        <v>405</v>
      </c>
      <c r="B8" s="462">
        <v>11930</v>
      </c>
      <c r="C8" s="462">
        <v>11930</v>
      </c>
      <c r="D8" s="462">
        <v>11930</v>
      </c>
      <c r="E8" s="462">
        <v>11930</v>
      </c>
      <c r="F8" s="462">
        <v>11930</v>
      </c>
      <c r="G8" s="462">
        <v>11930</v>
      </c>
      <c r="H8" s="462">
        <v>11930</v>
      </c>
      <c r="I8" s="462">
        <v>11930</v>
      </c>
      <c r="J8" s="462">
        <v>11930</v>
      </c>
      <c r="K8" s="462">
        <v>11930</v>
      </c>
      <c r="L8" s="462">
        <v>11930</v>
      </c>
      <c r="M8" s="462">
        <v>12040</v>
      </c>
      <c r="N8" s="463">
        <f t="shared" si="0"/>
        <v>143270</v>
      </c>
      <c r="O8" s="455"/>
    </row>
    <row r="9" spans="1:15" s="453" customFormat="1" ht="12.75">
      <c r="A9" s="461" t="s">
        <v>413</v>
      </c>
      <c r="B9" s="464">
        <v>200</v>
      </c>
      <c r="C9" s="464">
        <v>500</v>
      </c>
      <c r="D9" s="464">
        <v>1000</v>
      </c>
      <c r="E9" s="464">
        <v>1000</v>
      </c>
      <c r="F9" s="464">
        <v>1000</v>
      </c>
      <c r="G9" s="464">
        <v>1000</v>
      </c>
      <c r="H9" s="464">
        <v>1000</v>
      </c>
      <c r="I9" s="464">
        <v>1000</v>
      </c>
      <c r="J9" s="464">
        <v>1000</v>
      </c>
      <c r="K9" s="464">
        <v>1000</v>
      </c>
      <c r="L9" s="464">
        <v>1000</v>
      </c>
      <c r="M9" s="464">
        <v>1659</v>
      </c>
      <c r="N9" s="463">
        <f>SUM(B9:M9)</f>
        <v>11359</v>
      </c>
      <c r="O9" s="455"/>
    </row>
    <row r="10" spans="1:15" s="453" customFormat="1" ht="12.75">
      <c r="A10" s="461" t="s">
        <v>406</v>
      </c>
      <c r="B10" s="464"/>
      <c r="C10" s="464"/>
      <c r="D10" s="464">
        <f>2177+2600</f>
        <v>4777</v>
      </c>
      <c r="E10" s="464"/>
      <c r="F10" s="464"/>
      <c r="G10" s="464"/>
      <c r="H10" s="464">
        <v>12434</v>
      </c>
      <c r="I10" s="464"/>
      <c r="J10" s="464"/>
      <c r="K10" s="464"/>
      <c r="L10" s="464"/>
      <c r="M10" s="464"/>
      <c r="N10" s="463">
        <f t="shared" si="0"/>
        <v>17211</v>
      </c>
      <c r="O10" s="455"/>
    </row>
    <row r="11" spans="1:15" s="453" customFormat="1" ht="12.75">
      <c r="A11" s="461" t="s">
        <v>403</v>
      </c>
      <c r="B11" s="462">
        <v>2000</v>
      </c>
      <c r="C11" s="462">
        <v>2000</v>
      </c>
      <c r="D11" s="462">
        <v>2000</v>
      </c>
      <c r="E11" s="462">
        <v>8465</v>
      </c>
      <c r="F11" s="462">
        <v>8465</v>
      </c>
      <c r="G11" s="462">
        <v>8465</v>
      </c>
      <c r="H11" s="462">
        <v>8465</v>
      </c>
      <c r="I11" s="462">
        <v>8465</v>
      </c>
      <c r="J11" s="462">
        <v>8465</v>
      </c>
      <c r="K11" s="462">
        <v>8465</v>
      </c>
      <c r="L11" s="462">
        <v>8465</v>
      </c>
      <c r="M11" s="462">
        <v>7629</v>
      </c>
      <c r="N11" s="463">
        <f t="shared" si="0"/>
        <v>81349</v>
      </c>
      <c r="O11" s="455"/>
    </row>
    <row r="12" spans="1:15" s="453" customFormat="1" ht="25.5">
      <c r="A12" s="466" t="s">
        <v>407</v>
      </c>
      <c r="B12" s="462">
        <v>1400</v>
      </c>
      <c r="C12" s="462">
        <v>1400</v>
      </c>
      <c r="D12" s="462">
        <f>1400+9769</f>
        <v>11169</v>
      </c>
      <c r="E12" s="462">
        <f>38481+1400</f>
        <v>39881</v>
      </c>
      <c r="F12" s="462">
        <v>1400</v>
      </c>
      <c r="G12" s="462">
        <v>1400</v>
      </c>
      <c r="H12" s="462">
        <v>1400</v>
      </c>
      <c r="I12" s="462">
        <v>1400</v>
      </c>
      <c r="J12" s="462">
        <v>1400</v>
      </c>
      <c r="K12" s="462">
        <v>1400</v>
      </c>
      <c r="L12" s="462">
        <v>1400</v>
      </c>
      <c r="M12" s="462">
        <v>1950</v>
      </c>
      <c r="N12" s="463">
        <f t="shared" si="0"/>
        <v>65600</v>
      </c>
      <c r="O12" s="455"/>
    </row>
    <row r="13" spans="1:15" s="453" customFormat="1" ht="12.75">
      <c r="A13" s="467" t="s">
        <v>408</v>
      </c>
      <c r="B13" s="463">
        <f>B6+B7+B8+B9+B10+B11+B12</f>
        <v>93406</v>
      </c>
      <c r="C13" s="463">
        <f aca="true" t="shared" si="1" ref="C13:M13">C6+C7+C8+C9+C10+C11+C12</f>
        <v>93706</v>
      </c>
      <c r="D13" s="463">
        <f t="shared" si="1"/>
        <v>283252</v>
      </c>
      <c r="E13" s="463">
        <f t="shared" si="1"/>
        <v>143152</v>
      </c>
      <c r="F13" s="463">
        <f t="shared" si="1"/>
        <v>105171</v>
      </c>
      <c r="G13" s="463">
        <f t="shared" si="1"/>
        <v>105171</v>
      </c>
      <c r="H13" s="463">
        <f t="shared" si="1"/>
        <v>117605</v>
      </c>
      <c r="I13" s="463">
        <f t="shared" si="1"/>
        <v>105171</v>
      </c>
      <c r="J13" s="463">
        <f t="shared" si="1"/>
        <v>275171</v>
      </c>
      <c r="K13" s="463">
        <f t="shared" si="1"/>
        <v>104071</v>
      </c>
      <c r="L13" s="463">
        <f t="shared" si="1"/>
        <v>100671</v>
      </c>
      <c r="M13" s="463">
        <f t="shared" si="1"/>
        <v>115699</v>
      </c>
      <c r="N13" s="463">
        <f>SUM(B13:M13)</f>
        <v>1642246</v>
      </c>
      <c r="O13" s="455"/>
    </row>
    <row r="14" spans="1:15" s="453" customFormat="1" ht="12.75">
      <c r="A14" s="467" t="s">
        <v>409</v>
      </c>
      <c r="B14" s="463">
        <f aca="true" t="shared" si="2" ref="B14:M14">B13-B28</f>
        <v>-44361</v>
      </c>
      <c r="C14" s="463">
        <f t="shared" si="2"/>
        <v>-79263</v>
      </c>
      <c r="D14" s="463">
        <f t="shared" si="2"/>
        <v>103828</v>
      </c>
      <c r="E14" s="463">
        <f t="shared" si="2"/>
        <v>-50103</v>
      </c>
      <c r="F14" s="463">
        <f t="shared" si="2"/>
        <v>-55083</v>
      </c>
      <c r="G14" s="463">
        <f t="shared" si="2"/>
        <v>-63363</v>
      </c>
      <c r="H14" s="463">
        <f t="shared" si="2"/>
        <v>-36549</v>
      </c>
      <c r="I14" s="463">
        <f t="shared" si="2"/>
        <v>-47198</v>
      </c>
      <c r="J14" s="463">
        <f t="shared" si="2"/>
        <v>125949</v>
      </c>
      <c r="K14" s="463">
        <f t="shared" si="2"/>
        <v>-34585</v>
      </c>
      <c r="L14" s="463">
        <f t="shared" si="2"/>
        <v>-33485</v>
      </c>
      <c r="M14" s="463">
        <f t="shared" si="2"/>
        <v>-36198</v>
      </c>
      <c r="N14" s="463">
        <f t="shared" si="0"/>
        <v>-250411</v>
      </c>
      <c r="O14" s="455"/>
    </row>
    <row r="15" spans="1:15" s="453" customFormat="1" ht="25.5">
      <c r="A15" s="466" t="s">
        <v>410</v>
      </c>
      <c r="B15" s="462">
        <v>44361</v>
      </c>
      <c r="C15" s="462">
        <v>79263</v>
      </c>
      <c r="D15" s="462">
        <v>-103828</v>
      </c>
      <c r="E15" s="462">
        <v>50103</v>
      </c>
      <c r="F15" s="462">
        <v>55083</v>
      </c>
      <c r="G15" s="462">
        <v>63363</v>
      </c>
      <c r="H15" s="462">
        <v>36549</v>
      </c>
      <c r="I15" s="462">
        <v>47198</v>
      </c>
      <c r="J15" s="462">
        <v>-125949</v>
      </c>
      <c r="K15" s="462">
        <v>34585</v>
      </c>
      <c r="L15" s="462">
        <v>33485</v>
      </c>
      <c r="M15" s="462">
        <v>36198</v>
      </c>
      <c r="N15" s="463">
        <f t="shared" si="0"/>
        <v>250411</v>
      </c>
      <c r="O15" s="455"/>
    </row>
    <row r="16" spans="1:15" s="453" customFormat="1" ht="25.5">
      <c r="A16" s="466" t="s">
        <v>411</v>
      </c>
      <c r="B16" s="462"/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3">
        <f t="shared" si="0"/>
        <v>0</v>
      </c>
      <c r="O16" s="455"/>
    </row>
    <row r="17" spans="1:15" s="453" customFormat="1" ht="25.5">
      <c r="A17" s="466" t="s">
        <v>412</v>
      </c>
      <c r="B17" s="462"/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3">
        <f t="shared" si="0"/>
        <v>0</v>
      </c>
      <c r="O17" s="455"/>
    </row>
    <row r="18" spans="1:15" s="453" customFormat="1" ht="21.75" customHeight="1">
      <c r="A18" s="467" t="s">
        <v>395</v>
      </c>
      <c r="B18" s="463">
        <f aca="true" t="shared" si="3" ref="B18:N18">B13+B15+B17</f>
        <v>137767</v>
      </c>
      <c r="C18" s="463">
        <f t="shared" si="3"/>
        <v>172969</v>
      </c>
      <c r="D18" s="463">
        <f t="shared" si="3"/>
        <v>179424</v>
      </c>
      <c r="E18" s="463">
        <f t="shared" si="3"/>
        <v>193255</v>
      </c>
      <c r="F18" s="463">
        <f t="shared" si="3"/>
        <v>160254</v>
      </c>
      <c r="G18" s="463">
        <f t="shared" si="3"/>
        <v>168534</v>
      </c>
      <c r="H18" s="463">
        <f t="shared" si="3"/>
        <v>154154</v>
      </c>
      <c r="I18" s="463">
        <f t="shared" si="3"/>
        <v>152369</v>
      </c>
      <c r="J18" s="463">
        <f t="shared" si="3"/>
        <v>149222</v>
      </c>
      <c r="K18" s="463">
        <f t="shared" si="3"/>
        <v>138656</v>
      </c>
      <c r="L18" s="463">
        <f t="shared" si="3"/>
        <v>134156</v>
      </c>
      <c r="M18" s="463">
        <f t="shared" si="3"/>
        <v>151897</v>
      </c>
      <c r="N18" s="463">
        <f t="shared" si="3"/>
        <v>1892657</v>
      </c>
      <c r="O18" s="455"/>
    </row>
    <row r="19" spans="1:15" s="453" customFormat="1" ht="12.75">
      <c r="A19" s="468"/>
      <c r="B19" s="469"/>
      <c r="C19" s="469"/>
      <c r="D19" s="469"/>
      <c r="E19" s="469"/>
      <c r="F19" s="469"/>
      <c r="G19" s="469"/>
      <c r="H19" s="469"/>
      <c r="I19" s="469"/>
      <c r="J19" s="469"/>
      <c r="K19" s="469"/>
      <c r="L19" s="469"/>
      <c r="M19" s="469"/>
      <c r="N19" s="470"/>
      <c r="O19" s="455"/>
    </row>
    <row r="20" spans="1:15" s="454" customFormat="1" ht="12.75">
      <c r="A20" s="461" t="s">
        <v>414</v>
      </c>
      <c r="B20" s="462">
        <v>23611</v>
      </c>
      <c r="C20" s="462">
        <v>23611</v>
      </c>
      <c r="D20" s="462">
        <v>23611</v>
      </c>
      <c r="E20" s="462">
        <v>23611</v>
      </c>
      <c r="F20" s="462">
        <v>23611</v>
      </c>
      <c r="G20" s="462">
        <v>23611</v>
      </c>
      <c r="H20" s="462">
        <v>23611</v>
      </c>
      <c r="I20" s="462">
        <v>23611</v>
      </c>
      <c r="J20" s="462">
        <v>23611</v>
      </c>
      <c r="K20" s="462">
        <v>23611</v>
      </c>
      <c r="L20" s="462">
        <v>23612</v>
      </c>
      <c r="M20" s="462">
        <v>23612</v>
      </c>
      <c r="N20" s="463">
        <f aca="true" t="shared" si="4" ref="N20:N29">SUM(B20:M20)</f>
        <v>283334</v>
      </c>
      <c r="O20" s="471"/>
    </row>
    <row r="21" spans="1:15" s="454" customFormat="1" ht="12.75">
      <c r="A21" s="461" t="s">
        <v>415</v>
      </c>
      <c r="B21" s="462">
        <v>6794</v>
      </c>
      <c r="C21" s="462">
        <v>6795</v>
      </c>
      <c r="D21" s="462">
        <v>6794</v>
      </c>
      <c r="E21" s="462">
        <v>6795</v>
      </c>
      <c r="F21" s="462">
        <v>6794</v>
      </c>
      <c r="G21" s="462">
        <v>6795</v>
      </c>
      <c r="H21" s="462">
        <v>6794</v>
      </c>
      <c r="I21" s="462">
        <v>6795</v>
      </c>
      <c r="J21" s="462">
        <v>6794</v>
      </c>
      <c r="K21" s="462">
        <v>6795</v>
      </c>
      <c r="L21" s="462">
        <v>6794</v>
      </c>
      <c r="M21" s="462">
        <v>6796</v>
      </c>
      <c r="N21" s="463">
        <f t="shared" si="4"/>
        <v>81535</v>
      </c>
      <c r="O21" s="471"/>
    </row>
    <row r="22" spans="1:15" s="454" customFormat="1" ht="12.75">
      <c r="A22" s="461" t="s">
        <v>416</v>
      </c>
      <c r="B22" s="462">
        <v>46950</v>
      </c>
      <c r="C22" s="462">
        <v>46950</v>
      </c>
      <c r="D22" s="462">
        <v>46950</v>
      </c>
      <c r="E22" s="462">
        <v>46950</v>
      </c>
      <c r="F22" s="462">
        <v>46949</v>
      </c>
      <c r="G22" s="462">
        <v>46950</v>
      </c>
      <c r="H22" s="462">
        <v>46949</v>
      </c>
      <c r="I22" s="462">
        <v>46950</v>
      </c>
      <c r="J22" s="462">
        <v>46950</v>
      </c>
      <c r="K22" s="462">
        <v>46950</v>
      </c>
      <c r="L22" s="462">
        <v>46950</v>
      </c>
      <c r="M22" s="462">
        <v>46947</v>
      </c>
      <c r="N22" s="463">
        <f t="shared" si="4"/>
        <v>563395</v>
      </c>
      <c r="O22" s="471"/>
    </row>
    <row r="23" spans="1:15" s="454" customFormat="1" ht="12.75">
      <c r="A23" s="461" t="s">
        <v>396</v>
      </c>
      <c r="B23" s="461">
        <v>5596</v>
      </c>
      <c r="C23" s="461">
        <v>5596</v>
      </c>
      <c r="D23" s="461">
        <v>2800</v>
      </c>
      <c r="E23" s="461">
        <v>2800</v>
      </c>
      <c r="F23" s="461">
        <v>2800</v>
      </c>
      <c r="G23" s="461">
        <v>2800</v>
      </c>
      <c r="H23" s="461">
        <v>2800</v>
      </c>
      <c r="I23" s="461">
        <v>3013</v>
      </c>
      <c r="J23" s="461">
        <v>2800</v>
      </c>
      <c r="K23" s="461">
        <v>2800</v>
      </c>
      <c r="L23" s="461">
        <v>2800</v>
      </c>
      <c r="M23" s="461">
        <v>3000</v>
      </c>
      <c r="N23" s="463">
        <f t="shared" si="4"/>
        <v>39605</v>
      </c>
      <c r="O23" s="471"/>
    </row>
    <row r="24" spans="1:15" s="454" customFormat="1" ht="12.75">
      <c r="A24" s="461" t="s">
        <v>417</v>
      </c>
      <c r="B24" s="462">
        <v>52000</v>
      </c>
      <c r="C24" s="462">
        <v>50000</v>
      </c>
      <c r="D24" s="462">
        <v>50000</v>
      </c>
      <c r="E24" s="462">
        <v>52000</v>
      </c>
      <c r="F24" s="462">
        <v>50000</v>
      </c>
      <c r="G24" s="462">
        <v>50000</v>
      </c>
      <c r="H24" s="462">
        <v>52000</v>
      </c>
      <c r="I24" s="462">
        <v>50000</v>
      </c>
      <c r="J24" s="462">
        <v>50000</v>
      </c>
      <c r="K24" s="462">
        <v>52000</v>
      </c>
      <c r="L24" s="462">
        <v>50000</v>
      </c>
      <c r="M24" s="462">
        <v>50244</v>
      </c>
      <c r="N24" s="463">
        <f t="shared" si="4"/>
        <v>608244</v>
      </c>
      <c r="O24" s="471"/>
    </row>
    <row r="25" spans="1:15" s="453" customFormat="1" ht="12.75">
      <c r="A25" s="461" t="s">
        <v>418</v>
      </c>
      <c r="B25" s="464">
        <f>416+2400</f>
        <v>2816</v>
      </c>
      <c r="C25" s="464">
        <f>1103+11914+25000</f>
        <v>38017</v>
      </c>
      <c r="D25" s="464">
        <f>27095+13022</f>
        <v>40117</v>
      </c>
      <c r="E25" s="464">
        <f>20000+6400+150+280+20000</f>
        <v>46830</v>
      </c>
      <c r="F25" s="464">
        <f>1000+20000+500</f>
        <v>21500</v>
      </c>
      <c r="G25" s="464">
        <f>20000+1000</f>
        <v>21000</v>
      </c>
      <c r="H25" s="464">
        <f>20000</f>
        <v>20000</v>
      </c>
      <c r="I25" s="464">
        <v>20000</v>
      </c>
      <c r="J25" s="464">
        <f>9535+2000</f>
        <v>11535</v>
      </c>
      <c r="K25" s="464">
        <f>2000+2500</f>
        <v>4500</v>
      </c>
      <c r="L25" s="464">
        <f>2000</f>
        <v>2000</v>
      </c>
      <c r="M25" s="464">
        <v>19298</v>
      </c>
      <c r="N25" s="463">
        <f t="shared" si="4"/>
        <v>247613</v>
      </c>
      <c r="O25" s="455"/>
    </row>
    <row r="26" spans="1:15" s="454" customFormat="1" ht="12.75">
      <c r="A26" s="461" t="s">
        <v>419</v>
      </c>
      <c r="B26" s="462"/>
      <c r="C26" s="462">
        <v>2000</v>
      </c>
      <c r="D26" s="462">
        <v>2000</v>
      </c>
      <c r="E26" s="462">
        <f>9769+2000+2500</f>
        <v>14269</v>
      </c>
      <c r="F26" s="462">
        <f>2000+5000+500</f>
        <v>7500</v>
      </c>
      <c r="G26" s="462">
        <f>2000+14278</f>
        <v>16278</v>
      </c>
      <c r="H26" s="462">
        <v>2000</v>
      </c>
      <c r="I26" s="462">
        <v>2000</v>
      </c>
      <c r="J26" s="462">
        <f>2000</f>
        <v>2000</v>
      </c>
      <c r="K26" s="462">
        <v>2000</v>
      </c>
      <c r="L26" s="462">
        <v>2000</v>
      </c>
      <c r="M26" s="462">
        <v>2000</v>
      </c>
      <c r="N26" s="463">
        <f t="shared" si="4"/>
        <v>54047</v>
      </c>
      <c r="O26" s="471"/>
    </row>
    <row r="27" spans="1:15" s="453" customFormat="1" ht="12.75">
      <c r="A27" s="461" t="s">
        <v>420</v>
      </c>
      <c r="B27" s="461"/>
      <c r="C27" s="461"/>
      <c r="D27" s="461">
        <f>5802+1350</f>
        <v>7152</v>
      </c>
      <c r="E27" s="461"/>
      <c r="F27" s="461">
        <v>1100</v>
      </c>
      <c r="G27" s="461">
        <v>1100</v>
      </c>
      <c r="H27" s="461"/>
      <c r="I27" s="461"/>
      <c r="J27" s="461">
        <v>5532</v>
      </c>
      <c r="K27" s="461"/>
      <c r="L27" s="461"/>
      <c r="M27" s="461"/>
      <c r="N27" s="463">
        <f t="shared" si="4"/>
        <v>14884</v>
      </c>
      <c r="O27" s="455"/>
    </row>
    <row r="28" spans="1:15" s="453" customFormat="1" ht="12.75">
      <c r="A28" s="467" t="s">
        <v>397</v>
      </c>
      <c r="B28" s="463">
        <f>B20+B21+B22+B23+B24+B25+B26+B27</f>
        <v>137767</v>
      </c>
      <c r="C28" s="463">
        <f aca="true" t="shared" si="5" ref="C28:N28">C20+C21+C22+C23+C24+C25+C26+C27</f>
        <v>172969</v>
      </c>
      <c r="D28" s="463">
        <f t="shared" si="5"/>
        <v>179424</v>
      </c>
      <c r="E28" s="463">
        <f t="shared" si="5"/>
        <v>193255</v>
      </c>
      <c r="F28" s="463">
        <f t="shared" si="5"/>
        <v>160254</v>
      </c>
      <c r="G28" s="463">
        <f t="shared" si="5"/>
        <v>168534</v>
      </c>
      <c r="H28" s="463">
        <f t="shared" si="5"/>
        <v>154154</v>
      </c>
      <c r="I28" s="463">
        <f t="shared" si="5"/>
        <v>152369</v>
      </c>
      <c r="J28" s="463">
        <f t="shared" si="5"/>
        <v>149222</v>
      </c>
      <c r="K28" s="463">
        <f t="shared" si="5"/>
        <v>138656</v>
      </c>
      <c r="L28" s="463">
        <f t="shared" si="5"/>
        <v>134156</v>
      </c>
      <c r="M28" s="463">
        <f t="shared" si="5"/>
        <v>151897</v>
      </c>
      <c r="N28" s="463">
        <f t="shared" si="5"/>
        <v>1892657</v>
      </c>
      <c r="O28" s="455"/>
    </row>
    <row r="29" spans="1:15" s="453" customFormat="1" ht="24.75" customHeight="1">
      <c r="A29" s="466" t="s">
        <v>398</v>
      </c>
      <c r="B29" s="462"/>
      <c r="C29" s="462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3">
        <f t="shared" si="4"/>
        <v>0</v>
      </c>
      <c r="O29" s="455"/>
    </row>
    <row r="30" spans="1:15" s="453" customFormat="1" ht="12.75">
      <c r="A30" s="467" t="s">
        <v>399</v>
      </c>
      <c r="B30" s="463">
        <f aca="true" t="shared" si="6" ref="B30:N30">B28+B29</f>
        <v>137767</v>
      </c>
      <c r="C30" s="463">
        <f t="shared" si="6"/>
        <v>172969</v>
      </c>
      <c r="D30" s="463">
        <f t="shared" si="6"/>
        <v>179424</v>
      </c>
      <c r="E30" s="463">
        <f t="shared" si="6"/>
        <v>193255</v>
      </c>
      <c r="F30" s="463">
        <f t="shared" si="6"/>
        <v>160254</v>
      </c>
      <c r="G30" s="463">
        <f t="shared" si="6"/>
        <v>168534</v>
      </c>
      <c r="H30" s="463">
        <f t="shared" si="6"/>
        <v>154154</v>
      </c>
      <c r="I30" s="463">
        <f t="shared" si="6"/>
        <v>152369</v>
      </c>
      <c r="J30" s="463">
        <f t="shared" si="6"/>
        <v>149222</v>
      </c>
      <c r="K30" s="463">
        <f t="shared" si="6"/>
        <v>138656</v>
      </c>
      <c r="L30" s="463">
        <f t="shared" si="6"/>
        <v>134156</v>
      </c>
      <c r="M30" s="463">
        <f t="shared" si="6"/>
        <v>151897</v>
      </c>
      <c r="N30" s="463">
        <f t="shared" si="6"/>
        <v>1892657</v>
      </c>
      <c r="O30" s="455"/>
    </row>
  </sheetData>
  <sheetProtection/>
  <mergeCells count="1">
    <mergeCell ref="A3:N3"/>
  </mergeCells>
  <printOptions/>
  <pageMargins left="0.49" right="0.57" top="0.42" bottom="0.4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Pénzügy</cp:lastModifiedBy>
  <cp:lastPrinted>2015-02-16T13:49:13Z</cp:lastPrinted>
  <dcterms:created xsi:type="dcterms:W3CDTF">2007-11-15T07:32:30Z</dcterms:created>
  <dcterms:modified xsi:type="dcterms:W3CDTF">2015-02-16T13:49:44Z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