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760" tabRatio="978" firstSheet="1" activeTab="8"/>
  </bookViews>
  <sheets>
    <sheet name="RM_TARTALOMJEGYZÉK" sheetId="1" r:id="rId1"/>
    <sheet name="RM_ALAPADATOK" sheetId="2" r:id="rId2"/>
    <sheet name="RM_ÖSSZEFÜGGÉSEK" sheetId="3" r:id="rId3"/>
    <sheet name="RM_1.1.sz.mell." sheetId="4" r:id="rId4"/>
    <sheet name="RM_1.2.sz.mell" sheetId="5" r:id="rId5"/>
    <sheet name="RM_1.3.sz.mell." sheetId="6" r:id="rId6"/>
    <sheet name="RM_1.4.sz.mell." sheetId="7" r:id="rId7"/>
    <sheet name="RM_2.1.sz.mell." sheetId="8" r:id="rId8"/>
    <sheet name="RM_2.2.sz.mell." sheetId="9" r:id="rId9"/>
    <sheet name="RM_ELLENŐRZÉS" sheetId="10" r:id="rId10"/>
    <sheet name="RM_3.sz.mell." sheetId="11" r:id="rId11"/>
    <sheet name="RM_4.sz.mell." sheetId="12" r:id="rId12"/>
    <sheet name="RM_5.1.sz.mell" sheetId="13" r:id="rId13"/>
    <sheet name="RM_5.1.1.sz.mell" sheetId="14" r:id="rId14"/>
    <sheet name="RM_5.1.2.sz.mell" sheetId="15" r:id="rId15"/>
    <sheet name="RM_5.1.3.sz.mell" sheetId="16" r:id="rId16"/>
    <sheet name="RM_5.2.sz.mell" sheetId="17" r:id="rId17"/>
    <sheet name="RM_5.2.1.sz.mell" sheetId="18" r:id="rId18"/>
    <sheet name="RM_5.2.2.sz.mell" sheetId="19" r:id="rId19"/>
    <sheet name="RM_5.2.3.sz.mell" sheetId="20" r:id="rId20"/>
    <sheet name="RM_5.3.sz.mell" sheetId="21" r:id="rId21"/>
    <sheet name="RM_5.3.1.sz.mell" sheetId="22" r:id="rId22"/>
    <sheet name="RM_5.3.2.sz.mell" sheetId="23" r:id="rId23"/>
    <sheet name="RM_5.3.3.sz.mell" sheetId="24" r:id="rId24"/>
    <sheet name="RM_5.4.sz.mell" sheetId="25" r:id="rId25"/>
    <sheet name="RM_5.4.1.sz.mell" sheetId="26" r:id="rId26"/>
    <sheet name="RM_5.4.2.sz.mell" sheetId="27" r:id="rId27"/>
    <sheet name="RM_5.4.3.sz.mell" sheetId="28" r:id="rId28"/>
    <sheet name="RM_6.sz.mell" sheetId="29" r:id="rId29"/>
    <sheet name="Munka1" sheetId="30" r:id="rId30"/>
  </sheets>
  <definedNames>
    <definedName name="_xlfn.IFERROR" hidden="1">#NAME?</definedName>
    <definedName name="_xlnm.Print_Titles" localSheetId="13">'RM_5.1.1.sz.mell'!$1:$6</definedName>
    <definedName name="_xlnm.Print_Titles" localSheetId="14">'RM_5.1.2.sz.mell'!$1:$6</definedName>
    <definedName name="_xlnm.Print_Titles" localSheetId="15">'RM_5.1.3.sz.mell'!$1:$6</definedName>
    <definedName name="_xlnm.Print_Titles" localSheetId="12">'RM_5.1.sz.mell'!$1:$6</definedName>
    <definedName name="_xlnm.Print_Titles" localSheetId="17">'RM_5.2.1.sz.mell'!$1:$7</definedName>
    <definedName name="_xlnm.Print_Titles" localSheetId="18">'RM_5.2.2.sz.mell'!$1:$7</definedName>
    <definedName name="_xlnm.Print_Titles" localSheetId="19">'RM_5.2.3.sz.mell'!$1:$7</definedName>
    <definedName name="_xlnm.Print_Titles" localSheetId="16">'RM_5.2.sz.mell'!$1:$7</definedName>
    <definedName name="_xlnm.Print_Titles" localSheetId="21">'RM_5.3.1.sz.mell'!$1:$7</definedName>
    <definedName name="_xlnm.Print_Titles" localSheetId="22">'RM_5.3.2.sz.mell'!$1:$7</definedName>
    <definedName name="_xlnm.Print_Titles" localSheetId="23">'RM_5.3.3.sz.mell'!$1:$7</definedName>
    <definedName name="_xlnm.Print_Titles" localSheetId="20">'RM_5.3.sz.mell'!$1:$7</definedName>
    <definedName name="_xlnm.Print_Titles" localSheetId="25">'RM_5.4.1.sz.mell'!$1:$7</definedName>
    <definedName name="_xlnm.Print_Titles" localSheetId="26">'RM_5.4.2.sz.mell'!$1:$7</definedName>
    <definedName name="_xlnm.Print_Titles" localSheetId="27">'RM_5.4.3.sz.mell'!$1:$7</definedName>
    <definedName name="_xlnm.Print_Titles" localSheetId="24">'RM_5.4.sz.mell'!$1:$7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<sst xmlns="http://schemas.openxmlformats.org/spreadsheetml/2006/main" count="4463" uniqueCount="643">
  <si>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</si>
  <si>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</si>
  <si>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</si>
  <si>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</si>
  <si>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</si>
  <si>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</si>
  <si>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</si>
  <si>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</si>
  <si>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</si>
  <si>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</si>
  <si>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</si>
  <si>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</si>
  <si>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</si>
  <si>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</si>
  <si>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</si>
  <si>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</si>
  <si>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</si>
  <si>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</si>
  <si>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</si>
  <si>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</si>
  <si>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</si>
  <si>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</si>
  <si>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</si>
  <si>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</si>
  <si>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</si>
  <si>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</si>
  <si>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</si>
  <si>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</si>
  <si>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</si>
  <si>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</si>
  <si>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</si>
  <si>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</si>
  <si>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</si>
  <si>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</si>
  <si>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</si>
  <si>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</si>
  <si>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</si>
  <si>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</si>
  <si>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</si>
  <si>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</si>
  <si>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</si>
  <si>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</si>
  <si>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</si>
  <si>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</si>
  <si>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</si>
  <si>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</si>
  <si>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</si>
  <si>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</si>
  <si>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</si>
  <si>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</si>
  <si>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</si>
  <si>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</si>
  <si>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</si>
  <si>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</si>
  <si>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</si>
  <si>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</si>
  <si>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</si>
  <si>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</si>
  <si>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</si>
  <si>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</si>
  <si>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</si>
  <si>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</si>
  <si>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</si>
  <si>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</si>
  <si>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</si>
  <si>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</si>
  <si>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</si>
  <si>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</si>
  <si>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</si>
  <si>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</si>
  <si>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</si>
  <si>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</si>
  <si>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</si>
  <si>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</si>
  <si>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</si>
  <si>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</si>
  <si>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</si>
  <si>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</si>
  <si>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</si>
  <si>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</si>
  <si>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</si>
  <si>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</si>
  <si>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</si>
  <si>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</si>
  <si>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</si>
  <si>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</si>
  <si>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</si>
  <si>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</si>
  <si>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</si>
  <si>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</si>
  <si>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</si>
  <si>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</si>
  <si>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</si>
  <si>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</si>
  <si>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</si>
  <si>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</si>
  <si>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</si>
  <si>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</si>
  <si>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</si>
  <si>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</si>
  <si>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</si>
  <si>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</si>
  <si>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</si>
  <si>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</si>
  <si>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</si>
  <si>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</si>
  <si>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</si>
  <si>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</si>
  <si>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</si>
  <si>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</si>
  <si>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</si>
  <si>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</si>
  <si>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</si>
  <si>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</si>
  <si>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</si>
  <si>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</si>
  <si>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</si>
  <si>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</si>
  <si>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</si>
  <si>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</si>
  <si>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</si>
  <si>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</si>
  <si>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</si>
  <si>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</si>
  <si>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</si>
  <si>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</si>
  <si>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</si>
  <si>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</si>
  <si>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</si>
  <si>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</si>
  <si>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</si>
  <si>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</si>
  <si>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</si>
  <si>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</si>
  <si>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</si>
  <si>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</si>
  <si>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</si>
  <si>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</si>
  <si>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</si>
  <si>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</si>
  <si>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</si>
  <si>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</si>
  <si>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</si>
  <si>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</si>
  <si>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</si>
  <si>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</si>
  <si>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</si>
  <si>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</si>
  <si>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</si>
  <si>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</si>
  <si>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</si>
  <si>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</si>
  <si>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</si>
  <si>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</si>
  <si>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</si>
  <si>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</si>
  <si>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</si>
  <si>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</si>
  <si>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</si>
  <si>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</si>
  <si>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</si>
  <si>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</si>
  <si>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</si>
  <si>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</si>
  <si>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</si>
  <si>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</si>
  <si>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</si>
  <si>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</si>
  <si>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</si>
  <si>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</si>
  <si>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</si>
  <si>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</si>
  <si>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</si>
  <si>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</si>
  <si>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</si>
  <si>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</si>
  <si>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</si>
  <si>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</si>
  <si>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</si>
  <si>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</si>
  <si>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</si>
  <si>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</si>
  <si>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</si>
  <si>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</si>
  <si>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</si>
  <si>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</si>
  <si>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</si>
  <si>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</si>
  <si>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</si>
  <si>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</si>
  <si>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</si>
  <si>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</si>
  <si>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</si>
  <si>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</si>
  <si>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</si>
  <si>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</si>
  <si>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</si>
  <si>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</si>
  <si>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</si>
  <si>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</si>
  <si>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</si>
  <si>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</si>
  <si>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</si>
  <si>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</si>
  <si>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</si>
  <si>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</si>
  <si>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</si>
  <si>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</si>
  <si>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</si>
  <si>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</si>
  <si>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</si>
  <si>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</si>
  <si>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</si>
  <si>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</si>
  <si>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</si>
  <si>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</si>
  <si>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</si>
  <si>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</si>
  <si>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</si>
  <si>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</si>
  <si>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</si>
  <si>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</si>
  <si>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</si>
  <si>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</si>
  <si>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</si>
  <si>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</si>
  <si>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</si>
  <si>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</si>
  <si>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</si>
  <si>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</si>
  <si>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</si>
  <si>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</si>
  <si>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</si>
  <si>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</si>
  <si>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</si>
  <si>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</si>
  <si>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</si>
  <si>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</si>
  <si>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</si>
  <si>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</si>
  <si>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</si>
  <si>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</si>
  <si>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</si>
  <si>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</si>
  <si>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</si>
  <si>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</si>
  <si>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</si>
  <si>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</si>
  <si>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</si>
  <si>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</si>
  <si>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</si>
  <si>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</si>
  <si>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</si>
  <si>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</si>
  <si>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</si>
  <si>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</si>
  <si>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</si>
  <si>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</si>
  <si>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</si>
  <si>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</si>
  <si>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</si>
  <si>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</si>
  <si>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</si>
  <si>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</si>
  <si>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</si>
  <si>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</si>
  <si>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</si>
  <si>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</si>
  <si>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</si>
  <si>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</si>
  <si>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</si>
  <si>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</si>
  <si>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</si>
  <si>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</si>
  <si>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</si>
  <si>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</si>
  <si>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</si>
  <si>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</si>
  <si>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</si>
  <si>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</si>
  <si>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</si>
  <si>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</si>
  <si>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</si>
  <si>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</si>
  <si>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</si>
  <si>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</si>
  <si>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</si>
  <si>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</si>
  <si>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</si>
  <si>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</si>
  <si>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</si>
  <si>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</si>
  <si>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</si>
  <si>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</si>
  <si>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</si>
  <si>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</si>
  <si>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</si>
  <si>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</si>
  <si>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</si>
  <si>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</si>
  <si>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</si>
  <si>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</si>
  <si>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</si>
  <si>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</si>
  <si>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</si>
  <si>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</si>
  <si>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</si>
  <si>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</si>
  <si>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</si>
  <si>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</si>
  <si>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</si>
  <si>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</si>
  <si>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</si>
  <si>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</si>
  <si>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</si>
  <si>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</si>
  <si>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</si>
  <si>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</si>
  <si>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</si>
  <si>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</si>
  <si>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</si>
  <si>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</si>
  <si>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</si>
  <si>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</si>
  <si>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</si>
  <si>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</si>
  <si>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</si>
  <si>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</si>
  <si>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</si>
  <si>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</si>
  <si>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</si>
  <si>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</si>
  <si>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</si>
  <si>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</si>
  <si>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</si>
  <si>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</si>
  <si>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</si>
  <si>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</si>
  <si>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</si>
  <si>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</si>
  <si>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</si>
  <si>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</si>
  <si>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</si>
  <si>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</si>
  <si>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</si>
  <si>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</si>
  <si>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</si>
  <si>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</si>
  <si>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</si>
  <si>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</si>
  <si>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</si>
  <si>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</si>
  <si>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</si>
  <si>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</si>
  <si>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</si>
  <si>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</si>
  <si>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</si>
  <si>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</si>
  <si>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</si>
  <si>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</si>
  <si>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</si>
  <si>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</si>
  <si>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</si>
  <si>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</si>
  <si>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</si>
  <si>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</si>
  <si>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</si>
  <si>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</si>
  <si>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</si>
  <si>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</si>
  <si>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</si>
  <si>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</si>
  <si>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</si>
  <si>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</si>
  <si>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</si>
  <si>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</si>
  <si>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</si>
  <si>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</si>
  <si>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</si>
  <si>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</si>
  <si>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</si>
  <si>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</si>
  <si>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</si>
  <si>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</si>
  <si>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</si>
  <si>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</si>
  <si>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</si>
  <si>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</si>
  <si>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</si>
  <si>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</si>
  <si>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</si>
  <si>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</si>
  <si>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</si>
  <si>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</si>
  <si>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</si>
  <si>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</si>
  <si>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</si>
  <si>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</si>
  <si>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</si>
  <si>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</si>
  <si>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</si>
  <si>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</si>
  <si>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</si>
  <si>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</si>
  <si>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</si>
  <si>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</si>
  <si>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</si>
  <si>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</si>
  <si>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</si>
  <si>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</si>
  <si>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</si>
  <si>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</si>
  <si>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</si>
  <si>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</si>
  <si>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</si>
  <si>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</si>
  <si>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</si>
  <si>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</si>
  <si>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</si>
  <si>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</si>
  <si>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</si>
  <si>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</si>
  <si>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</si>
  <si>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</si>
  <si>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</si>
  <si>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</si>
  <si>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</si>
  <si>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</si>
  <si>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</si>
  <si>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</si>
  <si>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</si>
  <si>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</si>
  <si>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</si>
  <si>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</si>
  <si>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</si>
  <si>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</si>
  <si>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</si>
  <si>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</si>
  <si>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</si>
  <si>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</si>
  <si>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</si>
  <si>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</si>
  <si>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</si>
  <si>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</si>
  <si>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</si>
  <si>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</si>
  <si>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</si>
  <si>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</si>
  <si>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</si>
  <si>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</si>
  <si>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</si>
  <si>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</si>
  <si>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</si>
  <si>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</si>
  <si>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</si>
  <si>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</si>
  <si>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</si>
  <si>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</si>
  <si>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</si>
  <si>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</si>
  <si>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</si>
  <si>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</si>
  <si>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</si>
  <si>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</si>
  <si>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</si>
  <si>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</si>
  <si>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</si>
  <si>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</si>
  <si>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</si>
  <si>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</si>
  <si>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</si>
  <si>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</si>
  <si>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</si>
  <si>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</si>
  <si>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</si>
  <si>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</si>
  <si>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</si>
  <si>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</si>
  <si>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</si>
  <si>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</si>
  <si>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</si>
  <si>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</si>
  <si>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</si>
  <si>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</si>
  <si>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</si>
  <si>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</si>
  <si>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</si>
  <si>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</si>
  <si>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</si>
  <si>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</si>
  <si>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</si>
  <si>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</si>
  <si>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</si>
  <si>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</si>
  <si>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</si>
  <si>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</si>
  <si>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</si>
  <si>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</si>
  <si>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</si>
  <si>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</si>
  <si>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</si>
  <si>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</si>
  <si>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</si>
  <si>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</si>
  <si>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</si>
  <si>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</si>
  <si>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</si>
  <si>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</si>
  <si>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</si>
  <si>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</si>
  <si>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</si>
  <si>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</si>
  <si>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</si>
  <si>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</si>
  <si>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</si>
  <si>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</si>
  <si>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</si>
  <si>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</si>
  <si>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</si>
  <si>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</si>
  <si>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</si>
  <si>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</si>
  <si>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</si>
  <si>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</si>
  <si>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</si>
  <si>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</si>
  <si>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</si>
  <si>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</si>
  <si>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</si>
  <si>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</si>
  <si>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</si>
  <si>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</si>
  <si>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</si>
  <si>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</si>
  <si>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</si>
  <si>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</si>
  <si>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</si>
  <si>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</si>
  <si>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</si>
  <si>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</si>
  <si>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</si>
  <si>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</si>
  <si>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</si>
  <si>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</si>
  <si>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</si>
  <si>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</si>
  <si>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</si>
  <si>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</si>
  <si>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</si>
  <si>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</si>
  <si>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</si>
  <si>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</si>
  <si>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</si>
  <si>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</si>
  <si>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</si>
  <si>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</si>
  <si>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</si>
  <si>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</si>
  <si>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</si>
  <si>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</si>
  <si>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</si>
  <si>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</si>
  <si>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</si>
  <si>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</si>
  <si>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Tiszaszőlős Községi  Önkormányzat</t>
  </si>
  <si>
    <t>Tiszaszőlősi Közös Önkormányzati Hivatal</t>
  </si>
  <si>
    <t>Tiszaszőlősi Cseperedő Óvoda</t>
  </si>
  <si>
    <t>Községi Könyvtár és Szabadidőközpont</t>
  </si>
  <si>
    <t xml:space="preserve">2. sz. módosítás </t>
  </si>
  <si>
    <t xml:space="preserve">5. sz. módosítás </t>
  </si>
  <si>
    <t>1. számú módosítás utáni előirányzat</t>
  </si>
  <si>
    <t>Immateriális javak beszerzése, létesítése TKÖ</t>
  </si>
  <si>
    <t>2019.</t>
  </si>
  <si>
    <t>1. sz. módosítás</t>
  </si>
  <si>
    <t>Ingatlanok beszerzése, létesítése TKÖ</t>
  </si>
  <si>
    <t>Gépek, ber., felszerelések, járművek beszerzése, létesítése TKÖ</t>
  </si>
  <si>
    <t>Gépek, ber., felszerelések, járművek beszerzése, létesítése Tiszaszőlősi Közös Önkormányzati Hivatal</t>
  </si>
  <si>
    <t>Gépek, ber., felszerelések, járművek beszerzése, létesítése Tiszaszőlősi Cseperedő Óvoda</t>
  </si>
  <si>
    <t>Szivattyú felújítás</t>
  </si>
  <si>
    <t>I.1.a</t>
  </si>
  <si>
    <t>Önkormányzati hivatal működésének támogatása - elismert hivatali létszám alapján</t>
  </si>
  <si>
    <t>I.1.a.-I.1.f</t>
  </si>
  <si>
    <t>Önkormányzati hivatal működésének támogatása - beszámítás alapján</t>
  </si>
  <si>
    <t>I.1.ba</t>
  </si>
  <si>
    <t>A zöldterület-gazdálkodással kapcsolatos feladatok ellátásának támogatása</t>
  </si>
  <si>
    <t>I.1.bb</t>
  </si>
  <si>
    <t>Közvilágítás fenntartásának támogatás</t>
  </si>
  <si>
    <t>I.1.bc</t>
  </si>
  <si>
    <t>Köztemető fenntartással kapcsolatos feladatok támogatása</t>
  </si>
  <si>
    <t>I.1.bd</t>
  </si>
  <si>
    <t>Közutak fenntartásának támogatása</t>
  </si>
  <si>
    <t>I.1.b - I.1.f</t>
  </si>
  <si>
    <t>Támogatás összesen - beszámítás után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</si>
  <si>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</si>
  <si>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</si>
  <si>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</si>
  <si>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</si>
  <si>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</si>
  <si>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támogtása</t>
  </si>
  <si>
    <t>I.1.f</t>
  </si>
  <si>
    <t>I.1. jogcímekhez kapcsolódó kiegészítés</t>
  </si>
  <si>
    <t>I.6.</t>
  </si>
  <si>
    <t>Polgármesteri illetmény támogatása</t>
  </si>
  <si>
    <t xml:space="preserve">I. </t>
  </si>
  <si>
    <t>Helyi önkormányzatok működésének támogatása</t>
  </si>
  <si>
    <t>II.1.(1) 1</t>
  </si>
  <si>
    <t>Pedagógusok elismert létszáma</t>
  </si>
  <si>
    <t>II.1.(2) 1</t>
  </si>
  <si>
    <t>Pedagógus szakképzettséggel nem rendelkező, padagógusok nevelő munkáját közvetlenül segítők száma</t>
  </si>
  <si>
    <t>II.1.(1) 2</t>
  </si>
  <si>
    <t>II.1.(2) 2</t>
  </si>
  <si>
    <t>II.2.(1) 1</t>
  </si>
  <si>
    <t>Óvoda napi nyitvatartási ideje eléri a nyolc órát</t>
  </si>
  <si>
    <t>II.2.(1) 2</t>
  </si>
  <si>
    <t>II.4.a (1)</t>
  </si>
  <si>
    <t>Alapfokú végzettségű pedagógus II. kategóriába sorolt óvodapedagógusok kiegészítő támogatása, akik a minősítést 2018. január 1-jéig történő átsorolással szerezték meg</t>
  </si>
  <si>
    <t>II.</t>
  </si>
  <si>
    <t>Települési önkormányzatok egyes köznevelési feladatainak támogatása</t>
  </si>
  <si>
    <t>III.2.</t>
  </si>
  <si>
    <t>A települési önkormányzatok szociális feladatainak egyéb támogatása</t>
  </si>
  <si>
    <t>III.3.a + III.3.oa</t>
  </si>
  <si>
    <t>Család- és gyermekjóléti szolgálat</t>
  </si>
  <si>
    <t>III.5.aa)</t>
  </si>
  <si>
    <t>A finanszírozás szempontjából elismert dolgozók bértámogatása - gyermekétkeztetés</t>
  </si>
  <si>
    <t>III.5.ab)</t>
  </si>
  <si>
    <t>Gyermekétkeztetés üzemeltetési támogatása</t>
  </si>
  <si>
    <t>III.5.b)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</si>
  <si>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</si>
  <si>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</si>
  <si>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</si>
  <si>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</si>
  <si>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</si>
  <si>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I.5.</t>
  </si>
  <si>
    <t>1. sz. módosítás utáni előirányzat</t>
  </si>
  <si>
    <t>Humán szolgáltatás fejlesztés - Fő út 28.</t>
  </si>
  <si>
    <t>2019</t>
  </si>
  <si>
    <t>Tornaterem felújítása</t>
  </si>
  <si>
    <t>A költségvetési szerveknél foglalkoztatottak 2018. évről áthúzódó bérkompenzáció</t>
  </si>
  <si>
    <t>Halmozott módosítás 2019. 09.30.-ig</t>
  </si>
  <si>
    <t>Kamerarendszer kiépítése</t>
  </si>
  <si>
    <t>2019-2020</t>
  </si>
  <si>
    <t>Módosítások összesen 2019. 09.30.-ig</t>
  </si>
  <si>
    <t>Magyar Falu Program (orvosi eszközbeszerzés)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</si>
</sst>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0&quot;.&quot;"/>
    <numFmt numFmtId="181" formatCode="#,##0.0"/>
  </numFmts>
  <fonts count="5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8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7" borderId="0" applyNumberFormat="0" applyBorder="0" applyAlignment="0" applyProtection="0"/>
    <xf numFmtId="0" fontId="47" fillId="7" borderId="0" applyNumberFormat="0" applyBorder="0" applyAlignment="0" applyProtection="0"/>
    <xf numFmtId="0" fontId="48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0" xfId="0" applyNumberFormat="1" applyFont="1" applyFill="1" applyAlignment="1" applyProtection="1">
      <alignment horizontal="right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3" fillId="0" borderId="28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9" xfId="0" applyNumberFormat="1" applyFont="1" applyFill="1" applyBorder="1" applyAlignment="1" applyProtection="1">
      <alignment vertical="center" wrapText="1"/>
      <protection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2" fillId="0" borderId="3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2" fontId="12" fillId="18" borderId="23" xfId="0" applyNumberFormat="1" applyFont="1" applyFill="1" applyBorder="1" applyAlignment="1" applyProtection="1">
      <alignment vertical="center" wrapTex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/>
    </xf>
    <xf numFmtId="172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72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4" fillId="0" borderId="0" xfId="0" applyNumberFormat="1" applyFont="1" applyFill="1" applyAlignment="1" applyProtection="1">
      <alignment horizontal="right" vertical="center"/>
      <protection/>
    </xf>
    <xf numFmtId="172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36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37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0" xfId="0" applyNumberForma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72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72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72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72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72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4" xfId="0" applyNumberFormat="1" applyFont="1" applyBorder="1" applyAlignment="1" applyProtection="1">
      <alignment horizontal="right" vertical="center" wrapText="1" indent="1"/>
      <protection/>
    </xf>
    <xf numFmtId="172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/>
    </xf>
    <xf numFmtId="172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72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3" xfId="0" applyNumberFormat="1" applyFont="1" applyBorder="1" applyAlignment="1" applyProtection="1">
      <alignment horizontal="right" vertical="center" wrapText="1" indent="1"/>
      <protection/>
    </xf>
    <xf numFmtId="172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72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72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72" fontId="12" fillId="0" borderId="33" xfId="0" applyNumberFormat="1" applyFont="1" applyFill="1" applyBorder="1" applyAlignment="1" applyProtection="1">
      <alignment horizontal="center" vertical="center" wrapText="1"/>
      <protection/>
    </xf>
    <xf numFmtId="172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72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72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0" xfId="0" applyNumberFormat="1" applyFont="1" applyFill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72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30" xfId="0" applyNumberFormat="1" applyFont="1" applyBorder="1" applyAlignment="1" applyProtection="1">
      <alignment horizontal="right" vertical="center" wrapText="1" indent="1"/>
      <protection/>
    </xf>
    <xf numFmtId="172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72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72" fontId="17" fillId="0" borderId="10" xfId="0" applyNumberFormat="1" applyFont="1" applyBorder="1" applyAlignment="1" applyProtection="1">
      <alignment horizontal="right" vertical="center" wrapText="1" indent="1"/>
      <protection/>
    </xf>
    <xf numFmtId="172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vertical="center" wrapText="1"/>
      <protection/>
    </xf>
    <xf numFmtId="0" fontId="49" fillId="0" borderId="49" xfId="60" applyFont="1" applyFill="1" applyBorder="1" applyAlignment="1" applyProtection="1">
      <alignment horizontal="center" vertical="center" wrapText="1"/>
      <protection locked="0"/>
    </xf>
    <xf numFmtId="0" fontId="50" fillId="0" borderId="25" xfId="60" applyFont="1" applyFill="1" applyBorder="1" applyAlignment="1" applyProtection="1">
      <alignment horizontal="center" vertical="center" wrapText="1"/>
      <protection/>
    </xf>
    <xf numFmtId="0" fontId="50" fillId="0" borderId="61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72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 applyProtection="1">
      <alignment horizontal="center" vertical="center" wrapText="1"/>
      <protection locked="0"/>
    </xf>
    <xf numFmtId="0" fontId="49" fillId="0" borderId="34" xfId="0" applyFont="1" applyBorder="1" applyAlignment="1" applyProtection="1">
      <alignment horizontal="center" vertical="center" wrapText="1"/>
      <protection locked="0"/>
    </xf>
    <xf numFmtId="172" fontId="49" fillId="0" borderId="23" xfId="0" applyNumberFormat="1" applyFont="1" applyFill="1" applyBorder="1" applyAlignment="1" applyProtection="1">
      <alignment horizontal="center" vertical="center" wrapText="1"/>
      <protection/>
    </xf>
    <xf numFmtId="172" fontId="49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49" fillId="0" borderId="22" xfId="0" applyNumberFormat="1" applyFont="1" applyFill="1" applyBorder="1" applyAlignment="1" applyProtection="1">
      <alignment horizontal="center" vertical="center" wrapText="1"/>
      <protection/>
    </xf>
    <xf numFmtId="172" fontId="49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49" fillId="0" borderId="30" xfId="0" applyNumberFormat="1" applyFont="1" applyFill="1" applyBorder="1" applyAlignment="1" applyProtection="1">
      <alignment horizontal="center" vertical="center" wrapText="1"/>
      <protection locked="0"/>
    </xf>
    <xf numFmtId="172" fontId="50" fillId="0" borderId="27" xfId="0" applyNumberFormat="1" applyFont="1" applyFill="1" applyBorder="1" applyAlignment="1" applyProtection="1">
      <alignment horizontal="center" vertical="center" wrapText="1"/>
      <protection/>
    </xf>
    <xf numFmtId="172" fontId="50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72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72" fontId="50" fillId="0" borderId="30" xfId="0" applyNumberFormat="1" applyFont="1" applyBorder="1" applyAlignment="1" applyProtection="1">
      <alignment horizontal="center" vertical="center" wrapText="1"/>
      <protection/>
    </xf>
    <xf numFmtId="0" fontId="49" fillId="0" borderId="32" xfId="60" applyFont="1" applyFill="1" applyBorder="1" applyAlignment="1" applyProtection="1">
      <alignment horizontal="center" vertical="center" wrapText="1"/>
      <protection locked="0"/>
    </xf>
    <xf numFmtId="0" fontId="49" fillId="0" borderId="32" xfId="0" applyFont="1" applyBorder="1" applyAlignment="1" applyProtection="1">
      <alignment horizontal="center" vertical="center" wrapText="1"/>
      <protection locked="0"/>
    </xf>
    <xf numFmtId="0" fontId="49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72" fontId="5" fillId="0" borderId="0" xfId="0" applyNumberFormat="1" applyFont="1" applyFill="1" applyAlignment="1" applyProtection="1">
      <alignment horizontal="centerContinuous" vertical="center" wrapText="1"/>
      <protection locked="0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4" fillId="0" borderId="0" xfId="0" applyNumberFormat="1" applyFont="1" applyFill="1" applyAlignment="1" applyProtection="1">
      <alignment horizontal="right" wrapText="1"/>
      <protection locked="0"/>
    </xf>
    <xf numFmtId="172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72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72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72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72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72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72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Fill="1" applyBorder="1" applyAlignment="1" applyProtection="1">
      <alignment horizontal="right" vertical="center" wrapText="1"/>
      <protection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5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72" fontId="2" fillId="0" borderId="0" xfId="0" applyNumberFormat="1" applyFont="1" applyFill="1" applyAlignment="1" applyProtection="1">
      <alignment horizontal="left" vertical="center" wrapText="1"/>
      <protection locked="0"/>
    </xf>
    <xf numFmtId="172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50" fillId="0" borderId="23" xfId="60" applyFont="1" applyFill="1" applyBorder="1" applyAlignment="1" applyProtection="1">
      <alignment horizontal="center" vertical="center" wrapText="1"/>
      <protection locked="0"/>
    </xf>
    <xf numFmtId="172" fontId="50" fillId="0" borderId="30" xfId="0" applyNumberFormat="1" applyFont="1" applyBorder="1" applyAlignment="1" applyProtection="1">
      <alignment horizontal="center" vertical="center" wrapText="1"/>
      <protection locked="0"/>
    </xf>
    <xf numFmtId="172" fontId="49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72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50" fillId="0" borderId="25" xfId="60" applyFont="1" applyFill="1" applyBorder="1" applyAlignment="1" applyProtection="1">
      <alignment horizontal="center" vertical="center" wrapText="1"/>
      <protection locked="0"/>
    </xf>
    <xf numFmtId="0" fontId="50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5" xfId="60" applyFont="1" applyFill="1" applyBorder="1" applyAlignment="1" applyProtection="1">
      <alignment horizontal="right" vertical="center" wrapText="1" indent="1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horizontal="justify" vertical="top" wrapText="1"/>
    </xf>
    <xf numFmtId="0" fontId="52" fillId="19" borderId="0" xfId="0" applyFont="1" applyFill="1" applyAlignment="1">
      <alignment horizontal="center" vertical="center"/>
    </xf>
    <xf numFmtId="0" fontId="52" fillId="19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39" fillId="0" borderId="0" xfId="46" applyAlignment="1" applyProtection="1">
      <alignment/>
      <protection/>
    </xf>
    <xf numFmtId="172" fontId="53" fillId="0" borderId="0" xfId="60" applyNumberFormat="1" applyFont="1" applyFill="1" applyAlignment="1" applyProtection="1">
      <alignment horizontal="right" vertical="center" indent="1"/>
      <protection/>
    </xf>
    <xf numFmtId="0" fontId="53" fillId="0" borderId="0" xfId="60" applyFont="1" applyFill="1" applyProtection="1">
      <alignment/>
      <protection/>
    </xf>
    <xf numFmtId="172" fontId="53" fillId="0" borderId="0" xfId="60" applyNumberFormat="1" applyFont="1" applyFill="1" applyProtection="1">
      <alignment/>
      <protection/>
    </xf>
    <xf numFmtId="172" fontId="54" fillId="0" borderId="0" xfId="0" applyNumberFormat="1" applyFont="1" applyFill="1" applyAlignment="1" applyProtection="1">
      <alignment horizontal="right" vertical="center" wrapText="1" indent="1"/>
      <protection/>
    </xf>
    <xf numFmtId="0" fontId="54" fillId="0" borderId="0" xfId="0" applyFont="1" applyFill="1" applyAlignment="1" applyProtection="1">
      <alignment horizontal="right" vertical="center" wrapText="1" indent="1"/>
      <protection/>
    </xf>
    <xf numFmtId="0" fontId="54" fillId="0" borderId="68" xfId="0" applyFont="1" applyFill="1" applyBorder="1" applyAlignment="1" applyProtection="1">
      <alignment horizontal="right" vertical="center" wrapText="1" indent="1"/>
      <protection/>
    </xf>
    <xf numFmtId="172" fontId="54" fillId="0" borderId="68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0" xfId="0" applyNumberFormat="1" applyFill="1" applyAlignment="1" applyProtection="1">
      <alignment horizontal="right" vertical="center" wrapText="1"/>
      <protection/>
    </xf>
    <xf numFmtId="172" fontId="0" fillId="0" borderId="0" xfId="0" applyNumberFormat="1" applyFill="1" applyAlignment="1" applyProtection="1">
      <alignment horizontal="right" vertical="center" wrapText="1" indent="1"/>
      <protection/>
    </xf>
    <xf numFmtId="172" fontId="54" fillId="0" borderId="0" xfId="0" applyNumberFormat="1" applyFont="1" applyFill="1" applyAlignment="1" applyProtection="1">
      <alignment horizontal="right" vertical="center" wrapText="1"/>
      <protection/>
    </xf>
    <xf numFmtId="0" fontId="54" fillId="0" borderId="0" xfId="0" applyFont="1" applyFill="1" applyAlignment="1" applyProtection="1">
      <alignment horizontal="right" vertical="center" wrapText="1"/>
      <protection/>
    </xf>
    <xf numFmtId="0" fontId="0" fillId="2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0" borderId="0" xfId="0" applyFill="1" applyAlignment="1" applyProtection="1">
      <alignment horizontal="right"/>
      <protection locked="0"/>
    </xf>
    <xf numFmtId="0" fontId="0" fillId="20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72" fontId="49" fillId="0" borderId="34" xfId="0" applyNumberFormat="1" applyFont="1" applyFill="1" applyBorder="1" applyAlignment="1" applyProtection="1">
      <alignment horizontal="center" vertical="center" wrapText="1"/>
      <protection/>
    </xf>
    <xf numFmtId="172" fontId="49" fillId="0" borderId="33" xfId="0" applyNumberFormat="1" applyFont="1" applyFill="1" applyBorder="1" applyAlignment="1" applyProtection="1">
      <alignment horizontal="center" vertical="center" wrapText="1"/>
      <protection/>
    </xf>
    <xf numFmtId="172" fontId="49" fillId="0" borderId="23" xfId="0" applyNumberFormat="1" applyFont="1" applyBorder="1" applyAlignment="1" applyProtection="1">
      <alignment horizontal="center" vertical="center" wrapText="1"/>
      <protection/>
    </xf>
    <xf numFmtId="172" fontId="49" fillId="0" borderId="33" xfId="0" applyNumberFormat="1" applyFont="1" applyBorder="1" applyAlignment="1" applyProtection="1">
      <alignment horizontal="center" vertical="center" wrapText="1"/>
      <protection/>
    </xf>
    <xf numFmtId="172" fontId="49" fillId="0" borderId="3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horizontal="center" vertical="center" wrapText="1"/>
      <protection/>
    </xf>
    <xf numFmtId="0" fontId="49" fillId="0" borderId="49" xfId="60" applyFont="1" applyFill="1" applyBorder="1" applyAlignment="1" applyProtection="1">
      <alignment horizontal="center" vertical="center" wrapText="1"/>
      <protection/>
    </xf>
    <xf numFmtId="0" fontId="49" fillId="0" borderId="32" xfId="60" applyFont="1" applyFill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72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2" xfId="0" applyFill="1" applyBorder="1" applyAlignment="1">
      <alignment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ill="1" applyBorder="1" applyAlignment="1">
      <alignment/>
    </xf>
    <xf numFmtId="0" fontId="16" fillId="0" borderId="7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76" xfId="0" applyBorder="1" applyAlignment="1">
      <alignment/>
    </xf>
    <xf numFmtId="0" fontId="16" fillId="0" borderId="77" xfId="0" applyFont="1" applyBorder="1" applyAlignment="1" applyProtection="1">
      <alignment horizontal="left" vertical="center" wrapText="1"/>
      <protection locked="0"/>
    </xf>
    <xf numFmtId="172" fontId="16" fillId="0" borderId="71" xfId="0" applyNumberFormat="1" applyFont="1" applyBorder="1" applyAlignment="1" applyProtection="1">
      <alignment horizontal="right" vertical="center" wrapText="1"/>
      <protection locked="0"/>
    </xf>
    <xf numFmtId="0" fontId="3" fillId="0" borderId="72" xfId="0" applyFont="1" applyBorder="1" applyAlignment="1">
      <alignment/>
    </xf>
    <xf numFmtId="0" fontId="17" fillId="0" borderId="77" xfId="0" applyFont="1" applyBorder="1" applyAlignment="1" applyProtection="1">
      <alignment horizontal="left" vertical="center" wrapText="1"/>
      <protection locked="0"/>
    </xf>
    <xf numFmtId="172" fontId="17" fillId="0" borderId="71" xfId="0" applyNumberFormat="1" applyFont="1" applyBorder="1" applyAlignment="1" applyProtection="1">
      <alignment horizontal="right" vertical="center" wrapText="1"/>
      <protection locked="0"/>
    </xf>
    <xf numFmtId="0" fontId="0" fillId="0" borderId="72" xfId="0" applyBorder="1" applyAlignment="1">
      <alignment/>
    </xf>
    <xf numFmtId="0" fontId="16" fillId="0" borderId="73" xfId="0" applyFont="1" applyBorder="1" applyAlignment="1" applyProtection="1">
      <alignment horizontal="left" vertical="center" wrapText="1"/>
      <protection locked="0"/>
    </xf>
    <xf numFmtId="0" fontId="17" fillId="0" borderId="73" xfId="0" applyFont="1" applyBorder="1" applyAlignment="1" applyProtection="1">
      <alignment horizontal="left" vertical="center" wrapText="1"/>
      <protection locked="0"/>
    </xf>
    <xf numFmtId="0" fontId="5" fillId="0" borderId="72" xfId="0" applyFont="1" applyBorder="1" applyAlignment="1">
      <alignment/>
    </xf>
    <xf numFmtId="0" fontId="28" fillId="0" borderId="73" xfId="0" applyFont="1" applyBorder="1" applyAlignment="1" applyProtection="1">
      <alignment horizontal="left" vertical="center" wrapText="1"/>
      <protection locked="0"/>
    </xf>
    <xf numFmtId="172" fontId="28" fillId="0" borderId="71" xfId="0" applyNumberFormat="1" applyFont="1" applyBorder="1" applyAlignment="1" applyProtection="1">
      <alignment horizontal="right" vertical="center" wrapText="1"/>
      <protection locked="0"/>
    </xf>
    <xf numFmtId="0" fontId="13" fillId="0" borderId="72" xfId="0" applyFont="1" applyBorder="1" applyAlignment="1">
      <alignment/>
    </xf>
    <xf numFmtId="0" fontId="13" fillId="0" borderId="72" xfId="0" applyFont="1" applyBorder="1" applyAlignment="1">
      <alignment vertical="center"/>
    </xf>
    <xf numFmtId="172" fontId="15" fillId="0" borderId="68" xfId="0" applyNumberFormat="1" applyFont="1" applyFill="1" applyBorder="1" applyAlignment="1" applyProtection="1">
      <alignment vertical="center" wrapText="1"/>
      <protection/>
    </xf>
    <xf numFmtId="172" fontId="17" fillId="0" borderId="71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19" fillId="2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20" borderId="0" xfId="0" applyFont="1" applyFill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20" borderId="0" xfId="0" applyFont="1" applyFill="1" applyAlignment="1" applyProtection="1">
      <alignment horizontal="center"/>
      <protection locked="0"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72" fontId="5" fillId="0" borderId="0" xfId="60" applyNumberFormat="1" applyFont="1" applyFill="1" applyBorder="1" applyAlignment="1" applyProtection="1">
      <alignment horizontal="center" vertical="center"/>
      <protection locked="0"/>
    </xf>
    <xf numFmtId="0" fontId="6" fillId="0" borderId="78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172" fontId="5" fillId="0" borderId="0" xfId="60" applyNumberFormat="1" applyFont="1" applyFill="1" applyBorder="1" applyAlignment="1" applyProtection="1">
      <alignment horizontal="center" vertical="center"/>
      <protection/>
    </xf>
    <xf numFmtId="172" fontId="20" fillId="0" borderId="31" xfId="60" applyNumberFormat="1" applyFont="1" applyFill="1" applyBorder="1" applyAlignment="1" applyProtection="1">
      <alignment horizontal="left" vertical="center"/>
      <protection locked="0"/>
    </xf>
    <xf numFmtId="172" fontId="20" fillId="0" borderId="31" xfId="60" applyNumberFormat="1" applyFont="1" applyFill="1" applyBorder="1" applyAlignment="1" applyProtection="1">
      <alignment horizontal="left"/>
      <protection/>
    </xf>
    <xf numFmtId="172" fontId="20" fillId="0" borderId="31" xfId="60" applyNumberFormat="1" applyFont="1" applyFill="1" applyBorder="1" applyAlignment="1" applyProtection="1">
      <alignment horizontal="left" vertical="center"/>
      <protection/>
    </xf>
    <xf numFmtId="0" fontId="5" fillId="0" borderId="0" xfId="60" applyFont="1" applyFill="1" applyAlignment="1" applyProtection="1">
      <alignment horizontal="center"/>
      <protection/>
    </xf>
    <xf numFmtId="172" fontId="6" fillId="0" borderId="76" xfId="0" applyNumberFormat="1" applyFont="1" applyFill="1" applyBorder="1" applyAlignment="1" applyProtection="1">
      <alignment horizontal="center" vertical="center" wrapText="1"/>
      <protection/>
    </xf>
    <xf numFmtId="172" fontId="6" fillId="0" borderId="79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56" fillId="0" borderId="48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72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9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493" t="s">
        <v>514</v>
      </c>
      <c r="B2" s="493"/>
      <c r="C2" s="493"/>
    </row>
    <row r="3" spans="1:3" ht="15">
      <c r="A3" s="412"/>
      <c r="B3" s="413"/>
      <c r="C3" s="412"/>
    </row>
    <row r="4" spans="1:3" ht="14.25">
      <c r="A4" s="414" t="s">
        <v>515</v>
      </c>
      <c r="B4" s="415" t="s">
        <v>516</v>
      </c>
      <c r="C4" s="414" t="s">
        <v>517</v>
      </c>
    </row>
    <row r="5" spans="1:3" ht="12.75">
      <c r="A5" s="416"/>
      <c r="B5" s="416"/>
      <c r="C5" s="416"/>
    </row>
    <row r="6" spans="1:3" ht="18.75">
      <c r="A6" s="494" t="s">
        <v>547</v>
      </c>
      <c r="B6" s="494"/>
      <c r="C6" s="494"/>
    </row>
    <row r="7" spans="1:3" ht="12.75">
      <c r="A7" s="416" t="s">
        <v>518</v>
      </c>
      <c r="B7" s="416" t="s">
        <v>519</v>
      </c>
      <c r="C7" s="417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6" t="s">
        <v>520</v>
      </c>
      <c r="B8" s="416" t="s">
        <v>521</v>
      </c>
      <c r="C8" s="417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6" t="s">
        <v>522</v>
      </c>
      <c r="B9" s="416" t="s">
        <v>548</v>
      </c>
      <c r="C9" s="417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ht="12.75">
      <c r="A10" s="416" t="s">
        <v>523</v>
      </c>
      <c r="B10" s="416" t="s">
        <v>549</v>
      </c>
      <c r="C10" s="417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ht="12.75">
      <c r="A11" s="416" t="s">
        <v>524</v>
      </c>
      <c r="B11" s="416" t="s">
        <v>550</v>
      </c>
      <c r="C11" s="417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ht="12.75">
      <c r="A12" s="416" t="s">
        <v>525</v>
      </c>
      <c r="B12" s="416" t="s">
        <v>551</v>
      </c>
      <c r="C12" s="417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16" t="s">
        <v>526</v>
      </c>
      <c r="B13" s="416" t="s">
        <v>552</v>
      </c>
      <c r="C13" s="417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ht="12.75">
      <c r="A14" s="416" t="s">
        <v>527</v>
      </c>
      <c r="B14" s="416" t="s">
        <v>553</v>
      </c>
      <c r="C14" s="417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ht="12.75">
      <c r="A15" s="416" t="s">
        <v>528</v>
      </c>
      <c r="B15" s="416" t="s">
        <v>529</v>
      </c>
      <c r="C15" s="417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6" t="s">
        <v>530</v>
      </c>
      <c r="B16" s="416" t="s">
        <v>465</v>
      </c>
      <c r="C16" s="417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ht="12.75">
      <c r="A17" s="416" t="s">
        <v>531</v>
      </c>
      <c r="B17" s="416" t="s">
        <v>468</v>
      </c>
      <c r="C17" s="417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ht="12.75">
      <c r="A18" s="416" t="s">
        <v>532</v>
      </c>
      <c r="B18" s="416" t="s">
        <v>472</v>
      </c>
      <c r="C18" s="417" t="str">
        <f ca="1">HYPERLINK(SUBSTITUTE(CELL("address",'RM_5.1.sz.mell'!A1),"'",""),SUBSTITUTE(MID(CELL("address",'RM_5.1.sz.mell'!A1),SEARCH("]",CELL("address",'RM_5.1.sz.mell'!A1),1)+1,LEN(CELL("address",'RM_5.1.sz.mell'!A1))-SEARCH("]",CELL("address",'RM_5.1.sz.mell'!A1),1)),"'",""))</f>
        <v>RM_5.1.sz.mell!$A$1</v>
      </c>
    </row>
    <row r="19" spans="1:3" ht="12.75">
      <c r="A19" s="416" t="s">
        <v>533</v>
      </c>
      <c r="B19" s="416" t="s">
        <v>470</v>
      </c>
      <c r="C19" s="417" t="str">
        <f ca="1">HYPERLINK(SUBSTITUTE(CELL("address",'RM_5.1.1.sz.mell'!A1),"'",""),SUBSTITUTE(MID(CELL("address",'RM_5.1.1.sz.mell'!A1),SEARCH("]",CELL("address",'RM_5.1.1.sz.mell'!A1),1)+1,LEN(CELL("address",'RM_5.1.1.sz.mell'!A1))-SEARCH("]",CELL("address",'RM_5.1.1.sz.mell'!A1),1)),"'",""))</f>
        <v>RM_5.1.1.sz.mell!$A$1</v>
      </c>
    </row>
    <row r="20" spans="1:3" ht="12.75">
      <c r="A20" s="416" t="s">
        <v>534</v>
      </c>
      <c r="B20" s="416" t="s">
        <v>471</v>
      </c>
      <c r="C20" s="417" t="str">
        <f ca="1">HYPERLINK(SUBSTITUTE(CELL("address",'RM_5.1.2.sz.mell'!A1),"'",""),SUBSTITUTE(MID(CELL("address",'RM_5.1.2.sz.mell'!A1),SEARCH("]",CELL("address",'RM_5.1.2.sz.mell'!A1),1)+1,LEN(CELL("address",'RM_5.1.2.sz.mell'!A1))-SEARCH("]",CELL("address",'RM_5.1.2.sz.mell'!A1),1)),"'",""))</f>
        <v>RM_5.1.2.sz.mell!$A$1</v>
      </c>
    </row>
    <row r="21" spans="1:3" ht="12.75">
      <c r="A21" s="416" t="s">
        <v>535</v>
      </c>
      <c r="B21" s="416" t="s">
        <v>473</v>
      </c>
      <c r="C21" s="417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16" t="s">
        <v>536</v>
      </c>
      <c r="B22" s="416" t="str">
        <f>RM_ALAPADATOK!A11</f>
        <v>Tiszaszőlősi Közös Önkormányzati Hivatal</v>
      </c>
      <c r="C22" s="417" t="str">
        <f ca="1">HYPERLINK(SUBSTITUTE(CELL("address",'RM_5.2.sz.mell'!A1),"'",""),SUBSTITUTE(MID(CELL("address",'RM_5.2.sz.mell'!A1),SEARCH("]",CELL("address",'RM_5.2.sz.mell'!A1),1)+1,LEN(CELL("address",'RM_5.2.sz.mell'!A1))-SEARCH("]",CELL("address",'RM_5.2.sz.mell'!A1),1)),"'",""))</f>
        <v>RM_5.2.sz.mell!$A$1</v>
      </c>
    </row>
    <row r="23" spans="1:3" ht="12.75">
      <c r="A23" s="416" t="s">
        <v>537</v>
      </c>
      <c r="B23" t="str">
        <f>RM_ALAPADATOK!B13</f>
        <v>Tiszaszőlősi Cseperedő Óvoda</v>
      </c>
      <c r="C23" s="417" t="str">
        <f ca="1">HYPERLINK(SUBSTITUTE(CELL("address",'RM_5.3.sz.mell'!A1),"'",""),SUBSTITUTE(MID(CELL("address",'RM_5.3.sz.mell'!A1),SEARCH("]",CELL("address",'RM_5.3.sz.mell'!A1),1)+1,LEN(CELL("address",'RM_5.3.sz.mell'!A1))-SEARCH("]",CELL("address",'RM_5.3.sz.mell'!A1),1)),"'",""))</f>
        <v>RM_5.3.sz.mell!$A$1</v>
      </c>
    </row>
    <row r="24" spans="1:3" ht="12.75">
      <c r="A24" s="416" t="s">
        <v>538</v>
      </c>
      <c r="B24" t="str">
        <f>RM_ALAPADATOK!B15</f>
        <v>Községi Könyvtár és Szabadidőközpont</v>
      </c>
      <c r="C24" s="417" t="str">
        <f ca="1">HYPERLINK(SUBSTITUTE(CELL("address",'RM_5.4.sz.mell'!A1),"'",""),SUBSTITUTE(MID(CELL("address",'RM_5.4.sz.mell'!A1),SEARCH("]",CELL("address",'RM_5.4.sz.mell'!A1),1)+1,LEN(CELL("address",'RM_5.4.sz.mell'!A1))-SEARCH("]",CELL("address",'RM_5.4.sz.mell'!A1),1)),"'",""))</f>
        <v>RM_5.4.sz.mell!$A$1</v>
      </c>
    </row>
    <row r="25" spans="1:3" ht="12.75">
      <c r="A25" s="416" t="s">
        <v>539</v>
      </c>
      <c r="B25" t="str">
        <f>RM_ALAPADATOK!B17</f>
        <v>3 kvi név</v>
      </c>
      <c r="C25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16" t="s">
        <v>540</v>
      </c>
      <c r="B26" t="str">
        <f>RM_ALAPADATOK!B19</f>
        <v>4 kvi név</v>
      </c>
      <c r="C26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16" t="s">
        <v>541</v>
      </c>
      <c r="B27" t="str">
        <f>RM_ALAPADATOK!B21</f>
        <v>5 kvi név</v>
      </c>
      <c r="C27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16" t="s">
        <v>542</v>
      </c>
      <c r="B28" t="str">
        <f>RM_ALAPADATOK!B23</f>
        <v>6 kvi név</v>
      </c>
      <c r="C28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16" t="s">
        <v>543</v>
      </c>
      <c r="B29" t="str">
        <f>RM_ALAPADATOK!B25</f>
        <v>7 kvi név</v>
      </c>
      <c r="C29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16" t="s">
        <v>544</v>
      </c>
      <c r="B30" t="str">
        <f>RM_ALAPADATOK!B27</f>
        <v>8 kvi név</v>
      </c>
      <c r="C30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16" t="s">
        <v>545</v>
      </c>
      <c r="B31" t="str">
        <f>RM_ALAPADATOK!B29</f>
        <v>9 kvi név</v>
      </c>
      <c r="C31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16" t="s">
        <v>546</v>
      </c>
      <c r="B32" t="str">
        <f>RM_ALAPADATOK!B31</f>
        <v>10 kvi név</v>
      </c>
      <c r="C32" s="41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16" t="s">
        <v>561</v>
      </c>
      <c r="B33" t="str">
        <f>'RM_6.sz.mell'!B1</f>
        <v>A 2019. évi általános működés és ágazati feladatok támogatásának alakulása jogcímenként</v>
      </c>
      <c r="C33" s="417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9" t="s">
        <v>425</v>
      </c>
      <c r="B1" s="60"/>
      <c r="C1" s="60"/>
      <c r="D1" s="60"/>
      <c r="E1" s="210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1"/>
      <c r="B3" s="212"/>
      <c r="C3" s="211"/>
      <c r="D3" s="213"/>
      <c r="E3" s="212"/>
    </row>
    <row r="4" spans="1:5" ht="15.75">
      <c r="A4" s="62" t="str">
        <f>+RM_ÖSSZEFÜGGÉSEK!A6</f>
        <v>2019. évi eredeti előirányzat BEVÉTELEK</v>
      </c>
      <c r="B4" s="214"/>
      <c r="C4" s="215"/>
      <c r="D4" s="213"/>
      <c r="E4" s="212"/>
    </row>
    <row r="5" spans="1:5" ht="12.75">
      <c r="A5" s="211"/>
      <c r="B5" s="212"/>
      <c r="C5" s="211"/>
      <c r="D5" s="213"/>
      <c r="E5" s="212"/>
    </row>
    <row r="6" spans="1:5" ht="12.75">
      <c r="A6" s="211" t="s">
        <v>394</v>
      </c>
      <c r="B6" s="212">
        <f>+'RM_1.1.sz.mell.'!C68</f>
        <v>301333365</v>
      </c>
      <c r="C6" s="211" t="s">
        <v>374</v>
      </c>
      <c r="D6" s="213">
        <f>+'RM_2.1.sz.mell.'!C18+'RM_2.2.sz.mell.'!C17</f>
        <v>301333365</v>
      </c>
      <c r="E6" s="212">
        <f>+B6-D6</f>
        <v>0</v>
      </c>
    </row>
    <row r="7" spans="1:5" ht="12.75">
      <c r="A7" s="211" t="s">
        <v>410</v>
      </c>
      <c r="B7" s="212">
        <f>+'RM_1.1.sz.mell.'!C92</f>
        <v>644050438</v>
      </c>
      <c r="C7" s="211" t="s">
        <v>380</v>
      </c>
      <c r="D7" s="213">
        <f>+'RM_2.1.sz.mell.'!C29+'RM_2.2.sz.mell.'!C30</f>
        <v>644050438</v>
      </c>
      <c r="E7" s="212">
        <f>+B7-D7</f>
        <v>0</v>
      </c>
    </row>
    <row r="8" spans="1:5" ht="12.75">
      <c r="A8" s="211" t="s">
        <v>411</v>
      </c>
      <c r="B8" s="212">
        <f>+'RM_1.1.sz.mell.'!C93</f>
        <v>945383803</v>
      </c>
      <c r="C8" s="211" t="s">
        <v>381</v>
      </c>
      <c r="D8" s="213">
        <f>+'RM_2.1.sz.mell.'!C30+'RM_2.2.sz.mell.'!C31</f>
        <v>945383803</v>
      </c>
      <c r="E8" s="212">
        <f>+B8-D8</f>
        <v>0</v>
      </c>
    </row>
    <row r="9" spans="1:5" ht="12.75">
      <c r="A9" s="211"/>
      <c r="B9" s="212"/>
      <c r="C9" s="211"/>
      <c r="D9" s="213"/>
      <c r="E9" s="212"/>
    </row>
    <row r="10" spans="1:5" ht="15.75">
      <c r="A10" s="62" t="str">
        <f>+RM_ÖSSZEFÜGGÉSEK!A13</f>
        <v>2019. évi előirányzat módosítások BEVÉTELEK</v>
      </c>
      <c r="B10" s="214"/>
      <c r="C10" s="215"/>
      <c r="D10" s="213"/>
      <c r="E10" s="212"/>
    </row>
    <row r="11" spans="1:5" ht="12.75">
      <c r="A11" s="211"/>
      <c r="B11" s="212"/>
      <c r="C11" s="211"/>
      <c r="D11" s="213"/>
      <c r="E11" s="212"/>
    </row>
    <row r="12" spans="1:5" ht="12.75">
      <c r="A12" s="211" t="s">
        <v>395</v>
      </c>
      <c r="B12" s="212">
        <f>+'RM_1.1.sz.mell.'!J68</f>
        <v>184233519</v>
      </c>
      <c r="C12" s="211" t="s">
        <v>375</v>
      </c>
      <c r="D12" s="213">
        <f>+'RM_2.1.sz.mell.'!D18+'RM_2.2.sz.mell.'!D17</f>
        <v>184233519</v>
      </c>
      <c r="E12" s="212">
        <f>+B12-D12</f>
        <v>0</v>
      </c>
    </row>
    <row r="13" spans="1:5" ht="12.75">
      <c r="A13" s="211" t="s">
        <v>396</v>
      </c>
      <c r="B13" s="212">
        <f>+'RM_1.1.sz.mell.'!J92</f>
        <v>-50385019</v>
      </c>
      <c r="C13" s="211" t="s">
        <v>382</v>
      </c>
      <c r="D13" s="213">
        <f>+'RM_2.1.sz.mell.'!D29+'RM_2.2.sz.mell.'!D30</f>
        <v>-50385019</v>
      </c>
      <c r="E13" s="212">
        <f>+B13-D13</f>
        <v>0</v>
      </c>
    </row>
    <row r="14" spans="1:5" ht="12.75">
      <c r="A14" s="211" t="s">
        <v>397</v>
      </c>
      <c r="B14" s="212">
        <f>+'RM_1.1.sz.mell.'!J93</f>
        <v>133848500</v>
      </c>
      <c r="C14" s="211" t="s">
        <v>383</v>
      </c>
      <c r="D14" s="213">
        <f>+'RM_2.1.sz.mell.'!D30+'RM_2.2.sz.mell.'!D31</f>
        <v>133848500</v>
      </c>
      <c r="E14" s="212">
        <f>+B14-D14</f>
        <v>0</v>
      </c>
    </row>
    <row r="15" spans="1:5" ht="12.75">
      <c r="A15" s="211"/>
      <c r="B15" s="212"/>
      <c r="C15" s="211"/>
      <c r="D15" s="213"/>
      <c r="E15" s="212"/>
    </row>
    <row r="16" spans="1:5" ht="14.25">
      <c r="A16" s="216" t="str">
        <f>+RM_ÖSSZEFÜGGÉSEK!A19</f>
        <v>2019. módosítás utáni módosított előrirányzatok BEVÉTELEK</v>
      </c>
      <c r="B16" s="61"/>
      <c r="C16" s="215"/>
      <c r="D16" s="213"/>
      <c r="E16" s="212"/>
    </row>
    <row r="17" spans="1:5" ht="12.75">
      <c r="A17" s="211"/>
      <c r="B17" s="212"/>
      <c r="C17" s="211"/>
      <c r="D17" s="213"/>
      <c r="E17" s="212"/>
    </row>
    <row r="18" spans="1:5" ht="12.75">
      <c r="A18" s="211" t="s">
        <v>398</v>
      </c>
      <c r="B18" s="212">
        <f>+'RM_1.1.sz.mell.'!K68</f>
        <v>485566884</v>
      </c>
      <c r="C18" s="211" t="s">
        <v>376</v>
      </c>
      <c r="D18" s="213">
        <f>+'RM_2.1.sz.mell.'!E18+'RM_2.2.sz.mell.'!E17</f>
        <v>485566884</v>
      </c>
      <c r="E18" s="212">
        <f>+B18-D18</f>
        <v>0</v>
      </c>
    </row>
    <row r="19" spans="1:5" ht="12.75">
      <c r="A19" s="211" t="s">
        <v>399</v>
      </c>
      <c r="B19" s="212">
        <f>+'RM_1.1.sz.mell.'!K92</f>
        <v>593665419</v>
      </c>
      <c r="C19" s="211" t="s">
        <v>384</v>
      </c>
      <c r="D19" s="213">
        <f>+'RM_2.1.sz.mell.'!E29+'RM_2.2.sz.mell.'!E30</f>
        <v>593665419</v>
      </c>
      <c r="E19" s="212">
        <f>+B19-D19</f>
        <v>0</v>
      </c>
    </row>
    <row r="20" spans="1:5" ht="12.75">
      <c r="A20" s="211" t="s">
        <v>400</v>
      </c>
      <c r="B20" s="212">
        <f>+'RM_1.1.sz.mell.'!K93</f>
        <v>1079232303</v>
      </c>
      <c r="C20" s="211" t="s">
        <v>385</v>
      </c>
      <c r="D20" s="213">
        <f>+'RM_2.1.sz.mell.'!E30+'RM_2.2.sz.mell.'!E31</f>
        <v>1079232303</v>
      </c>
      <c r="E20" s="212">
        <f>+B20-D20</f>
        <v>0</v>
      </c>
    </row>
    <row r="21" spans="1:5" ht="12.75">
      <c r="A21" s="211"/>
      <c r="B21" s="212"/>
      <c r="C21" s="211"/>
      <c r="D21" s="213"/>
      <c r="E21" s="212"/>
    </row>
    <row r="22" spans="1:5" ht="15.75">
      <c r="A22" s="62" t="str">
        <f>+RM_ÖSSZEFÜGGÉSEK!A25</f>
        <v>2019. évi eredeti előirányzat KIADÁSOK</v>
      </c>
      <c r="B22" s="214"/>
      <c r="C22" s="215"/>
      <c r="D22" s="213"/>
      <c r="E22" s="212"/>
    </row>
    <row r="23" spans="1:5" ht="12.75">
      <c r="A23" s="211"/>
      <c r="B23" s="212"/>
      <c r="C23" s="211"/>
      <c r="D23" s="213"/>
      <c r="E23" s="212"/>
    </row>
    <row r="24" spans="1:5" ht="12.75">
      <c r="A24" s="211" t="s">
        <v>412</v>
      </c>
      <c r="B24" s="212">
        <f>+'RM_1.1.sz.mell.'!C135</f>
        <v>945383803</v>
      </c>
      <c r="C24" s="211" t="s">
        <v>377</v>
      </c>
      <c r="D24" s="213">
        <f>+'RM_2.1.sz.mell.'!G18+'RM_2.2.sz.mell.'!G17</f>
        <v>945383803</v>
      </c>
      <c r="E24" s="212">
        <f>+B24-D24</f>
        <v>0</v>
      </c>
    </row>
    <row r="25" spans="1:5" ht="12.75">
      <c r="A25" s="211" t="s">
        <v>402</v>
      </c>
      <c r="B25" s="212">
        <f>+'RM_1.1.sz.mell.'!C160</f>
        <v>0</v>
      </c>
      <c r="C25" s="211" t="s">
        <v>386</v>
      </c>
      <c r="D25" s="213">
        <f>+'RM_2.1.sz.mell.'!G29+'RM_2.2.sz.mell.'!G30</f>
        <v>0</v>
      </c>
      <c r="E25" s="212">
        <f>+B25-D25</f>
        <v>0</v>
      </c>
    </row>
    <row r="26" spans="1:5" ht="12.75">
      <c r="A26" s="211" t="s">
        <v>403</v>
      </c>
      <c r="B26" s="212">
        <f>+'RM_1.1.sz.mell.'!C161</f>
        <v>945383803</v>
      </c>
      <c r="C26" s="211" t="s">
        <v>387</v>
      </c>
      <c r="D26" s="213">
        <f>+'RM_2.1.sz.mell.'!G30+'RM_2.2.sz.mell.'!G31</f>
        <v>945383803</v>
      </c>
      <c r="E26" s="212">
        <f>+B26-D26</f>
        <v>0</v>
      </c>
    </row>
    <row r="27" spans="1:5" ht="12.75">
      <c r="A27" s="211"/>
      <c r="B27" s="212"/>
      <c r="C27" s="211"/>
      <c r="D27" s="213"/>
      <c r="E27" s="212"/>
    </row>
    <row r="28" spans="1:5" ht="15.75">
      <c r="A28" s="62" t="str">
        <f>+RM_ÖSSZEFÜGGÉSEK!A31</f>
        <v>2019. évi előirányzat módosítások KIADÁSOK</v>
      </c>
      <c r="B28" s="214"/>
      <c r="C28" s="215"/>
      <c r="D28" s="213"/>
      <c r="E28" s="212"/>
    </row>
    <row r="29" spans="1:5" ht="12.75">
      <c r="A29" s="211"/>
      <c r="B29" s="212"/>
      <c r="C29" s="211"/>
      <c r="D29" s="213"/>
      <c r="E29" s="212"/>
    </row>
    <row r="30" spans="1:5" ht="12.75">
      <c r="A30" s="211" t="s">
        <v>404</v>
      </c>
      <c r="B30" s="212">
        <f>+'RM_1.1.sz.mell.'!J135</f>
        <v>133848500</v>
      </c>
      <c r="C30" s="211" t="s">
        <v>378</v>
      </c>
      <c r="D30" s="213">
        <f>+'RM_2.1.sz.mell.'!H18+'RM_2.2.sz.mell.'!H17</f>
        <v>133848500</v>
      </c>
      <c r="E30" s="212">
        <f>+B30-D30</f>
        <v>0</v>
      </c>
    </row>
    <row r="31" spans="1:5" ht="12.75">
      <c r="A31" s="211" t="s">
        <v>405</v>
      </c>
      <c r="B31" s="212">
        <f>+'RM_1.1.sz.mell.'!J160</f>
        <v>0</v>
      </c>
      <c r="C31" s="211" t="s">
        <v>388</v>
      </c>
      <c r="D31" s="213">
        <f>+'RM_2.1.sz.mell.'!H29+'RM_2.2.sz.mell.'!H30</f>
        <v>0</v>
      </c>
      <c r="E31" s="212">
        <f>+B31-D31</f>
        <v>0</v>
      </c>
    </row>
    <row r="32" spans="1:5" ht="12.75">
      <c r="A32" s="211" t="s">
        <v>406</v>
      </c>
      <c r="B32" s="212">
        <f>+'RM_1.1.sz.mell.'!J161</f>
        <v>133848500</v>
      </c>
      <c r="C32" s="211" t="s">
        <v>389</v>
      </c>
      <c r="D32" s="213">
        <f>+'RM_2.1.sz.mell.'!H30+'RM_2.2.sz.mell.'!H31</f>
        <v>133848500</v>
      </c>
      <c r="E32" s="212">
        <f>+B32-D32</f>
        <v>0</v>
      </c>
    </row>
    <row r="33" spans="1:5" ht="12.75">
      <c r="A33" s="211"/>
      <c r="B33" s="212"/>
      <c r="C33" s="211"/>
      <c r="D33" s="213"/>
      <c r="E33" s="212"/>
    </row>
    <row r="34" spans="1:5" ht="15.75">
      <c r="A34" s="217" t="str">
        <f>+RM_ÖSSZEFÜGGÉSEK!A37</f>
        <v>2019. módosítás utáni módosított előirányzatok KIADÁSOK</v>
      </c>
      <c r="B34" s="214"/>
      <c r="C34" s="215"/>
      <c r="D34" s="213"/>
      <c r="E34" s="212"/>
    </row>
    <row r="35" spans="1:5" ht="12.75">
      <c r="A35" s="211"/>
      <c r="B35" s="212"/>
      <c r="C35" s="211"/>
      <c r="D35" s="213"/>
      <c r="E35" s="212"/>
    </row>
    <row r="36" spans="1:5" ht="12.75">
      <c r="A36" s="211" t="s">
        <v>407</v>
      </c>
      <c r="B36" s="212">
        <f>+'RM_1.1.sz.mell.'!K135</f>
        <v>1079232303</v>
      </c>
      <c r="C36" s="211" t="s">
        <v>379</v>
      </c>
      <c r="D36" s="213">
        <f>+'RM_2.1.sz.mell.'!I18+'RM_2.2.sz.mell.'!I17</f>
        <v>1079232303</v>
      </c>
      <c r="E36" s="212">
        <f>+B36-D36</f>
        <v>0</v>
      </c>
    </row>
    <row r="37" spans="1:5" ht="12.75">
      <c r="A37" s="211" t="s">
        <v>408</v>
      </c>
      <c r="B37" s="212">
        <f>+'RM_1.1.sz.mell.'!K160</f>
        <v>0</v>
      </c>
      <c r="C37" s="211" t="s">
        <v>390</v>
      </c>
      <c r="D37" s="213">
        <f>+'RM_2.1.sz.mell.'!I29+'RM_2.2.sz.mell.'!I30</f>
        <v>0</v>
      </c>
      <c r="E37" s="212">
        <f>+B37-D37</f>
        <v>0</v>
      </c>
    </row>
    <row r="38" spans="1:5" ht="12.75">
      <c r="A38" s="211" t="s">
        <v>413</v>
      </c>
      <c r="B38" s="212">
        <f>+'RM_1.1.sz.mell.'!K161</f>
        <v>1079232303</v>
      </c>
      <c r="C38" s="211" t="s">
        <v>391</v>
      </c>
      <c r="D38" s="213">
        <f>+'RM_2.1.sz.mell.'!I30+'RM_2.2.sz.mell.'!I31</f>
        <v>1079232303</v>
      </c>
      <c r="E38" s="212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0">
      <selection activeCell="A14" sqref="A14"/>
    </sheetView>
  </sheetViews>
  <sheetFormatPr defaultColWidth="9.00390625" defaultRowHeight="12.75"/>
  <cols>
    <col min="1" max="1" width="47.5039062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24" t="str">
        <f>CONCATENATE("3. melléklet ",RM_ALAPADATOK!A7," ",RM_ALAPADATOK!B7," ",RM_ALAPADATOK!C7," ",RM_ALAPADATOK!D7," ",RM_ALAPADATOK!E7," ",RM_ALAPADATOK!F7," ",RM_ALAPADATOK!G7," ",RM_ALAPADATOK!H7)</f>
        <v>3. melléklet a  / 2019 ( … ) önkormányzati rendelethez</v>
      </c>
      <c r="D1" s="525"/>
      <c r="E1" s="525"/>
      <c r="F1" s="525"/>
      <c r="G1" s="525"/>
      <c r="H1" s="525"/>
      <c r="I1" s="525"/>
    </row>
    <row r="3" spans="1:9" ht="25.5" customHeight="1">
      <c r="A3" s="523" t="s">
        <v>465</v>
      </c>
      <c r="B3" s="523"/>
      <c r="C3" s="523"/>
      <c r="D3" s="523"/>
      <c r="E3" s="523"/>
      <c r="F3" s="523"/>
      <c r="G3" s="523"/>
      <c r="H3" s="523"/>
      <c r="I3" s="523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25" customHeight="1" thickBot="1">
      <c r="A5" s="56" t="s">
        <v>42</v>
      </c>
      <c r="B5" s="439" t="s">
        <v>43</v>
      </c>
      <c r="C5" s="439" t="s">
        <v>44</v>
      </c>
      <c r="D5" s="439" t="str">
        <f>+CONCATENATE("Felhasználás   ",LEFT(RM_ÖSSZEFÜGGÉSEK!A6,4)-1,". XII. 31-ig")</f>
        <v>Felhasználás   2018. XII. 31-ig</v>
      </c>
      <c r="E5" s="439" t="str">
        <f>+CONCATENATE(LEFT(RM_ÖSSZEFÜGGÉSEK!A6,4),". évi",CHAR(10),"eredeti előirányzat")</f>
        <v>2019. évi
eredeti előirányzat</v>
      </c>
      <c r="F5" s="295" t="s">
        <v>469</v>
      </c>
      <c r="G5" s="295" t="s">
        <v>573</v>
      </c>
      <c r="H5" s="295" t="s">
        <v>641</v>
      </c>
      <c r="I5" s="296" t="s">
        <v>570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32" t="s">
        <v>351</v>
      </c>
      <c r="G6" s="32" t="s">
        <v>352</v>
      </c>
      <c r="H6" s="297" t="s">
        <v>437</v>
      </c>
      <c r="I6" s="298" t="s">
        <v>436</v>
      </c>
    </row>
    <row r="7" spans="1:9" ht="15.75" customHeight="1">
      <c r="A7" s="172" t="s">
        <v>571</v>
      </c>
      <c r="B7" s="20">
        <v>809744</v>
      </c>
      <c r="C7" s="174" t="s">
        <v>572</v>
      </c>
      <c r="D7" s="20"/>
      <c r="E7" s="20">
        <v>809744</v>
      </c>
      <c r="F7" s="20"/>
      <c r="G7" s="20"/>
      <c r="H7" s="20">
        <f>F7+G7</f>
        <v>0</v>
      </c>
      <c r="I7" s="34">
        <f>E7+H7</f>
        <v>809744</v>
      </c>
    </row>
    <row r="8" spans="1:9" ht="15.75" customHeight="1">
      <c r="A8" s="172" t="s">
        <v>574</v>
      </c>
      <c r="B8" s="20">
        <v>560192030</v>
      </c>
      <c r="C8" s="174" t="s">
        <v>572</v>
      </c>
      <c r="D8" s="20"/>
      <c r="E8" s="20">
        <v>560192030</v>
      </c>
      <c r="F8" s="20"/>
      <c r="G8" s="20">
        <v>-42333539</v>
      </c>
      <c r="H8" s="20">
        <f>F8+G8</f>
        <v>-42333539</v>
      </c>
      <c r="I8" s="34">
        <f>E8+H8</f>
        <v>517858491</v>
      </c>
    </row>
    <row r="9" spans="1:9" ht="15.75" customHeight="1">
      <c r="A9" s="172" t="s">
        <v>575</v>
      </c>
      <c r="B9" s="20">
        <v>53260167</v>
      </c>
      <c r="C9" s="174" t="s">
        <v>572</v>
      </c>
      <c r="D9" s="20"/>
      <c r="E9" s="20">
        <v>53260167</v>
      </c>
      <c r="F9" s="20"/>
      <c r="G9" s="20">
        <v>8088561</v>
      </c>
      <c r="H9" s="20">
        <f aca="true" t="shared" si="0" ref="H9:H24">F9+G9</f>
        <v>8088561</v>
      </c>
      <c r="I9" s="34">
        <f aca="true" t="shared" si="1" ref="I9:I24">E9+H9</f>
        <v>61348728</v>
      </c>
    </row>
    <row r="10" spans="1:9" ht="22.5" customHeight="1">
      <c r="A10" s="172" t="s">
        <v>576</v>
      </c>
      <c r="B10" s="20">
        <v>762000</v>
      </c>
      <c r="C10" s="174" t="s">
        <v>572</v>
      </c>
      <c r="D10" s="20"/>
      <c r="E10" s="20">
        <v>762000</v>
      </c>
      <c r="F10" s="20"/>
      <c r="G10" s="20">
        <v>769915</v>
      </c>
      <c r="H10" s="20">
        <f t="shared" si="0"/>
        <v>769915</v>
      </c>
      <c r="I10" s="34">
        <f t="shared" si="1"/>
        <v>1531915</v>
      </c>
    </row>
    <row r="11" spans="1:9" ht="24" customHeight="1">
      <c r="A11" s="172" t="s">
        <v>577</v>
      </c>
      <c r="B11" s="20">
        <v>190500</v>
      </c>
      <c r="C11" s="174" t="s">
        <v>572</v>
      </c>
      <c r="D11" s="20"/>
      <c r="E11" s="20">
        <v>190500</v>
      </c>
      <c r="F11" s="20"/>
      <c r="G11" s="20"/>
      <c r="H11" s="20">
        <f t="shared" si="0"/>
        <v>0</v>
      </c>
      <c r="I11" s="34">
        <f t="shared" si="1"/>
        <v>190500</v>
      </c>
    </row>
    <row r="12" spans="1:9" ht="15.75" customHeight="1">
      <c r="A12" s="492" t="s">
        <v>639</v>
      </c>
      <c r="B12" s="20">
        <v>40000000</v>
      </c>
      <c r="C12" s="174" t="s">
        <v>640</v>
      </c>
      <c r="D12" s="20"/>
      <c r="E12" s="20"/>
      <c r="F12" s="20"/>
      <c r="G12" s="20"/>
      <c r="H12" s="20">
        <v>40000000</v>
      </c>
      <c r="I12" s="34">
        <f t="shared" si="1"/>
        <v>40000000</v>
      </c>
    </row>
    <row r="13" spans="1:9" ht="15.75" customHeight="1">
      <c r="A13" s="172" t="s">
        <v>642</v>
      </c>
      <c r="B13" s="20">
        <v>2996269</v>
      </c>
      <c r="C13" s="174" t="s">
        <v>640</v>
      </c>
      <c r="D13" s="20"/>
      <c r="E13" s="20"/>
      <c r="F13" s="20"/>
      <c r="G13" s="20"/>
      <c r="H13" s="20">
        <v>2996269</v>
      </c>
      <c r="I13" s="34">
        <f t="shared" si="1"/>
        <v>2996269</v>
      </c>
    </row>
    <row r="14" spans="1:9" ht="15.75" customHeight="1">
      <c r="A14" s="172"/>
      <c r="B14" s="20"/>
      <c r="C14" s="174"/>
      <c r="D14" s="20"/>
      <c r="E14" s="20"/>
      <c r="F14" s="20"/>
      <c r="G14" s="20"/>
      <c r="H14" s="20">
        <f t="shared" si="0"/>
        <v>0</v>
      </c>
      <c r="I14" s="34">
        <f t="shared" si="1"/>
        <v>0</v>
      </c>
    </row>
    <row r="15" spans="1:9" ht="15.75" customHeight="1">
      <c r="A15" s="172"/>
      <c r="B15" s="20"/>
      <c r="C15" s="174"/>
      <c r="D15" s="20"/>
      <c r="E15" s="20"/>
      <c r="F15" s="20"/>
      <c r="G15" s="20"/>
      <c r="H15" s="20">
        <f t="shared" si="0"/>
        <v>0</v>
      </c>
      <c r="I15" s="34">
        <f t="shared" si="1"/>
        <v>0</v>
      </c>
    </row>
    <row r="16" spans="1:9" ht="15.75" customHeight="1">
      <c r="A16" s="172"/>
      <c r="B16" s="20"/>
      <c r="C16" s="174"/>
      <c r="D16" s="20"/>
      <c r="E16" s="20"/>
      <c r="F16" s="20"/>
      <c r="G16" s="20"/>
      <c r="H16" s="20">
        <f t="shared" si="0"/>
        <v>0</v>
      </c>
      <c r="I16" s="34">
        <f t="shared" si="1"/>
        <v>0</v>
      </c>
    </row>
    <row r="17" spans="1:9" ht="15.75" customHeight="1">
      <c r="A17" s="172"/>
      <c r="B17" s="20"/>
      <c r="C17" s="174"/>
      <c r="D17" s="20"/>
      <c r="E17" s="20"/>
      <c r="F17" s="20"/>
      <c r="G17" s="20"/>
      <c r="H17" s="20">
        <f t="shared" si="0"/>
        <v>0</v>
      </c>
      <c r="I17" s="34">
        <f t="shared" si="1"/>
        <v>0</v>
      </c>
    </row>
    <row r="18" spans="1:9" ht="15.75" customHeight="1">
      <c r="A18" s="172"/>
      <c r="B18" s="20"/>
      <c r="C18" s="174"/>
      <c r="D18" s="20"/>
      <c r="E18" s="20"/>
      <c r="F18" s="20"/>
      <c r="G18" s="20"/>
      <c r="H18" s="20">
        <f t="shared" si="0"/>
        <v>0</v>
      </c>
      <c r="I18" s="34">
        <f t="shared" si="1"/>
        <v>0</v>
      </c>
    </row>
    <row r="19" spans="1:9" ht="15.75" customHeight="1">
      <c r="A19" s="172"/>
      <c r="B19" s="20"/>
      <c r="C19" s="174"/>
      <c r="D19" s="20"/>
      <c r="E19" s="20"/>
      <c r="F19" s="20"/>
      <c r="G19" s="20"/>
      <c r="H19" s="20">
        <f t="shared" si="0"/>
        <v>0</v>
      </c>
      <c r="I19" s="34">
        <f t="shared" si="1"/>
        <v>0</v>
      </c>
    </row>
    <row r="20" spans="1:9" ht="15.75" customHeight="1">
      <c r="A20" s="172"/>
      <c r="B20" s="20"/>
      <c r="C20" s="174"/>
      <c r="D20" s="20"/>
      <c r="E20" s="20"/>
      <c r="F20" s="20"/>
      <c r="G20" s="20"/>
      <c r="H20" s="20">
        <f t="shared" si="0"/>
        <v>0</v>
      </c>
      <c r="I20" s="34">
        <f t="shared" si="1"/>
        <v>0</v>
      </c>
    </row>
    <row r="21" spans="1:9" ht="15.75" customHeight="1">
      <c r="A21" s="172"/>
      <c r="B21" s="20"/>
      <c r="C21" s="174"/>
      <c r="D21" s="20"/>
      <c r="E21" s="20"/>
      <c r="F21" s="20"/>
      <c r="G21" s="20"/>
      <c r="H21" s="20">
        <f t="shared" si="0"/>
        <v>0</v>
      </c>
      <c r="I21" s="34">
        <f t="shared" si="1"/>
        <v>0</v>
      </c>
    </row>
    <row r="22" spans="1:9" ht="15.75" customHeight="1">
      <c r="A22" s="172"/>
      <c r="B22" s="20"/>
      <c r="C22" s="174"/>
      <c r="D22" s="20"/>
      <c r="E22" s="20"/>
      <c r="F22" s="20"/>
      <c r="G22" s="20"/>
      <c r="H22" s="20">
        <f t="shared" si="0"/>
        <v>0</v>
      </c>
      <c r="I22" s="34">
        <f t="shared" si="1"/>
        <v>0</v>
      </c>
    </row>
    <row r="23" spans="1:9" ht="15.75" customHeight="1">
      <c r="A23" s="172"/>
      <c r="B23" s="20"/>
      <c r="C23" s="174"/>
      <c r="D23" s="20"/>
      <c r="E23" s="20"/>
      <c r="F23" s="20"/>
      <c r="G23" s="20"/>
      <c r="H23" s="20">
        <f t="shared" si="0"/>
        <v>0</v>
      </c>
      <c r="I23" s="34">
        <f t="shared" si="1"/>
        <v>0</v>
      </c>
    </row>
    <row r="24" spans="1:9" ht="15.75" customHeight="1" thickBot="1">
      <c r="A24" s="35"/>
      <c r="B24" s="21"/>
      <c r="C24" s="175"/>
      <c r="D24" s="21"/>
      <c r="E24" s="21"/>
      <c r="F24" s="21"/>
      <c r="G24" s="21"/>
      <c r="H24" s="20">
        <f t="shared" si="0"/>
        <v>0</v>
      </c>
      <c r="I24" s="36">
        <f t="shared" si="1"/>
        <v>0</v>
      </c>
    </row>
    <row r="25" spans="1:9" s="39" customFormat="1" ht="18" customHeight="1" thickBot="1">
      <c r="A25" s="58" t="s">
        <v>41</v>
      </c>
      <c r="B25" s="37">
        <f>SUM(B7:B24)</f>
        <v>658210710</v>
      </c>
      <c r="C25" s="45"/>
      <c r="D25" s="37">
        <f aca="true" t="shared" si="2" ref="D25:I25">SUM(D7:D24)</f>
        <v>0</v>
      </c>
      <c r="E25" s="37">
        <f t="shared" si="2"/>
        <v>615214441</v>
      </c>
      <c r="F25" s="37">
        <f t="shared" si="2"/>
        <v>0</v>
      </c>
      <c r="G25" s="37">
        <f t="shared" si="2"/>
        <v>-33475063</v>
      </c>
      <c r="H25" s="37">
        <f t="shared" si="2"/>
        <v>9521206</v>
      </c>
      <c r="I25" s="38">
        <f t="shared" si="2"/>
        <v>624735647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="120" zoomScaleNormal="120" workbookViewId="0" topLeftCell="A1">
      <selection activeCell="A10" sqref="A10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24" t="str">
        <f>CONCATENATE("4. melléklet ",RM_ALAPADATOK!A7," ",RM_ALAPADATOK!B7," ",RM_ALAPADATOK!C7," ",RM_ALAPADATOK!D7," ",RM_ALAPADATOK!E7," ",RM_ALAPADATOK!F7," ",RM_ALAPADATOK!G7," ",RM_ALAPADATOK!H7)</f>
        <v>4. melléklet a  / 2019 ( … ) önkormányzati rendelethez</v>
      </c>
      <c r="D1" s="525"/>
      <c r="E1" s="525"/>
      <c r="F1" s="525"/>
      <c r="G1" s="525"/>
      <c r="H1" s="525"/>
      <c r="I1" s="525"/>
    </row>
    <row r="2" spans="1:9" ht="12.75">
      <c r="A2" s="312"/>
      <c r="B2" s="313"/>
      <c r="C2" s="313"/>
      <c r="D2" s="313"/>
      <c r="E2" s="313"/>
      <c r="F2" s="313"/>
      <c r="G2" s="313"/>
      <c r="H2" s="313"/>
      <c r="I2" s="313"/>
    </row>
    <row r="3" spans="1:9" ht="25.5" customHeight="1">
      <c r="A3" s="523" t="s">
        <v>468</v>
      </c>
      <c r="B3" s="523"/>
      <c r="C3" s="523"/>
      <c r="D3" s="523"/>
      <c r="E3" s="523"/>
      <c r="F3" s="523"/>
      <c r="G3" s="523"/>
      <c r="H3" s="523"/>
      <c r="I3" s="523"/>
    </row>
    <row r="4" spans="1:9" ht="22.5" customHeight="1" thickBot="1">
      <c r="A4" s="312"/>
      <c r="B4" s="313"/>
      <c r="C4" s="313"/>
      <c r="D4" s="313"/>
      <c r="E4" s="313"/>
      <c r="F4" s="313"/>
      <c r="G4" s="313"/>
      <c r="H4" s="313"/>
      <c r="I4" s="314" t="str">
        <f>'RM_2.2.sz.mell.'!I2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92" t="str">
        <f>CONCATENATE('RM_3.sz.mell.'!F5)</f>
        <v>Eddigi módosítások összege 2019-ben</v>
      </c>
      <c r="G5" s="436" t="str">
        <f>CONCATENATE('RM_3.sz.mell.'!G5)</f>
        <v>1. sz. módosítás</v>
      </c>
      <c r="H5" s="437" t="str">
        <f>CONCATENATE('RM_3.sz.mell.'!H5)</f>
        <v>Módosítások összesen 2019. 09.30.-ig</v>
      </c>
      <c r="I5" s="438" t="str">
        <f>CONCATENATE('RM_3.sz.mell.'!I5)</f>
        <v>1. számú módosítás utáni előirányzat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297" t="s">
        <v>351</v>
      </c>
      <c r="G6" s="297" t="s">
        <v>352</v>
      </c>
      <c r="H6" s="297" t="s">
        <v>437</v>
      </c>
      <c r="I6" s="298" t="s">
        <v>436</v>
      </c>
    </row>
    <row r="7" spans="1:9" ht="15.75" customHeight="1">
      <c r="A7" s="172" t="s">
        <v>578</v>
      </c>
      <c r="B7" s="313">
        <v>1058334</v>
      </c>
      <c r="C7" s="174" t="s">
        <v>572</v>
      </c>
      <c r="D7" s="20"/>
      <c r="E7" s="20">
        <v>1058334</v>
      </c>
      <c r="F7" s="20"/>
      <c r="G7" s="20"/>
      <c r="H7" s="283">
        <f>F7+G7</f>
        <v>0</v>
      </c>
      <c r="I7" s="34">
        <f>E7+H7</f>
        <v>1058334</v>
      </c>
    </row>
    <row r="8" spans="1:9" ht="15.75" customHeight="1">
      <c r="A8" s="172" t="s">
        <v>634</v>
      </c>
      <c r="B8" s="20">
        <v>1789941</v>
      </c>
      <c r="C8" s="174" t="s">
        <v>635</v>
      </c>
      <c r="D8" s="20"/>
      <c r="E8" s="20"/>
      <c r="F8" s="20"/>
      <c r="G8" s="20">
        <v>1789941</v>
      </c>
      <c r="H8" s="283">
        <f>F8+G8</f>
        <v>1789941</v>
      </c>
      <c r="I8" s="34">
        <f aca="true" t="shared" si="0" ref="I8:I24">E8+H8</f>
        <v>1789941</v>
      </c>
    </row>
    <row r="9" spans="1:9" ht="15.75" customHeight="1">
      <c r="A9" s="172" t="s">
        <v>636</v>
      </c>
      <c r="B9" s="20">
        <v>25000000</v>
      </c>
      <c r="C9" s="174" t="s">
        <v>635</v>
      </c>
      <c r="D9" s="20"/>
      <c r="E9" s="20"/>
      <c r="F9" s="20"/>
      <c r="G9" s="20">
        <v>25000000</v>
      </c>
      <c r="H9" s="283">
        <f>F9+G9</f>
        <v>25000000</v>
      </c>
      <c r="I9" s="34">
        <f t="shared" si="0"/>
        <v>25000000</v>
      </c>
    </row>
    <row r="10" spans="1:9" ht="15.75" customHeight="1">
      <c r="A10" s="173"/>
      <c r="B10" s="20"/>
      <c r="C10" s="174"/>
      <c r="D10" s="20"/>
      <c r="E10" s="20"/>
      <c r="F10" s="20"/>
      <c r="G10" s="20"/>
      <c r="H10" s="283">
        <f aca="true" t="shared" si="1" ref="H10:H24">F10+G10</f>
        <v>0</v>
      </c>
      <c r="I10" s="34">
        <f t="shared" si="0"/>
        <v>0</v>
      </c>
    </row>
    <row r="11" spans="1:9" ht="15.75" customHeight="1">
      <c r="A11" s="172"/>
      <c r="B11" s="20"/>
      <c r="C11" s="174"/>
      <c r="D11" s="20"/>
      <c r="E11" s="20"/>
      <c r="F11" s="20"/>
      <c r="G11" s="20"/>
      <c r="H11" s="283">
        <f t="shared" si="1"/>
        <v>0</v>
      </c>
      <c r="I11" s="34">
        <f t="shared" si="0"/>
        <v>0</v>
      </c>
    </row>
    <row r="12" spans="1:9" ht="15.75" customHeight="1">
      <c r="A12" s="173"/>
      <c r="B12" s="20"/>
      <c r="C12" s="174"/>
      <c r="D12" s="20"/>
      <c r="E12" s="20"/>
      <c r="F12" s="20"/>
      <c r="G12" s="20"/>
      <c r="H12" s="283">
        <f t="shared" si="1"/>
        <v>0</v>
      </c>
      <c r="I12" s="34">
        <f t="shared" si="0"/>
        <v>0</v>
      </c>
    </row>
    <row r="13" spans="1:9" ht="15.75" customHeight="1">
      <c r="A13" s="172"/>
      <c r="B13" s="20"/>
      <c r="C13" s="174"/>
      <c r="D13" s="20"/>
      <c r="E13" s="20"/>
      <c r="F13" s="20"/>
      <c r="G13" s="20"/>
      <c r="H13" s="283">
        <f t="shared" si="1"/>
        <v>0</v>
      </c>
      <c r="I13" s="34">
        <f t="shared" si="0"/>
        <v>0</v>
      </c>
    </row>
    <row r="14" spans="1:9" ht="15.75" customHeight="1">
      <c r="A14" s="172"/>
      <c r="B14" s="20"/>
      <c r="C14" s="174"/>
      <c r="D14" s="20"/>
      <c r="E14" s="20"/>
      <c r="F14" s="20"/>
      <c r="G14" s="20"/>
      <c r="H14" s="283">
        <f t="shared" si="1"/>
        <v>0</v>
      </c>
      <c r="I14" s="34">
        <f t="shared" si="0"/>
        <v>0</v>
      </c>
    </row>
    <row r="15" spans="1:9" ht="15.75" customHeight="1">
      <c r="A15" s="172"/>
      <c r="B15" s="20"/>
      <c r="C15" s="174"/>
      <c r="D15" s="20"/>
      <c r="E15" s="20"/>
      <c r="F15" s="20"/>
      <c r="G15" s="20"/>
      <c r="H15" s="283">
        <f t="shared" si="1"/>
        <v>0</v>
      </c>
      <c r="I15" s="34">
        <f t="shared" si="0"/>
        <v>0</v>
      </c>
    </row>
    <row r="16" spans="1:9" ht="15.75" customHeight="1">
      <c r="A16" s="172"/>
      <c r="B16" s="20"/>
      <c r="C16" s="174"/>
      <c r="D16" s="20"/>
      <c r="E16" s="20"/>
      <c r="F16" s="20"/>
      <c r="G16" s="20"/>
      <c r="H16" s="283">
        <f t="shared" si="1"/>
        <v>0</v>
      </c>
      <c r="I16" s="34">
        <f t="shared" si="0"/>
        <v>0</v>
      </c>
    </row>
    <row r="17" spans="1:9" ht="15.75" customHeight="1">
      <c r="A17" s="172"/>
      <c r="B17" s="20"/>
      <c r="C17" s="174"/>
      <c r="D17" s="20"/>
      <c r="E17" s="20"/>
      <c r="F17" s="20"/>
      <c r="G17" s="20"/>
      <c r="H17" s="283">
        <f t="shared" si="1"/>
        <v>0</v>
      </c>
      <c r="I17" s="34">
        <f t="shared" si="0"/>
        <v>0</v>
      </c>
    </row>
    <row r="18" spans="1:9" ht="15.75" customHeight="1">
      <c r="A18" s="172"/>
      <c r="B18" s="20"/>
      <c r="C18" s="174"/>
      <c r="D18" s="20"/>
      <c r="E18" s="20"/>
      <c r="F18" s="20"/>
      <c r="G18" s="20"/>
      <c r="H18" s="283">
        <f t="shared" si="1"/>
        <v>0</v>
      </c>
      <c r="I18" s="34">
        <f t="shared" si="0"/>
        <v>0</v>
      </c>
    </row>
    <row r="19" spans="1:9" ht="15.75" customHeight="1">
      <c r="A19" s="172"/>
      <c r="B19" s="20"/>
      <c r="C19" s="174"/>
      <c r="D19" s="20"/>
      <c r="E19" s="20"/>
      <c r="F19" s="20"/>
      <c r="G19" s="20"/>
      <c r="H19" s="283">
        <f t="shared" si="1"/>
        <v>0</v>
      </c>
      <c r="I19" s="34">
        <f t="shared" si="0"/>
        <v>0</v>
      </c>
    </row>
    <row r="20" spans="1:9" ht="15.75" customHeight="1">
      <c r="A20" s="172"/>
      <c r="B20" s="20"/>
      <c r="C20" s="174"/>
      <c r="D20" s="20"/>
      <c r="E20" s="20"/>
      <c r="F20" s="20"/>
      <c r="G20" s="20"/>
      <c r="H20" s="283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4"/>
      <c r="D21" s="20"/>
      <c r="E21" s="20"/>
      <c r="F21" s="20"/>
      <c r="G21" s="20"/>
      <c r="H21" s="283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4"/>
      <c r="D22" s="20"/>
      <c r="E22" s="20"/>
      <c r="F22" s="20"/>
      <c r="G22" s="20"/>
      <c r="H22" s="283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4"/>
      <c r="D23" s="20"/>
      <c r="E23" s="20"/>
      <c r="F23" s="20"/>
      <c r="G23" s="20"/>
      <c r="H23" s="283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5"/>
      <c r="D24" s="21"/>
      <c r="E24" s="21"/>
      <c r="F24" s="21"/>
      <c r="G24" s="21"/>
      <c r="H24" s="283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SUM(B8:B24)</f>
        <v>26789941</v>
      </c>
      <c r="C25" s="45"/>
      <c r="D25" s="37">
        <f>SUM(D7:D24)</f>
        <v>0</v>
      </c>
      <c r="E25" s="37">
        <f>SUM(E7:E24)</f>
        <v>1058334</v>
      </c>
      <c r="F25" s="37"/>
      <c r="G25" s="37"/>
      <c r="H25" s="37">
        <f>SUM(H7:H24)</f>
        <v>26789941</v>
      </c>
      <c r="I25" s="38">
        <f>SUM(I7:I24)</f>
        <v>27848275</v>
      </c>
    </row>
  </sheetData>
  <sheetProtection sheet="1"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91">
      <selection activeCell="E133" sqref="E133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7" customFormat="1" ht="16.5" customHeight="1" thickBot="1">
      <c r="A1" s="402"/>
      <c r="B1" s="526" t="str">
        <f>CONCATENATE("5.1. melléklet ",RM_ALAPADATOK!A7," ",RM_ALAPADATOK!B7," ",RM_ALAPADATOK!C7," ",RM_ALAPADATOK!D7," ",RM_ALAPADATOK!E7," ",RM_ALAPADATOK!F7," ",RM_ALAPADATOK!G7," ",RM_ALAPADATOK!H7)</f>
        <v>5.1. melléklet a  / 2019 ( …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9" customFormat="1" ht="16.5" thickBot="1">
      <c r="A2" s="403" t="s">
        <v>39</v>
      </c>
      <c r="B2" s="531" t="str">
        <f>CONCATENATE(RM_ALAPADATOK!A3)</f>
        <v>Tiszaszőlős Községi  Önkormányzat</v>
      </c>
      <c r="C2" s="532"/>
      <c r="D2" s="532"/>
      <c r="E2" s="532"/>
      <c r="F2" s="532"/>
      <c r="G2" s="532"/>
      <c r="H2" s="532"/>
      <c r="I2" s="533"/>
      <c r="J2" s="534"/>
      <c r="K2" s="401" t="s">
        <v>503</v>
      </c>
    </row>
    <row r="3" spans="1:11" s="319" customFormat="1" ht="36.75" thickBot="1">
      <c r="A3" s="403" t="s">
        <v>114</v>
      </c>
      <c r="B3" s="535" t="s">
        <v>472</v>
      </c>
      <c r="C3" s="536"/>
      <c r="D3" s="536"/>
      <c r="E3" s="536"/>
      <c r="F3" s="536"/>
      <c r="G3" s="536"/>
      <c r="H3" s="536"/>
      <c r="I3" s="537"/>
      <c r="J3" s="538"/>
      <c r="K3" s="320" t="s">
        <v>34</v>
      </c>
    </row>
    <row r="4" spans="1:11" s="321" customFormat="1" ht="15.75" customHeight="1" thickBot="1">
      <c r="A4" s="404"/>
      <c r="B4" s="404"/>
      <c r="C4" s="405"/>
      <c r="D4" s="405"/>
      <c r="E4" s="405"/>
      <c r="F4" s="405"/>
      <c r="G4" s="405"/>
      <c r="H4" s="406"/>
      <c r="I4" s="406"/>
      <c r="J4" s="406"/>
      <c r="K4" s="407" t="str">
        <f>CONCATENATE('RM_2.2.sz.mell.'!I2)</f>
        <v>Forintban!</v>
      </c>
    </row>
    <row r="5" spans="1:11" ht="40.5" customHeight="1" thickBot="1">
      <c r="A5" s="408" t="s">
        <v>115</v>
      </c>
      <c r="B5" s="395" t="s">
        <v>428</v>
      </c>
      <c r="C5" s="289" t="str">
        <f>CONCATENATE('RM_1.1.sz.mell.'!C9:K9)</f>
        <v>Eredeti
előirányzat</v>
      </c>
      <c r="D5" s="290" t="str">
        <f>CONCATENATE('RM_1.1.sz.mell.'!D9)</f>
        <v>1. sz. módosítás </v>
      </c>
      <c r="E5" s="290" t="str">
        <f>CONCATENATE('RM_1.1.sz.mell.'!E9)</f>
        <v>2. sz. módosítás </v>
      </c>
      <c r="F5" s="290" t="str">
        <f>CONCATENATE('RM_1.1.sz.mell.'!F9)</f>
        <v>3. sz. módosítás </v>
      </c>
      <c r="G5" s="290" t="str">
        <f>CONCATENATE('RM_1.1.sz.mell.'!G9)</f>
        <v>4. sz. módosítás </v>
      </c>
      <c r="H5" s="290" t="str">
        <f>CONCATENATE('RM_1.1.sz.mell.'!H9)</f>
        <v>5. sz. módosítás </v>
      </c>
      <c r="I5" s="290" t="str">
        <f>CONCATENATE('RM_1.1.sz.mell.'!I9)</f>
        <v>6. sz. módosítás </v>
      </c>
      <c r="J5" s="290" t="s">
        <v>435</v>
      </c>
      <c r="K5" s="291" t="s">
        <v>438</v>
      </c>
    </row>
    <row r="6" spans="1:11" s="40" customFormat="1" ht="12.75" customHeight="1" thickBot="1">
      <c r="A6" s="396" t="s">
        <v>346</v>
      </c>
      <c r="B6" s="397" t="s">
        <v>347</v>
      </c>
      <c r="C6" s="409" t="s">
        <v>348</v>
      </c>
      <c r="D6" s="409" t="s">
        <v>350</v>
      </c>
      <c r="E6" s="410" t="s">
        <v>349</v>
      </c>
      <c r="F6" s="410" t="s">
        <v>351</v>
      </c>
      <c r="G6" s="410" t="s">
        <v>352</v>
      </c>
      <c r="H6" s="410" t="s">
        <v>353</v>
      </c>
      <c r="I6" s="410" t="s">
        <v>459</v>
      </c>
      <c r="J6" s="410" t="s">
        <v>460</v>
      </c>
      <c r="K6" s="399" t="s">
        <v>461</v>
      </c>
    </row>
    <row r="7" spans="1:11" s="40" customFormat="1" ht="15.75" customHeight="1" thickBot="1">
      <c r="A7" s="528" t="s">
        <v>35</v>
      </c>
      <c r="B7" s="529"/>
      <c r="C7" s="529"/>
      <c r="D7" s="529"/>
      <c r="E7" s="529"/>
      <c r="F7" s="529"/>
      <c r="G7" s="529"/>
      <c r="H7" s="529"/>
      <c r="I7" s="529"/>
      <c r="J7" s="529"/>
      <c r="K7" s="530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210669075</v>
      </c>
      <c r="D8" s="193">
        <f aca="true" t="shared" si="0" ref="D8:I8">+D9+D10+D11+D12+D13+D14</f>
        <v>5665115</v>
      </c>
      <c r="E8" s="193">
        <f t="shared" si="0"/>
        <v>7436681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13101796</v>
      </c>
      <c r="K8" s="253">
        <f>+K9+K10+K11+K12+K13+K14</f>
        <v>223770871</v>
      </c>
    </row>
    <row r="9" spans="1:11" s="42" customFormat="1" ht="12" customHeight="1">
      <c r="A9" s="153" t="s">
        <v>58</v>
      </c>
      <c r="B9" s="139" t="s">
        <v>138</v>
      </c>
      <c r="C9" s="128">
        <v>71877535</v>
      </c>
      <c r="D9" s="194">
        <v>5232475</v>
      </c>
      <c r="E9" s="194">
        <v>2577081</v>
      </c>
      <c r="F9" s="194"/>
      <c r="G9" s="194"/>
      <c r="H9" s="194"/>
      <c r="I9" s="128"/>
      <c r="J9" s="167">
        <f>D9+E9+F9+G9+H9+I9</f>
        <v>7809556</v>
      </c>
      <c r="K9" s="254">
        <f aca="true" t="shared" si="1" ref="K9:K14">C9+J9</f>
        <v>79687091</v>
      </c>
    </row>
    <row r="10" spans="1:11" s="43" customFormat="1" ht="12" customHeight="1">
      <c r="A10" s="154" t="s">
        <v>59</v>
      </c>
      <c r="B10" s="140" t="s">
        <v>139</v>
      </c>
      <c r="C10" s="128">
        <v>41062433</v>
      </c>
      <c r="D10" s="195"/>
      <c r="E10" s="195">
        <v>780000</v>
      </c>
      <c r="F10" s="195"/>
      <c r="G10" s="195"/>
      <c r="H10" s="195"/>
      <c r="I10" s="127"/>
      <c r="J10" s="167">
        <f aca="true" t="shared" si="2" ref="J10:J64">D10+E10+F10+G10+H10+I10</f>
        <v>780000</v>
      </c>
      <c r="K10" s="254">
        <f t="shared" si="1"/>
        <v>41842433</v>
      </c>
    </row>
    <row r="11" spans="1:11" s="43" customFormat="1" ht="12" customHeight="1">
      <c r="A11" s="154" t="s">
        <v>60</v>
      </c>
      <c r="B11" s="140" t="s">
        <v>140</v>
      </c>
      <c r="C11" s="128">
        <v>52466094</v>
      </c>
      <c r="D11" s="195"/>
      <c r="E11" s="195">
        <v>1374000</v>
      </c>
      <c r="F11" s="195"/>
      <c r="G11" s="195"/>
      <c r="H11" s="195"/>
      <c r="I11" s="127"/>
      <c r="J11" s="167">
        <f t="shared" si="2"/>
        <v>1374000</v>
      </c>
      <c r="K11" s="254">
        <f t="shared" si="1"/>
        <v>53840094</v>
      </c>
    </row>
    <row r="12" spans="1:11" s="43" customFormat="1" ht="12" customHeight="1">
      <c r="A12" s="154" t="s">
        <v>61</v>
      </c>
      <c r="B12" s="140" t="s">
        <v>141</v>
      </c>
      <c r="C12" s="128">
        <v>1882760</v>
      </c>
      <c r="D12" s="195">
        <v>400000</v>
      </c>
      <c r="E12" s="195">
        <v>64000</v>
      </c>
      <c r="F12" s="195"/>
      <c r="G12" s="195"/>
      <c r="H12" s="195"/>
      <c r="I12" s="127"/>
      <c r="J12" s="167">
        <f t="shared" si="2"/>
        <v>464000</v>
      </c>
      <c r="K12" s="254">
        <f t="shared" si="1"/>
        <v>2346760</v>
      </c>
    </row>
    <row r="13" spans="1:11" s="43" customFormat="1" ht="12" customHeight="1">
      <c r="A13" s="154" t="s">
        <v>78</v>
      </c>
      <c r="B13" s="140" t="s">
        <v>354</v>
      </c>
      <c r="C13" s="128">
        <v>43380253</v>
      </c>
      <c r="D13" s="195"/>
      <c r="E13" s="195">
        <v>2641600</v>
      </c>
      <c r="F13" s="195"/>
      <c r="G13" s="195"/>
      <c r="H13" s="195"/>
      <c r="I13" s="127"/>
      <c r="J13" s="167">
        <f t="shared" si="2"/>
        <v>2641600</v>
      </c>
      <c r="K13" s="254">
        <f t="shared" si="1"/>
        <v>46021853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5">
        <v>32640</v>
      </c>
      <c r="E14" s="195"/>
      <c r="F14" s="195"/>
      <c r="G14" s="195"/>
      <c r="H14" s="195"/>
      <c r="I14" s="127"/>
      <c r="J14" s="167">
        <f t="shared" si="2"/>
        <v>32640</v>
      </c>
      <c r="K14" s="254">
        <f t="shared" si="1"/>
        <v>32640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29395637</v>
      </c>
      <c r="D15" s="193">
        <f aca="true" t="shared" si="3" ref="D15:K15">+D16+D17+D18+D19+D20</f>
        <v>75499199</v>
      </c>
      <c r="E15" s="193">
        <f t="shared" si="3"/>
        <v>3324523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78823722</v>
      </c>
      <c r="K15" s="253">
        <f t="shared" si="3"/>
        <v>108219359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29395637</v>
      </c>
      <c r="D20" s="195">
        <v>75499199</v>
      </c>
      <c r="E20" s="195">
        <v>3324523</v>
      </c>
      <c r="F20" s="195"/>
      <c r="G20" s="195"/>
      <c r="H20" s="195"/>
      <c r="I20" s="127"/>
      <c r="J20" s="278">
        <f t="shared" si="2"/>
        <v>78823722</v>
      </c>
      <c r="K20" s="255">
        <f t="shared" si="4"/>
        <v>108219359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>
        <v>10279045</v>
      </c>
      <c r="E21" s="196"/>
      <c r="F21" s="196"/>
      <c r="G21" s="196"/>
      <c r="H21" s="196"/>
      <c r="I21" s="129"/>
      <c r="J21" s="279">
        <f t="shared" si="2"/>
        <v>10279045</v>
      </c>
      <c r="K21" s="256">
        <f t="shared" si="4"/>
        <v>10279045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38005614</v>
      </c>
      <c r="E22" s="193">
        <f t="shared" si="5"/>
        <v>42996269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81001883</v>
      </c>
      <c r="K22" s="253">
        <f t="shared" si="5"/>
        <v>81001883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>
        <v>40000000</v>
      </c>
      <c r="F23" s="194"/>
      <c r="G23" s="194"/>
      <c r="H23" s="194"/>
      <c r="I23" s="128"/>
      <c r="J23" s="167">
        <f t="shared" si="2"/>
        <v>40000000</v>
      </c>
      <c r="K23" s="254">
        <f aca="true" t="shared" si="6" ref="K23:K28">C23+J23</f>
        <v>40000000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>
        <v>38005614</v>
      </c>
      <c r="E27" s="195">
        <v>2996269</v>
      </c>
      <c r="F27" s="195"/>
      <c r="G27" s="195"/>
      <c r="H27" s="195"/>
      <c r="I27" s="127"/>
      <c r="J27" s="278">
        <f t="shared" si="2"/>
        <v>41001883</v>
      </c>
      <c r="K27" s="255">
        <f t="shared" si="6"/>
        <v>41001883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>
        <v>-610256</v>
      </c>
      <c r="E28" s="196"/>
      <c r="F28" s="196"/>
      <c r="G28" s="196"/>
      <c r="H28" s="196"/>
      <c r="I28" s="129"/>
      <c r="J28" s="279">
        <f t="shared" si="2"/>
        <v>-610256</v>
      </c>
      <c r="K28" s="256">
        <f t="shared" si="6"/>
        <v>-610256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23670000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23670000</v>
      </c>
    </row>
    <row r="30" spans="1:11" s="43" customFormat="1" ht="12" customHeight="1">
      <c r="A30" s="153" t="s">
        <v>152</v>
      </c>
      <c r="B30" s="139" t="s">
        <v>414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aca="true" t="shared" si="8" ref="K30:K36">C30+J30</f>
        <v>480000</v>
      </c>
    </row>
    <row r="31" spans="1:11" s="43" customFormat="1" ht="12" customHeight="1">
      <c r="A31" s="154" t="s">
        <v>153</v>
      </c>
      <c r="B31" s="140" t="s">
        <v>415</v>
      </c>
      <c r="C31" s="127">
        <v>1000000</v>
      </c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1000000</v>
      </c>
    </row>
    <row r="32" spans="1:11" s="43" customFormat="1" ht="12" customHeight="1">
      <c r="A32" s="154" t="s">
        <v>154</v>
      </c>
      <c r="B32" s="140" t="s">
        <v>416</v>
      </c>
      <c r="C32" s="127">
        <v>19500000</v>
      </c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19500000</v>
      </c>
    </row>
    <row r="33" spans="1:11" s="43" customFormat="1" ht="12" customHeight="1">
      <c r="A33" s="154" t="s">
        <v>155</v>
      </c>
      <c r="B33" s="140" t="s">
        <v>417</v>
      </c>
      <c r="C33" s="127">
        <v>20000</v>
      </c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20000</v>
      </c>
    </row>
    <row r="34" spans="1:11" s="43" customFormat="1" ht="12" customHeight="1">
      <c r="A34" s="154" t="s">
        <v>418</v>
      </c>
      <c r="B34" s="140" t="s">
        <v>156</v>
      </c>
      <c r="C34" s="127">
        <v>2500000</v>
      </c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2500000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170000</v>
      </c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170000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16512172</v>
      </c>
      <c r="D37" s="193">
        <f aca="true" t="shared" si="9" ref="D37:K37">SUM(D38:D48)</f>
        <v>610256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610256</v>
      </c>
      <c r="K37" s="253">
        <f t="shared" si="9"/>
        <v>17122428</v>
      </c>
    </row>
    <row r="38" spans="1:11" s="43" customFormat="1" ht="12" customHeight="1">
      <c r="A38" s="153" t="s">
        <v>51</v>
      </c>
      <c r="B38" s="139" t="s">
        <v>161</v>
      </c>
      <c r="C38" s="128">
        <v>2000000</v>
      </c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aca="true" t="shared" si="10" ref="K38:K48">C38+J38</f>
        <v>2000000</v>
      </c>
    </row>
    <row r="39" spans="1:11" s="43" customFormat="1" ht="12" customHeight="1">
      <c r="A39" s="154" t="s">
        <v>52</v>
      </c>
      <c r="B39" s="140" t="s">
        <v>162</v>
      </c>
      <c r="C39" s="127">
        <v>8115000</v>
      </c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8115000</v>
      </c>
    </row>
    <row r="40" spans="1:11" s="43" customFormat="1" ht="12" customHeight="1">
      <c r="A40" s="154" t="s">
        <v>53</v>
      </c>
      <c r="B40" s="140" t="s">
        <v>163</v>
      </c>
      <c r="C40" s="127">
        <v>1566000</v>
      </c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1566000</v>
      </c>
    </row>
    <row r="41" spans="1:11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>
        <v>768398</v>
      </c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768398</v>
      </c>
    </row>
    <row r="43" spans="1:11" s="43" customFormat="1" ht="12" customHeight="1">
      <c r="A43" s="154" t="s">
        <v>95</v>
      </c>
      <c r="B43" s="140" t="s">
        <v>166</v>
      </c>
      <c r="C43" s="127">
        <v>2738547</v>
      </c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2738547</v>
      </c>
    </row>
    <row r="44" spans="1:11" s="43" customFormat="1" ht="12" customHeight="1">
      <c r="A44" s="154" t="s">
        <v>96</v>
      </c>
      <c r="B44" s="140" t="s">
        <v>167</v>
      </c>
      <c r="C44" s="127">
        <v>1324227</v>
      </c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1324227</v>
      </c>
    </row>
    <row r="45" spans="1:11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20">
        <v>610256</v>
      </c>
      <c r="E47" s="220"/>
      <c r="F47" s="220"/>
      <c r="G47" s="220"/>
      <c r="H47" s="220"/>
      <c r="I47" s="131"/>
      <c r="J47" s="282">
        <f t="shared" si="2"/>
        <v>610256</v>
      </c>
      <c r="K47" s="259">
        <f t="shared" si="10"/>
        <v>610256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>
      <c r="A54" s="163" t="s">
        <v>174</v>
      </c>
      <c r="B54" s="316" t="s">
        <v>179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280000</v>
      </c>
      <c r="D55" s="193">
        <f aca="true" t="shared" si="12" ref="D55:K55">SUM(D56:D58)</f>
        <v>1510000</v>
      </c>
      <c r="E55" s="193">
        <f t="shared" si="12"/>
        <v>275000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1785000</v>
      </c>
      <c r="K55" s="253">
        <f t="shared" si="12"/>
        <v>2065000</v>
      </c>
    </row>
    <row r="56" spans="1:11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>
        <v>280000</v>
      </c>
      <c r="D58" s="195">
        <v>1510000</v>
      </c>
      <c r="E58" s="195">
        <v>275000</v>
      </c>
      <c r="F58" s="195"/>
      <c r="G58" s="195"/>
      <c r="H58" s="195"/>
      <c r="I58" s="127"/>
      <c r="J58" s="278">
        <f t="shared" si="2"/>
        <v>1785000</v>
      </c>
      <c r="K58" s="255">
        <f>C58+J58</f>
        <v>2065000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280526884</v>
      </c>
      <c r="D65" s="197">
        <f aca="true" t="shared" si="14" ref="D65:K65">+D8+D15+D22+D29+D37+D49+D55+D60</f>
        <v>121290184</v>
      </c>
      <c r="E65" s="197">
        <f t="shared" si="14"/>
        <v>54032473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175322657</v>
      </c>
      <c r="K65" s="257">
        <f t="shared" si="14"/>
        <v>455849541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>
      <c r="A69" s="163" t="s">
        <v>231</v>
      </c>
      <c r="B69" s="270" t="s">
        <v>196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>
      <c r="A71" s="153" t="s">
        <v>79</v>
      </c>
      <c r="B71" s="245" t="s">
        <v>199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>
      <c r="A72" s="154" t="s">
        <v>80</v>
      </c>
      <c r="B72" s="245" t="s">
        <v>432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>
      <c r="A73" s="154" t="s">
        <v>222</v>
      </c>
      <c r="B73" s="245" t="s">
        <v>200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>
      <c r="A74" s="155" t="s">
        <v>223</v>
      </c>
      <c r="B74" s="246" t="s">
        <v>433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630571015</v>
      </c>
      <c r="D75" s="126">
        <f aca="true" t="shared" si="17" ref="D75:K75">SUM(D76:D77)</f>
        <v>-47250592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-47250592</v>
      </c>
      <c r="K75" s="253">
        <f t="shared" si="17"/>
        <v>583320423</v>
      </c>
    </row>
    <row r="76" spans="1:11" s="43" customFormat="1" ht="12" customHeight="1">
      <c r="A76" s="153" t="s">
        <v>224</v>
      </c>
      <c r="B76" s="139" t="s">
        <v>203</v>
      </c>
      <c r="C76" s="130">
        <v>630571015</v>
      </c>
      <c r="D76" s="130">
        <v>-47250592</v>
      </c>
      <c r="E76" s="130"/>
      <c r="F76" s="130"/>
      <c r="G76" s="130"/>
      <c r="H76" s="130"/>
      <c r="I76" s="130"/>
      <c r="J76" s="276">
        <f>D76+E76+F76+G76+H76+I76</f>
        <v>-47250592</v>
      </c>
      <c r="K76" s="258">
        <f>C76+J76</f>
        <v>583320423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>
      <c r="A81" s="155" t="s">
        <v>228</v>
      </c>
      <c r="B81" s="247" t="s">
        <v>434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6">
        <f aca="true" t="shared" si="20" ref="J83:J88">D83+E83+F83+G83+H83+I83</f>
        <v>0</v>
      </c>
      <c r="K83" s="258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630571015</v>
      </c>
      <c r="D89" s="132">
        <f aca="true" t="shared" si="22" ref="D89:K89">+D66+D70+D75+D78+D82+D88+D87</f>
        <v>-47250592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-47250592</v>
      </c>
      <c r="K89" s="257">
        <f t="shared" si="22"/>
        <v>583320423</v>
      </c>
    </row>
    <row r="90" spans="1:11" s="42" customFormat="1" ht="12" customHeight="1" thickBot="1">
      <c r="A90" s="160" t="s">
        <v>357</v>
      </c>
      <c r="B90" s="322" t="s">
        <v>358</v>
      </c>
      <c r="C90" s="132">
        <f>+C65+C89</f>
        <v>911097899</v>
      </c>
      <c r="D90" s="132">
        <f aca="true" t="shared" si="23" ref="D90:K90">+D65+D89</f>
        <v>74039592</v>
      </c>
      <c r="E90" s="132">
        <f t="shared" si="23"/>
        <v>54032473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128072065</v>
      </c>
      <c r="K90" s="257">
        <f t="shared" si="23"/>
        <v>1039169964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28" t="s">
        <v>36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30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175960007</v>
      </c>
      <c r="D93" s="261">
        <f aca="true" t="shared" si="24" ref="D93:K93">+D94+D95+D96+D97+D98+D111</f>
        <v>75862154</v>
      </c>
      <c r="E93" s="261">
        <f t="shared" si="24"/>
        <v>8081623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83943777</v>
      </c>
      <c r="K93" s="264">
        <f t="shared" si="24"/>
        <v>259903784</v>
      </c>
    </row>
    <row r="94" spans="1:11" ht="12" customHeight="1">
      <c r="A94" s="161" t="s">
        <v>58</v>
      </c>
      <c r="B94" s="7" t="s">
        <v>32</v>
      </c>
      <c r="C94" s="186">
        <v>57783503</v>
      </c>
      <c r="D94" s="262">
        <v>50564346</v>
      </c>
      <c r="E94" s="262">
        <v>3116214</v>
      </c>
      <c r="F94" s="262"/>
      <c r="G94" s="262"/>
      <c r="H94" s="262"/>
      <c r="I94" s="186"/>
      <c r="J94" s="277">
        <f aca="true" t="shared" si="25" ref="J94:J113">D94+E94+F94+G94+H94+I94</f>
        <v>53680560</v>
      </c>
      <c r="K94" s="265">
        <f aca="true" t="shared" si="26" ref="K94:K113">C94+J94</f>
        <v>111464063</v>
      </c>
    </row>
    <row r="95" spans="1:11" ht="12" customHeight="1">
      <c r="A95" s="154" t="s">
        <v>59</v>
      </c>
      <c r="B95" s="5" t="s">
        <v>101</v>
      </c>
      <c r="C95" s="127">
        <v>8895118</v>
      </c>
      <c r="D95" s="127">
        <v>5315818</v>
      </c>
      <c r="E95" s="127">
        <v>505809</v>
      </c>
      <c r="F95" s="127"/>
      <c r="G95" s="127"/>
      <c r="H95" s="127"/>
      <c r="I95" s="127"/>
      <c r="J95" s="278">
        <f t="shared" si="25"/>
        <v>5821627</v>
      </c>
      <c r="K95" s="255">
        <f t="shared" si="26"/>
        <v>14716745</v>
      </c>
    </row>
    <row r="96" spans="1:11" ht="12" customHeight="1">
      <c r="A96" s="154" t="s">
        <v>60</v>
      </c>
      <c r="B96" s="5" t="s">
        <v>77</v>
      </c>
      <c r="C96" s="129">
        <v>80822386</v>
      </c>
      <c r="D96" s="129">
        <v>19981990</v>
      </c>
      <c r="E96" s="129">
        <v>275000</v>
      </c>
      <c r="F96" s="129"/>
      <c r="G96" s="129"/>
      <c r="H96" s="127"/>
      <c r="I96" s="129"/>
      <c r="J96" s="279">
        <f t="shared" si="25"/>
        <v>20256990</v>
      </c>
      <c r="K96" s="256">
        <f t="shared" si="26"/>
        <v>101079376</v>
      </c>
    </row>
    <row r="97" spans="1:11" ht="12" customHeight="1">
      <c r="A97" s="154" t="s">
        <v>61</v>
      </c>
      <c r="B97" s="8" t="s">
        <v>102</v>
      </c>
      <c r="C97" s="129">
        <v>19308000</v>
      </c>
      <c r="D97" s="129"/>
      <c r="E97" s="129">
        <v>3804600</v>
      </c>
      <c r="F97" s="129"/>
      <c r="G97" s="129"/>
      <c r="H97" s="129"/>
      <c r="I97" s="129"/>
      <c r="J97" s="279">
        <f t="shared" si="25"/>
        <v>3804600</v>
      </c>
      <c r="K97" s="256">
        <f t="shared" si="26"/>
        <v>23112600</v>
      </c>
    </row>
    <row r="98" spans="1:11" ht="12" customHeight="1">
      <c r="A98" s="154" t="s">
        <v>69</v>
      </c>
      <c r="B98" s="16" t="s">
        <v>103</v>
      </c>
      <c r="C98" s="129">
        <f>SUM(C99:C110)</f>
        <v>8751000</v>
      </c>
      <c r="D98" s="129">
        <f>SUM(D99:D110)</f>
        <v>0</v>
      </c>
      <c r="E98" s="129">
        <f>SUM(E99:E110)</f>
        <v>380000</v>
      </c>
      <c r="F98" s="129"/>
      <c r="G98" s="129"/>
      <c r="H98" s="129"/>
      <c r="I98" s="129"/>
      <c r="J98" s="279">
        <f t="shared" si="25"/>
        <v>380000</v>
      </c>
      <c r="K98" s="256">
        <f t="shared" si="26"/>
        <v>9131000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1300000</v>
      </c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1300000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7451000</v>
      </c>
      <c r="D110" s="127"/>
      <c r="E110" s="127">
        <v>380000</v>
      </c>
      <c r="F110" s="127"/>
      <c r="G110" s="127"/>
      <c r="H110" s="127"/>
      <c r="I110" s="127"/>
      <c r="J110" s="278">
        <f t="shared" si="25"/>
        <v>380000</v>
      </c>
      <c r="K110" s="255">
        <f t="shared" si="26"/>
        <v>7831000</v>
      </c>
    </row>
    <row r="111" spans="1:11" ht="12" customHeight="1">
      <c r="A111" s="154" t="s">
        <v>302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400000</v>
      </c>
    </row>
    <row r="112" spans="1:11" ht="12" customHeight="1">
      <c r="A112" s="155" t="s">
        <v>303</v>
      </c>
      <c r="B112" s="5" t="s">
        <v>360</v>
      </c>
      <c r="C112" s="129">
        <v>400000</v>
      </c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400000</v>
      </c>
    </row>
    <row r="113" spans="1:11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615320275</v>
      </c>
      <c r="D114" s="126">
        <f aca="true" t="shared" si="27" ref="D114:K114">+D115+D117+D119</f>
        <v>-7455037</v>
      </c>
      <c r="E114" s="126">
        <f t="shared" si="27"/>
        <v>42996269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35541232</v>
      </c>
      <c r="K114" s="253">
        <f t="shared" si="27"/>
        <v>650861507</v>
      </c>
    </row>
    <row r="115" spans="1:11" ht="12" customHeight="1">
      <c r="A115" s="153" t="s">
        <v>64</v>
      </c>
      <c r="B115" s="5" t="s">
        <v>119</v>
      </c>
      <c r="C115" s="128">
        <v>614261941</v>
      </c>
      <c r="D115" s="128">
        <v>-34244978</v>
      </c>
      <c r="E115" s="128">
        <v>42996269</v>
      </c>
      <c r="F115" s="128"/>
      <c r="G115" s="128"/>
      <c r="H115" s="128"/>
      <c r="I115" s="128"/>
      <c r="J115" s="167">
        <f aca="true" t="shared" si="28" ref="J115:J127">D115+E115+F115+G115+H115+I115</f>
        <v>8751291</v>
      </c>
      <c r="K115" s="254">
        <f aca="true" t="shared" si="29" ref="K115:K127">C115+J115</f>
        <v>623013232</v>
      </c>
    </row>
    <row r="116" spans="1:11" ht="12" customHeight="1">
      <c r="A116" s="153" t="s">
        <v>65</v>
      </c>
      <c r="B116" s="9" t="s">
        <v>248</v>
      </c>
      <c r="C116" s="128">
        <v>553020728</v>
      </c>
      <c r="D116" s="128">
        <v>-610256</v>
      </c>
      <c r="E116" s="128"/>
      <c r="F116" s="128"/>
      <c r="G116" s="128"/>
      <c r="H116" s="128"/>
      <c r="I116" s="128"/>
      <c r="J116" s="167">
        <f t="shared" si="28"/>
        <v>-610256</v>
      </c>
      <c r="K116" s="254">
        <f t="shared" si="29"/>
        <v>552410472</v>
      </c>
    </row>
    <row r="117" spans="1:11" ht="12" customHeight="1">
      <c r="A117" s="153" t="s">
        <v>66</v>
      </c>
      <c r="B117" s="9" t="s">
        <v>105</v>
      </c>
      <c r="C117" s="127">
        <v>1058334</v>
      </c>
      <c r="D117" s="127">
        <v>26789941</v>
      </c>
      <c r="E117" s="127"/>
      <c r="F117" s="127"/>
      <c r="G117" s="127"/>
      <c r="H117" s="127"/>
      <c r="I117" s="127"/>
      <c r="J117" s="278">
        <f t="shared" si="28"/>
        <v>26789941</v>
      </c>
      <c r="K117" s="255">
        <f t="shared" si="29"/>
        <v>27848275</v>
      </c>
    </row>
    <row r="118" spans="1:11" ht="12" customHeight="1">
      <c r="A118" s="153" t="s">
        <v>67</v>
      </c>
      <c r="B118" s="9" t="s">
        <v>249</v>
      </c>
      <c r="C118" s="127"/>
      <c r="D118" s="127">
        <v>1789941</v>
      </c>
      <c r="E118" s="127"/>
      <c r="F118" s="127"/>
      <c r="G118" s="127"/>
      <c r="H118" s="127"/>
      <c r="I118" s="127"/>
      <c r="J118" s="278">
        <f t="shared" si="28"/>
        <v>1789941</v>
      </c>
      <c r="K118" s="255">
        <f t="shared" si="29"/>
        <v>1789941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791280282</v>
      </c>
      <c r="D128" s="126">
        <f aca="true" t="shared" si="30" ref="D128:K128">+D93+D114</f>
        <v>68407117</v>
      </c>
      <c r="E128" s="126">
        <f t="shared" si="30"/>
        <v>51077892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119485009</v>
      </c>
      <c r="K128" s="253">
        <f t="shared" si="30"/>
        <v>910765291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8">
        <f aca="true" t="shared" si="33" ref="J134:J139">D134+E134+F134+G134+H134+I134</f>
        <v>0</v>
      </c>
      <c r="K134" s="255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8">
        <f aca="true" t="shared" si="37" ref="J147:J153">D147+E147+F147+G147+H147+I147</f>
        <v>0</v>
      </c>
      <c r="K147" s="255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1">
        <f>+C128+C154</f>
        <v>791280282</v>
      </c>
      <c r="D155" s="191">
        <f aca="true" t="shared" si="40" ref="D155:K155">+D128+D154</f>
        <v>68407117</v>
      </c>
      <c r="E155" s="191">
        <f t="shared" si="40"/>
        <v>51077892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119485009</v>
      </c>
      <c r="K155" s="268">
        <f t="shared" si="40"/>
        <v>910765291</v>
      </c>
    </row>
    <row r="156" spans="1:11" ht="13.5" thickBot="1">
      <c r="A156" s="117"/>
      <c r="B156" s="118"/>
      <c r="C156" s="421">
        <f>C90-C155</f>
        <v>119817617</v>
      </c>
      <c r="D156" s="422"/>
      <c r="E156" s="422"/>
      <c r="F156" s="422"/>
      <c r="G156" s="422"/>
      <c r="H156" s="422"/>
      <c r="I156" s="423"/>
      <c r="J156" s="423"/>
      <c r="K156" s="424">
        <f>K90-K155</f>
        <v>128404673</v>
      </c>
    </row>
    <row r="157" spans="1:11" ht="15" customHeight="1" thickBot="1">
      <c r="A157" s="65" t="s">
        <v>367</v>
      </c>
      <c r="B157" s="66"/>
      <c r="C157" s="223">
        <v>11</v>
      </c>
      <c r="D157" s="263"/>
      <c r="E157" s="263"/>
      <c r="F157" s="263"/>
      <c r="G157" s="263"/>
      <c r="H157" s="263"/>
      <c r="I157" s="223"/>
      <c r="J157" s="315">
        <f>D157+E157+F157+G157+H157+I157</f>
        <v>0</v>
      </c>
      <c r="K157" s="267">
        <f>C157+J157</f>
        <v>11</v>
      </c>
    </row>
    <row r="158" spans="1:11" ht="14.25" customHeight="1" thickBot="1">
      <c r="A158" s="65" t="s">
        <v>116</v>
      </c>
      <c r="B158" s="66"/>
      <c r="C158" s="223">
        <v>69</v>
      </c>
      <c r="D158" s="263"/>
      <c r="E158" s="263"/>
      <c r="F158" s="263"/>
      <c r="G158" s="263"/>
      <c r="H158" s="263"/>
      <c r="I158" s="223"/>
      <c r="J158" s="315">
        <f>D158+E158+F158+G158+H158+I158</f>
        <v>0</v>
      </c>
      <c r="K158" s="267">
        <f>C158+J158</f>
        <v>69</v>
      </c>
    </row>
  </sheetData>
  <sheetProtection sheet="1" formatCells="0"/>
  <mergeCells count="5">
    <mergeCell ref="B1:K1"/>
    <mergeCell ref="A7:K7"/>
    <mergeCell ref="A92:K92"/>
    <mergeCell ref="B2:J2"/>
    <mergeCell ref="B3:J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82">
      <selection activeCell="E97" sqref="E97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7" customFormat="1" ht="16.5" customHeight="1" thickBot="1">
      <c r="A1" s="402"/>
      <c r="B1" s="526" t="str">
        <f>CONCATENATE("5.1.1. melléklet ",RM_ALAPADATOK!A7," ",RM_ALAPADATOK!B7," ",RM_ALAPADATOK!C7," ",RM_ALAPADATOK!D7," ",RM_ALAPADATOK!E7," ",RM_ALAPADATOK!F7," ",RM_ALAPADATOK!G7," ",RM_ALAPADATOK!H7)</f>
        <v>5.1.1. melléklet a  / 2019 ( …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9" customFormat="1" ht="21" customHeight="1" thickBot="1">
      <c r="A2" s="403" t="s">
        <v>39</v>
      </c>
      <c r="B2" s="531" t="str">
        <f>CONCATENATE(RM_ALAPADATOK!A3)</f>
        <v>Tiszaszőlős Községi  Önkormányzat</v>
      </c>
      <c r="C2" s="532"/>
      <c r="D2" s="532"/>
      <c r="E2" s="532"/>
      <c r="F2" s="532"/>
      <c r="G2" s="532"/>
      <c r="H2" s="532"/>
      <c r="I2" s="533"/>
      <c r="J2" s="534"/>
      <c r="K2" s="318" t="s">
        <v>34</v>
      </c>
    </row>
    <row r="3" spans="1:11" s="319" customFormat="1" ht="36.75" thickBot="1">
      <c r="A3" s="403" t="s">
        <v>114</v>
      </c>
      <c r="B3" s="535" t="s">
        <v>470</v>
      </c>
      <c r="C3" s="536"/>
      <c r="D3" s="536"/>
      <c r="E3" s="536"/>
      <c r="F3" s="536"/>
      <c r="G3" s="536"/>
      <c r="H3" s="536"/>
      <c r="I3" s="537"/>
      <c r="J3" s="538"/>
      <c r="K3" s="320" t="s">
        <v>37</v>
      </c>
    </row>
    <row r="4" spans="1:11" s="321" customFormat="1" ht="15.75" customHeight="1" thickBot="1">
      <c r="A4" s="404"/>
      <c r="B4" s="404"/>
      <c r="C4" s="405"/>
      <c r="D4" s="405"/>
      <c r="E4" s="405"/>
      <c r="F4" s="405"/>
      <c r="G4" s="405"/>
      <c r="H4" s="406"/>
      <c r="I4" s="406"/>
      <c r="J4" s="406"/>
      <c r="K4" s="407" t="str">
        <f>CONCATENATE('RM_2.2.sz.mell.'!I2)</f>
        <v>Forintban!</v>
      </c>
    </row>
    <row r="5" spans="1:11" ht="40.5" customHeight="1" thickBot="1">
      <c r="A5" s="408" t="s">
        <v>115</v>
      </c>
      <c r="B5" s="395" t="s">
        <v>428</v>
      </c>
      <c r="C5" s="440" t="str">
        <f>CONCATENATE('RM_1.1.sz.mell.'!C9:K9)</f>
        <v>Eredeti
előirányzat</v>
      </c>
      <c r="D5" s="441" t="str">
        <f>CONCATENATE('RM_1.1.sz.mell.'!D9)</f>
        <v>1. sz. módosítás </v>
      </c>
      <c r="E5" s="441" t="str">
        <f>CONCATENATE('RM_1.1.sz.mell.'!E9)</f>
        <v>2. sz. módosítás </v>
      </c>
      <c r="F5" s="441" t="str">
        <f>CONCATENATE('RM_1.1.sz.mell.'!F9)</f>
        <v>3. sz. módosítás </v>
      </c>
      <c r="G5" s="441" t="str">
        <f>CONCATENATE('RM_1.1.sz.mell.'!G9)</f>
        <v>4. sz. módosítás </v>
      </c>
      <c r="H5" s="441" t="str">
        <f>CONCATENATE('RM_1.1.sz.mell.'!H9)</f>
        <v>5. sz. módosítás </v>
      </c>
      <c r="I5" s="441" t="str">
        <f>CONCATENATE('RM_1.1.sz.mell.'!I9)</f>
        <v>6. sz. módosítás </v>
      </c>
      <c r="J5" s="441" t="s">
        <v>435</v>
      </c>
      <c r="K5" s="442" t="str">
        <f>CONCATENATE('RM_5.1.sz.mell'!K5)</f>
        <v>….számú módosítás utáni előirányzat</v>
      </c>
    </row>
    <row r="6" spans="1:11" s="40" customFormat="1" ht="12.75" customHeight="1" thickBot="1">
      <c r="A6" s="396" t="s">
        <v>346</v>
      </c>
      <c r="B6" s="397" t="s">
        <v>347</v>
      </c>
      <c r="C6" s="409" t="s">
        <v>348</v>
      </c>
      <c r="D6" s="409" t="s">
        <v>350</v>
      </c>
      <c r="E6" s="410" t="s">
        <v>349</v>
      </c>
      <c r="F6" s="410" t="s">
        <v>351</v>
      </c>
      <c r="G6" s="410" t="s">
        <v>352</v>
      </c>
      <c r="H6" s="410" t="s">
        <v>353</v>
      </c>
      <c r="I6" s="410" t="s">
        <v>459</v>
      </c>
      <c r="J6" s="410" t="s">
        <v>460</v>
      </c>
      <c r="K6" s="399" t="s">
        <v>461</v>
      </c>
    </row>
    <row r="7" spans="1:11" s="40" customFormat="1" ht="15.75" customHeight="1" thickBot="1">
      <c r="A7" s="528" t="s">
        <v>35</v>
      </c>
      <c r="B7" s="529"/>
      <c r="C7" s="529"/>
      <c r="D7" s="529"/>
      <c r="E7" s="529"/>
      <c r="F7" s="529"/>
      <c r="G7" s="529"/>
      <c r="H7" s="529"/>
      <c r="I7" s="529"/>
      <c r="J7" s="529"/>
      <c r="K7" s="530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210669075</v>
      </c>
      <c r="D8" s="193">
        <f aca="true" t="shared" si="0" ref="D8:I8">+D9+D10+D11+D12+D13+D14</f>
        <v>5665115</v>
      </c>
      <c r="E8" s="193">
        <f t="shared" si="0"/>
        <v>7436681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13101796</v>
      </c>
      <c r="K8" s="253">
        <f>+K9+K10+K11+K12+K13+K14</f>
        <v>223770871</v>
      </c>
    </row>
    <row r="9" spans="1:11" s="42" customFormat="1" ht="12" customHeight="1">
      <c r="A9" s="153" t="s">
        <v>58</v>
      </c>
      <c r="B9" s="139" t="s">
        <v>138</v>
      </c>
      <c r="C9" s="128">
        <v>71877535</v>
      </c>
      <c r="D9" s="194">
        <v>5232475</v>
      </c>
      <c r="E9" s="194">
        <v>2577081</v>
      </c>
      <c r="F9" s="194"/>
      <c r="G9" s="194"/>
      <c r="H9" s="194"/>
      <c r="I9" s="128"/>
      <c r="J9" s="167">
        <f>D9+E9+F9+G9+H9+I9</f>
        <v>7809556</v>
      </c>
      <c r="K9" s="254">
        <f aca="true" t="shared" si="1" ref="K9:K14">C9+J9</f>
        <v>79687091</v>
      </c>
    </row>
    <row r="10" spans="1:11" s="43" customFormat="1" ht="12" customHeight="1">
      <c r="A10" s="154" t="s">
        <v>59</v>
      </c>
      <c r="B10" s="140" t="s">
        <v>139</v>
      </c>
      <c r="C10" s="128">
        <v>41062433</v>
      </c>
      <c r="D10" s="195"/>
      <c r="E10" s="195">
        <v>780000</v>
      </c>
      <c r="F10" s="195"/>
      <c r="G10" s="195"/>
      <c r="H10" s="195"/>
      <c r="I10" s="127"/>
      <c r="J10" s="167">
        <f aca="true" t="shared" si="2" ref="J10:J64">D10+E10+F10+G10+H10+I10</f>
        <v>780000</v>
      </c>
      <c r="K10" s="254">
        <f t="shared" si="1"/>
        <v>41842433</v>
      </c>
    </row>
    <row r="11" spans="1:11" s="43" customFormat="1" ht="12" customHeight="1">
      <c r="A11" s="154" t="s">
        <v>60</v>
      </c>
      <c r="B11" s="140" t="s">
        <v>140</v>
      </c>
      <c r="C11" s="128">
        <v>52466094</v>
      </c>
      <c r="D11" s="195"/>
      <c r="E11" s="195">
        <v>1374000</v>
      </c>
      <c r="F11" s="195"/>
      <c r="G11" s="195"/>
      <c r="H11" s="195"/>
      <c r="I11" s="127"/>
      <c r="J11" s="167">
        <f t="shared" si="2"/>
        <v>1374000</v>
      </c>
      <c r="K11" s="254">
        <f t="shared" si="1"/>
        <v>53840094</v>
      </c>
    </row>
    <row r="12" spans="1:11" s="43" customFormat="1" ht="12" customHeight="1">
      <c r="A12" s="154" t="s">
        <v>61</v>
      </c>
      <c r="B12" s="140" t="s">
        <v>141</v>
      </c>
      <c r="C12" s="128">
        <v>1882760</v>
      </c>
      <c r="D12" s="195">
        <v>400000</v>
      </c>
      <c r="E12" s="195">
        <v>64000</v>
      </c>
      <c r="F12" s="195"/>
      <c r="G12" s="195"/>
      <c r="H12" s="195"/>
      <c r="I12" s="127"/>
      <c r="J12" s="167">
        <f t="shared" si="2"/>
        <v>464000</v>
      </c>
      <c r="K12" s="254">
        <f t="shared" si="1"/>
        <v>2346760</v>
      </c>
    </row>
    <row r="13" spans="1:11" s="43" customFormat="1" ht="12" customHeight="1">
      <c r="A13" s="154" t="s">
        <v>78</v>
      </c>
      <c r="B13" s="140" t="s">
        <v>354</v>
      </c>
      <c r="C13" s="128">
        <v>43380253</v>
      </c>
      <c r="D13" s="195"/>
      <c r="E13" s="195">
        <v>2641600</v>
      </c>
      <c r="F13" s="195"/>
      <c r="G13" s="195"/>
      <c r="H13" s="195"/>
      <c r="I13" s="127"/>
      <c r="J13" s="167">
        <f t="shared" si="2"/>
        <v>2641600</v>
      </c>
      <c r="K13" s="254">
        <f t="shared" si="1"/>
        <v>46021853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5">
        <v>32640</v>
      </c>
      <c r="E14" s="195"/>
      <c r="F14" s="195"/>
      <c r="G14" s="195"/>
      <c r="H14" s="195"/>
      <c r="I14" s="127"/>
      <c r="J14" s="167">
        <f t="shared" si="2"/>
        <v>32640</v>
      </c>
      <c r="K14" s="254">
        <f t="shared" si="1"/>
        <v>32640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29395637</v>
      </c>
      <c r="D15" s="193">
        <f aca="true" t="shared" si="3" ref="D15:K15">+D16+D17+D18+D19+D20</f>
        <v>75499199</v>
      </c>
      <c r="E15" s="193">
        <f t="shared" si="3"/>
        <v>3324523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78823722</v>
      </c>
      <c r="K15" s="253">
        <f t="shared" si="3"/>
        <v>108219359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>
        <v>29395637</v>
      </c>
      <c r="D20" s="195">
        <v>75499199</v>
      </c>
      <c r="E20" s="195">
        <v>3324523</v>
      </c>
      <c r="F20" s="195"/>
      <c r="G20" s="195"/>
      <c r="H20" s="195"/>
      <c r="I20" s="127"/>
      <c r="J20" s="278">
        <f t="shared" si="2"/>
        <v>78823722</v>
      </c>
      <c r="K20" s="255">
        <f t="shared" si="4"/>
        <v>108219359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>
        <v>10279045</v>
      </c>
      <c r="E21" s="196"/>
      <c r="F21" s="196"/>
      <c r="G21" s="196"/>
      <c r="H21" s="196"/>
      <c r="I21" s="129"/>
      <c r="J21" s="279">
        <f t="shared" si="2"/>
        <v>10279045</v>
      </c>
      <c r="K21" s="256">
        <f t="shared" si="4"/>
        <v>10279045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38005614</v>
      </c>
      <c r="E22" s="193">
        <f t="shared" si="5"/>
        <v>42996269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81001883</v>
      </c>
      <c r="K22" s="253">
        <f t="shared" si="5"/>
        <v>81001883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>
        <v>40000000</v>
      </c>
      <c r="F23" s="194"/>
      <c r="G23" s="194"/>
      <c r="H23" s="194"/>
      <c r="I23" s="128"/>
      <c r="J23" s="167">
        <f t="shared" si="2"/>
        <v>40000000</v>
      </c>
      <c r="K23" s="254">
        <f aca="true" t="shared" si="6" ref="K23:K28">C23+J23</f>
        <v>40000000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>
        <v>38005614</v>
      </c>
      <c r="E27" s="195">
        <v>2996269</v>
      </c>
      <c r="F27" s="195"/>
      <c r="G27" s="195"/>
      <c r="H27" s="195"/>
      <c r="I27" s="127"/>
      <c r="J27" s="278">
        <f t="shared" si="2"/>
        <v>41001883</v>
      </c>
      <c r="K27" s="255">
        <f t="shared" si="6"/>
        <v>41001883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>
        <v>-610256</v>
      </c>
      <c r="E28" s="196"/>
      <c r="F28" s="196"/>
      <c r="G28" s="196"/>
      <c r="H28" s="196"/>
      <c r="I28" s="129"/>
      <c r="J28" s="279">
        <f t="shared" si="2"/>
        <v>-610256</v>
      </c>
      <c r="K28" s="256">
        <f t="shared" si="6"/>
        <v>-610256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23670000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23670000</v>
      </c>
    </row>
    <row r="30" spans="1:11" s="43" customFormat="1" ht="12" customHeight="1">
      <c r="A30" s="153" t="s">
        <v>152</v>
      </c>
      <c r="B30" s="139" t="s">
        <v>414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aca="true" t="shared" si="8" ref="K30:K36">C30+J30</f>
        <v>480000</v>
      </c>
    </row>
    <row r="31" spans="1:11" s="43" customFormat="1" ht="12" customHeight="1">
      <c r="A31" s="154" t="s">
        <v>153</v>
      </c>
      <c r="B31" s="140" t="s">
        <v>415</v>
      </c>
      <c r="C31" s="127">
        <v>1000000</v>
      </c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1000000</v>
      </c>
    </row>
    <row r="32" spans="1:11" s="43" customFormat="1" ht="12" customHeight="1">
      <c r="A32" s="154" t="s">
        <v>154</v>
      </c>
      <c r="B32" s="140" t="s">
        <v>416</v>
      </c>
      <c r="C32" s="127">
        <v>19500000</v>
      </c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19500000</v>
      </c>
    </row>
    <row r="33" spans="1:11" s="43" customFormat="1" ht="12" customHeight="1">
      <c r="A33" s="154" t="s">
        <v>155</v>
      </c>
      <c r="B33" s="140" t="s">
        <v>417</v>
      </c>
      <c r="C33" s="127">
        <v>20000</v>
      </c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20000</v>
      </c>
    </row>
    <row r="34" spans="1:11" s="43" customFormat="1" ht="12" customHeight="1">
      <c r="A34" s="154" t="s">
        <v>418</v>
      </c>
      <c r="B34" s="140" t="s">
        <v>156</v>
      </c>
      <c r="C34" s="127">
        <v>2500000</v>
      </c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2500000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>
        <v>170000</v>
      </c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170000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15212172</v>
      </c>
      <c r="D37" s="193">
        <f aca="true" t="shared" si="9" ref="D37:K37">SUM(D38:D48)</f>
        <v>610256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610256</v>
      </c>
      <c r="K37" s="253">
        <f t="shared" si="9"/>
        <v>15822428</v>
      </c>
    </row>
    <row r="38" spans="1:11" s="43" customFormat="1" ht="12" customHeight="1">
      <c r="A38" s="153" t="s">
        <v>51</v>
      </c>
      <c r="B38" s="139" t="s">
        <v>161</v>
      </c>
      <c r="C38" s="128">
        <v>2000000</v>
      </c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aca="true" t="shared" si="10" ref="K38:K48">C38+J38</f>
        <v>2000000</v>
      </c>
    </row>
    <row r="39" spans="1:11" s="43" customFormat="1" ht="12" customHeight="1">
      <c r="A39" s="154" t="s">
        <v>52</v>
      </c>
      <c r="B39" s="140" t="s">
        <v>162</v>
      </c>
      <c r="C39" s="127">
        <v>7015000</v>
      </c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7015000</v>
      </c>
    </row>
    <row r="40" spans="1:11" s="43" customFormat="1" ht="12" customHeight="1">
      <c r="A40" s="154" t="s">
        <v>53</v>
      </c>
      <c r="B40" s="140" t="s">
        <v>163</v>
      </c>
      <c r="C40" s="127">
        <v>1366000</v>
      </c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1366000</v>
      </c>
    </row>
    <row r="41" spans="1:11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>
        <v>768398</v>
      </c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768398</v>
      </c>
    </row>
    <row r="43" spans="1:11" s="43" customFormat="1" ht="12" customHeight="1">
      <c r="A43" s="154" t="s">
        <v>95</v>
      </c>
      <c r="B43" s="140" t="s">
        <v>166</v>
      </c>
      <c r="C43" s="127">
        <v>2738547</v>
      </c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2738547</v>
      </c>
    </row>
    <row r="44" spans="1:11" s="43" customFormat="1" ht="12" customHeight="1">
      <c r="A44" s="154" t="s">
        <v>96</v>
      </c>
      <c r="B44" s="140" t="s">
        <v>167</v>
      </c>
      <c r="C44" s="127">
        <v>1324227</v>
      </c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1324227</v>
      </c>
    </row>
    <row r="45" spans="1:11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20">
        <v>610256</v>
      </c>
      <c r="E47" s="220"/>
      <c r="F47" s="220"/>
      <c r="G47" s="220"/>
      <c r="H47" s="220"/>
      <c r="I47" s="131"/>
      <c r="J47" s="282">
        <f t="shared" si="2"/>
        <v>610256</v>
      </c>
      <c r="K47" s="259">
        <f t="shared" si="10"/>
        <v>610256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>
      <c r="A54" s="163" t="s">
        <v>174</v>
      </c>
      <c r="B54" s="316" t="s">
        <v>179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3">
        <f aca="true" t="shared" si="12" ref="D55:K55">SUM(D56:D58)</f>
        <v>1510000</v>
      </c>
      <c r="E55" s="193">
        <f t="shared" si="12"/>
        <v>275000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1785000</v>
      </c>
      <c r="K55" s="253">
        <f t="shared" si="12"/>
        <v>1785000</v>
      </c>
    </row>
    <row r="56" spans="1:11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5">
        <v>1510000</v>
      </c>
      <c r="E58" s="195">
        <v>275000</v>
      </c>
      <c r="F58" s="195"/>
      <c r="G58" s="195"/>
      <c r="H58" s="195"/>
      <c r="I58" s="127"/>
      <c r="J58" s="278">
        <f t="shared" si="2"/>
        <v>1785000</v>
      </c>
      <c r="K58" s="255">
        <f>C58+J58</f>
        <v>1785000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278946884</v>
      </c>
      <c r="D65" s="197">
        <f aca="true" t="shared" si="14" ref="D65:K65">+D8+D15+D22+D29+D37+D49+D55+D60</f>
        <v>121290184</v>
      </c>
      <c r="E65" s="197">
        <f t="shared" si="14"/>
        <v>54032473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175322657</v>
      </c>
      <c r="K65" s="257">
        <f t="shared" si="14"/>
        <v>454269541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>
      <c r="A69" s="163" t="s">
        <v>231</v>
      </c>
      <c r="B69" s="270" t="s">
        <v>196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>
      <c r="A71" s="153" t="s">
        <v>79</v>
      </c>
      <c r="B71" s="245" t="s">
        <v>199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>
      <c r="A72" s="154" t="s">
        <v>80</v>
      </c>
      <c r="B72" s="245" t="s">
        <v>432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>
      <c r="A73" s="154" t="s">
        <v>222</v>
      </c>
      <c r="B73" s="245" t="s">
        <v>200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>
      <c r="A74" s="155" t="s">
        <v>223</v>
      </c>
      <c r="B74" s="246" t="s">
        <v>433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630571015</v>
      </c>
      <c r="D75" s="126">
        <f aca="true" t="shared" si="17" ref="D75:K75">SUM(D76:D77)</f>
        <v>-47250592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-47250592</v>
      </c>
      <c r="K75" s="253">
        <f t="shared" si="17"/>
        <v>583320423</v>
      </c>
    </row>
    <row r="76" spans="1:11" s="43" customFormat="1" ht="12" customHeight="1">
      <c r="A76" s="153" t="s">
        <v>224</v>
      </c>
      <c r="B76" s="139" t="s">
        <v>203</v>
      </c>
      <c r="C76" s="130">
        <v>630571015</v>
      </c>
      <c r="D76" s="130">
        <v>-47250592</v>
      </c>
      <c r="E76" s="130"/>
      <c r="F76" s="130"/>
      <c r="G76" s="130"/>
      <c r="H76" s="130"/>
      <c r="I76" s="130"/>
      <c r="J76" s="276">
        <f>D76+E76+F76+G76+H76+I76</f>
        <v>-47250592</v>
      </c>
      <c r="K76" s="258">
        <f>C76+J76</f>
        <v>583320423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>
      <c r="A81" s="155" t="s">
        <v>228</v>
      </c>
      <c r="B81" s="247" t="s">
        <v>434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6">
        <f aca="true" t="shared" si="20" ref="J83:J88">D83+E83+F83+G83+H83+I83</f>
        <v>0</v>
      </c>
      <c r="K83" s="258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630571015</v>
      </c>
      <c r="D89" s="132">
        <f aca="true" t="shared" si="22" ref="D89:K89">+D66+D70+D75+D78+D82+D88+D87</f>
        <v>-47250592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-47250592</v>
      </c>
      <c r="K89" s="257">
        <f t="shared" si="22"/>
        <v>583320423</v>
      </c>
    </row>
    <row r="90" spans="1:11" s="42" customFormat="1" ht="12" customHeight="1" thickBot="1">
      <c r="A90" s="160" t="s">
        <v>357</v>
      </c>
      <c r="B90" s="322" t="s">
        <v>358</v>
      </c>
      <c r="C90" s="132">
        <f>+C65+C89</f>
        <v>909517899</v>
      </c>
      <c r="D90" s="132">
        <f aca="true" t="shared" si="23" ref="D90:K90">+D65+D89</f>
        <v>74039592</v>
      </c>
      <c r="E90" s="132">
        <f t="shared" si="23"/>
        <v>54032473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128072065</v>
      </c>
      <c r="K90" s="257">
        <f t="shared" si="23"/>
        <v>1037589964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28" t="s">
        <v>36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30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170284107</v>
      </c>
      <c r="D93" s="261">
        <f aca="true" t="shared" si="24" ref="D93:K93">+D94+D95+D96+D97+D98+D111</f>
        <v>75862154</v>
      </c>
      <c r="E93" s="261">
        <f t="shared" si="24"/>
        <v>8081623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83943777</v>
      </c>
      <c r="K93" s="264">
        <f t="shared" si="24"/>
        <v>254227884</v>
      </c>
    </row>
    <row r="94" spans="1:11" ht="12" customHeight="1">
      <c r="A94" s="161" t="s">
        <v>58</v>
      </c>
      <c r="B94" s="7" t="s">
        <v>32</v>
      </c>
      <c r="C94" s="186">
        <v>57549193</v>
      </c>
      <c r="D94" s="262">
        <v>50564346</v>
      </c>
      <c r="E94" s="262">
        <v>3116214</v>
      </c>
      <c r="F94" s="262"/>
      <c r="G94" s="262"/>
      <c r="H94" s="262"/>
      <c r="I94" s="186"/>
      <c r="J94" s="277">
        <f aca="true" t="shared" si="25" ref="J94:J113">D94+E94+F94+G94+H94+I94</f>
        <v>53680560</v>
      </c>
      <c r="K94" s="265">
        <f aca="true" t="shared" si="26" ref="K94:K113">C94+J94</f>
        <v>111229753</v>
      </c>
    </row>
    <row r="95" spans="1:11" ht="12" customHeight="1">
      <c r="A95" s="154" t="s">
        <v>59</v>
      </c>
      <c r="B95" s="5" t="s">
        <v>101</v>
      </c>
      <c r="C95" s="127">
        <v>8849428</v>
      </c>
      <c r="D95" s="127">
        <v>5315818</v>
      </c>
      <c r="E95" s="127">
        <v>505809</v>
      </c>
      <c r="F95" s="127"/>
      <c r="G95" s="127"/>
      <c r="H95" s="127"/>
      <c r="I95" s="127"/>
      <c r="J95" s="278">
        <f t="shared" si="25"/>
        <v>5821627</v>
      </c>
      <c r="K95" s="255">
        <f t="shared" si="26"/>
        <v>14671055</v>
      </c>
    </row>
    <row r="96" spans="1:11" ht="12" customHeight="1">
      <c r="A96" s="154" t="s">
        <v>60</v>
      </c>
      <c r="B96" s="5" t="s">
        <v>77</v>
      </c>
      <c r="C96" s="129">
        <v>78074486</v>
      </c>
      <c r="D96" s="129">
        <v>19981990</v>
      </c>
      <c r="E96" s="129">
        <v>275000</v>
      </c>
      <c r="F96" s="129"/>
      <c r="G96" s="129"/>
      <c r="H96" s="127"/>
      <c r="I96" s="129"/>
      <c r="J96" s="279">
        <f t="shared" si="25"/>
        <v>20256990</v>
      </c>
      <c r="K96" s="256">
        <f t="shared" si="26"/>
        <v>98331476</v>
      </c>
    </row>
    <row r="97" spans="1:11" ht="12" customHeight="1">
      <c r="A97" s="154" t="s">
        <v>61</v>
      </c>
      <c r="B97" s="8" t="s">
        <v>102</v>
      </c>
      <c r="C97" s="129">
        <v>19308000</v>
      </c>
      <c r="D97" s="129"/>
      <c r="E97" s="129">
        <v>3804600</v>
      </c>
      <c r="F97" s="129"/>
      <c r="G97" s="129"/>
      <c r="H97" s="129"/>
      <c r="I97" s="129"/>
      <c r="J97" s="279">
        <f t="shared" si="25"/>
        <v>3804600</v>
      </c>
      <c r="K97" s="256">
        <f t="shared" si="26"/>
        <v>23112600</v>
      </c>
    </row>
    <row r="98" spans="1:11" ht="12" customHeight="1">
      <c r="A98" s="154" t="s">
        <v>69</v>
      </c>
      <c r="B98" s="16" t="s">
        <v>103</v>
      </c>
      <c r="C98" s="129">
        <f>SUM(C99:C110)</f>
        <v>6103000</v>
      </c>
      <c r="D98" s="129">
        <f>SUM(D99:D110)</f>
        <v>0</v>
      </c>
      <c r="E98" s="129">
        <f>SUM(E99:E110)</f>
        <v>380000</v>
      </c>
      <c r="F98" s="129"/>
      <c r="G98" s="129"/>
      <c r="H98" s="129"/>
      <c r="I98" s="129"/>
      <c r="J98" s="279">
        <f t="shared" si="25"/>
        <v>380000</v>
      </c>
      <c r="K98" s="256">
        <f t="shared" si="26"/>
        <v>6483000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1150000</v>
      </c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1150000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4953000</v>
      </c>
      <c r="D110" s="127"/>
      <c r="E110" s="127">
        <v>380000</v>
      </c>
      <c r="F110" s="127"/>
      <c r="G110" s="127"/>
      <c r="H110" s="127"/>
      <c r="I110" s="127"/>
      <c r="J110" s="278">
        <f t="shared" si="25"/>
        <v>380000</v>
      </c>
      <c r="K110" s="255">
        <f t="shared" si="26"/>
        <v>5333000</v>
      </c>
    </row>
    <row r="111" spans="1:11" ht="12" customHeight="1">
      <c r="A111" s="154" t="s">
        <v>302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400000</v>
      </c>
    </row>
    <row r="112" spans="1:11" ht="12" customHeight="1">
      <c r="A112" s="155" t="s">
        <v>303</v>
      </c>
      <c r="B112" s="5" t="s">
        <v>360</v>
      </c>
      <c r="C112" s="129">
        <v>400000</v>
      </c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400000</v>
      </c>
    </row>
    <row r="113" spans="1:11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615320275</v>
      </c>
      <c r="D114" s="126">
        <f aca="true" t="shared" si="27" ref="D114:K114">+D115+D117+D119</f>
        <v>-7455037</v>
      </c>
      <c r="E114" s="126">
        <f t="shared" si="27"/>
        <v>42996269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35541232</v>
      </c>
      <c r="K114" s="253">
        <f t="shared" si="27"/>
        <v>650861507</v>
      </c>
    </row>
    <row r="115" spans="1:11" ht="12" customHeight="1">
      <c r="A115" s="153" t="s">
        <v>64</v>
      </c>
      <c r="B115" s="5" t="s">
        <v>119</v>
      </c>
      <c r="C115" s="128">
        <v>614261941</v>
      </c>
      <c r="D115" s="128">
        <v>-34244978</v>
      </c>
      <c r="E115" s="128">
        <v>42996269</v>
      </c>
      <c r="F115" s="128"/>
      <c r="G115" s="128"/>
      <c r="H115" s="128"/>
      <c r="I115" s="128"/>
      <c r="J115" s="167">
        <f aca="true" t="shared" si="28" ref="J115:J127">D115+E115+F115+G115+H115+I115</f>
        <v>8751291</v>
      </c>
      <c r="K115" s="254">
        <f aca="true" t="shared" si="29" ref="K115:K127">C115+J115</f>
        <v>623013232</v>
      </c>
    </row>
    <row r="116" spans="1:11" ht="12" customHeight="1">
      <c r="A116" s="153" t="s">
        <v>65</v>
      </c>
      <c r="B116" s="9" t="s">
        <v>248</v>
      </c>
      <c r="C116" s="128">
        <v>553020728</v>
      </c>
      <c r="D116" s="128">
        <v>-610256</v>
      </c>
      <c r="E116" s="128"/>
      <c r="F116" s="128"/>
      <c r="G116" s="128"/>
      <c r="H116" s="128"/>
      <c r="I116" s="128"/>
      <c r="J116" s="167">
        <f t="shared" si="28"/>
        <v>-610256</v>
      </c>
      <c r="K116" s="254">
        <f t="shared" si="29"/>
        <v>552410472</v>
      </c>
    </row>
    <row r="117" spans="1:11" ht="12" customHeight="1">
      <c r="A117" s="153" t="s">
        <v>66</v>
      </c>
      <c r="B117" s="9" t="s">
        <v>105</v>
      </c>
      <c r="C117" s="127">
        <v>1058334</v>
      </c>
      <c r="D117" s="127">
        <v>26789941</v>
      </c>
      <c r="E117" s="127"/>
      <c r="F117" s="127"/>
      <c r="G117" s="127"/>
      <c r="H117" s="127"/>
      <c r="I117" s="127"/>
      <c r="J117" s="278">
        <f t="shared" si="28"/>
        <v>26789941</v>
      </c>
      <c r="K117" s="255">
        <f t="shared" si="29"/>
        <v>27848275</v>
      </c>
    </row>
    <row r="118" spans="1:11" ht="12" customHeight="1">
      <c r="A118" s="153" t="s">
        <v>67</v>
      </c>
      <c r="B118" s="9" t="s">
        <v>249</v>
      </c>
      <c r="C118" s="127"/>
      <c r="D118" s="127">
        <v>1789941</v>
      </c>
      <c r="E118" s="127"/>
      <c r="F118" s="127"/>
      <c r="G118" s="127"/>
      <c r="H118" s="127"/>
      <c r="I118" s="127"/>
      <c r="J118" s="278">
        <f t="shared" si="28"/>
        <v>1789941</v>
      </c>
      <c r="K118" s="255">
        <f t="shared" si="29"/>
        <v>1789941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785604382</v>
      </c>
      <c r="D128" s="126">
        <f aca="true" t="shared" si="30" ref="D128:K128">+D93+D114</f>
        <v>68407117</v>
      </c>
      <c r="E128" s="126">
        <f t="shared" si="30"/>
        <v>51077892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119485009</v>
      </c>
      <c r="K128" s="253">
        <f t="shared" si="30"/>
        <v>905089391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8">
        <f aca="true" t="shared" si="33" ref="J134:J139">D134+E134+F134+G134+H134+I134</f>
        <v>0</v>
      </c>
      <c r="K134" s="255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8">
        <f aca="true" t="shared" si="37" ref="J147:J153">D147+E147+F147+G147+H147+I147</f>
        <v>0</v>
      </c>
      <c r="K147" s="255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1">
        <f>+C128+C154</f>
        <v>785604382</v>
      </c>
      <c r="D155" s="191">
        <f aca="true" t="shared" si="40" ref="D155:K155">+D128+D154</f>
        <v>68407117</v>
      </c>
      <c r="E155" s="191">
        <f t="shared" si="40"/>
        <v>51077892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119485009</v>
      </c>
      <c r="K155" s="268">
        <f t="shared" si="40"/>
        <v>905089391</v>
      </c>
    </row>
    <row r="156" spans="1:11" ht="13.5" thickBot="1">
      <c r="A156" s="117"/>
      <c r="B156" s="118"/>
      <c r="C156" s="421">
        <f>C90-C155</f>
        <v>123913517</v>
      </c>
      <c r="D156" s="422"/>
      <c r="E156" s="422"/>
      <c r="F156" s="422"/>
      <c r="G156" s="422"/>
      <c r="H156" s="422"/>
      <c r="I156" s="423"/>
      <c r="J156" s="423"/>
      <c r="K156" s="424">
        <f>K90-K155</f>
        <v>132500573</v>
      </c>
    </row>
    <row r="157" spans="1:11" ht="15" customHeight="1" thickBot="1">
      <c r="A157" s="65" t="s">
        <v>367</v>
      </c>
      <c r="B157" s="66"/>
      <c r="C157" s="223"/>
      <c r="D157" s="263"/>
      <c r="E157" s="263"/>
      <c r="F157" s="263"/>
      <c r="G157" s="263"/>
      <c r="H157" s="263"/>
      <c r="I157" s="223"/>
      <c r="J157" s="315">
        <f>D157+E157+F157+G157+H157+I157</f>
        <v>0</v>
      </c>
      <c r="K157" s="267">
        <f>C157+J157</f>
        <v>0</v>
      </c>
    </row>
    <row r="158" spans="1:11" ht="14.25" customHeight="1" thickBot="1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5">
        <f>D158+E158+F158+G158+H158+I158</f>
        <v>0</v>
      </c>
      <c r="K158" s="267">
        <f>C158+J158</f>
        <v>0</v>
      </c>
    </row>
  </sheetData>
  <sheetProtection sheet="1"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36">
      <selection activeCell="C99" sqref="C99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7" customFormat="1" ht="16.5" customHeight="1" thickBot="1">
      <c r="A1" s="402"/>
      <c r="B1" s="526" t="str">
        <f>CONCATENATE("5.1.2. melléklet ",RM_ALAPADATOK!A7," ",RM_ALAPADATOK!B7," ",RM_ALAPADATOK!C7," ",RM_ALAPADATOK!D7," ",RM_ALAPADATOK!E7," ",RM_ALAPADATOK!F7," ",RM_ALAPADATOK!G7," ",RM_ALAPADATOK!H7)</f>
        <v>5.1.2. melléklet a  / 2019 ( …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9" customFormat="1" ht="21" customHeight="1" thickBot="1">
      <c r="A2" s="403" t="s">
        <v>39</v>
      </c>
      <c r="B2" s="531" t="str">
        <f>CONCATENATE(RM_ALAPADATOK!A3)</f>
        <v>Tiszaszőlős Községi  Önkormányzat</v>
      </c>
      <c r="C2" s="532"/>
      <c r="D2" s="532"/>
      <c r="E2" s="532"/>
      <c r="F2" s="532"/>
      <c r="G2" s="532"/>
      <c r="H2" s="532"/>
      <c r="I2" s="533"/>
      <c r="J2" s="534"/>
      <c r="K2" s="318" t="s">
        <v>34</v>
      </c>
    </row>
    <row r="3" spans="1:11" s="319" customFormat="1" ht="36.75" thickBot="1">
      <c r="A3" s="403" t="s">
        <v>114</v>
      </c>
      <c r="B3" s="535" t="s">
        <v>471</v>
      </c>
      <c r="C3" s="536"/>
      <c r="D3" s="536"/>
      <c r="E3" s="536"/>
      <c r="F3" s="536"/>
      <c r="G3" s="536"/>
      <c r="H3" s="536"/>
      <c r="I3" s="537"/>
      <c r="J3" s="538"/>
      <c r="K3" s="320" t="s">
        <v>38</v>
      </c>
    </row>
    <row r="4" spans="1:11" s="321" customFormat="1" ht="15.75" customHeight="1" thickBot="1">
      <c r="A4" s="404"/>
      <c r="B4" s="404"/>
      <c r="C4" s="405"/>
      <c r="D4" s="405"/>
      <c r="E4" s="405"/>
      <c r="F4" s="405"/>
      <c r="G4" s="405"/>
      <c r="H4" s="406"/>
      <c r="I4" s="406"/>
      <c r="J4" s="406"/>
      <c r="K4" s="407" t="str">
        <f>CONCATENATE('RM_2.2.sz.mell.'!I2)</f>
        <v>Forintban!</v>
      </c>
    </row>
    <row r="5" spans="1:11" ht="40.5" customHeight="1" thickBot="1">
      <c r="A5" s="408" t="s">
        <v>115</v>
      </c>
      <c r="B5" s="395" t="s">
        <v>428</v>
      </c>
      <c r="C5" s="289" t="str">
        <f>CONCATENATE('RM_1.1.sz.mell.'!C9:K9)</f>
        <v>Eredeti
előirányzat</v>
      </c>
      <c r="D5" s="400" t="str">
        <f>CONCATENATE('RM_1.1.sz.mell.'!D9)</f>
        <v>1. sz. módosítás </v>
      </c>
      <c r="E5" s="290" t="str">
        <f>CONCATENATE('RM_1.1.sz.mell.'!E9)</f>
        <v>2. sz. módosítás </v>
      </c>
      <c r="F5" s="290" t="str">
        <f>CONCATENATE('RM_1.1.sz.mell.'!F9)</f>
        <v>3. sz. módosítás </v>
      </c>
      <c r="G5" s="290" t="str">
        <f>CONCATENATE('RM_1.1.sz.mell.'!G9)</f>
        <v>4. sz. módosítás </v>
      </c>
      <c r="H5" s="290" t="str">
        <f>CONCATENATE('RM_1.1.sz.mell.'!H9)</f>
        <v>5. sz. módosítás </v>
      </c>
      <c r="I5" s="290" t="str">
        <f>CONCATENATE('RM_1.1.sz.mell.'!I9)</f>
        <v>6. sz. módosítás </v>
      </c>
      <c r="J5" s="290" t="s">
        <v>435</v>
      </c>
      <c r="K5" s="291" t="str">
        <f>CONCATENATE('RM_5.1.1.sz.mell'!K5)</f>
        <v>….számú módosítás utáni előirányzat</v>
      </c>
    </row>
    <row r="6" spans="1:11" s="40" customFormat="1" ht="12.75" customHeight="1" thickBot="1">
      <c r="A6" s="396" t="s">
        <v>346</v>
      </c>
      <c r="B6" s="397" t="s">
        <v>347</v>
      </c>
      <c r="C6" s="409" t="s">
        <v>348</v>
      </c>
      <c r="D6" s="409" t="s">
        <v>350</v>
      </c>
      <c r="E6" s="410" t="s">
        <v>349</v>
      </c>
      <c r="F6" s="410" t="s">
        <v>351</v>
      </c>
      <c r="G6" s="410" t="s">
        <v>352</v>
      </c>
      <c r="H6" s="410" t="s">
        <v>353</v>
      </c>
      <c r="I6" s="410" t="s">
        <v>459</v>
      </c>
      <c r="J6" s="410" t="s">
        <v>460</v>
      </c>
      <c r="K6" s="399" t="s">
        <v>461</v>
      </c>
    </row>
    <row r="7" spans="1:11" s="40" customFormat="1" ht="15.75" customHeight="1" thickBot="1">
      <c r="A7" s="528" t="s">
        <v>35</v>
      </c>
      <c r="B7" s="529"/>
      <c r="C7" s="529"/>
      <c r="D7" s="529"/>
      <c r="E7" s="529"/>
      <c r="F7" s="529"/>
      <c r="G7" s="529"/>
      <c r="H7" s="529"/>
      <c r="I7" s="529"/>
      <c r="J7" s="529"/>
      <c r="K7" s="530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3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4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aca="true" t="shared" si="2" ref="J10:J64">D10+E10+F10+G10+H10+I10</f>
        <v>0</v>
      </c>
      <c r="K10" s="254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4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4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4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3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4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1300000</v>
      </c>
      <c r="D37" s="193">
        <f aca="true" t="shared" si="9" ref="D37:K37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53">
        <f t="shared" si="9"/>
        <v>1300000</v>
      </c>
    </row>
    <row r="38" spans="1:11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>
        <v>1100000</v>
      </c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1100000</v>
      </c>
    </row>
    <row r="40" spans="1:11" s="43" customFormat="1" ht="12" customHeight="1">
      <c r="A40" s="154" t="s">
        <v>53</v>
      </c>
      <c r="B40" s="140" t="s">
        <v>163</v>
      </c>
      <c r="C40" s="127">
        <v>200000</v>
      </c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200000</v>
      </c>
    </row>
    <row r="41" spans="1:11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>
      <c r="A54" s="163" t="s">
        <v>174</v>
      </c>
      <c r="B54" s="316" t="s">
        <v>179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280000</v>
      </c>
      <c r="D55" s="193">
        <f aca="true" t="shared" si="12" ref="D55:K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280000</v>
      </c>
    </row>
    <row r="56" spans="1:11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>
        <v>280000</v>
      </c>
      <c r="D58" s="195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280000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1580000</v>
      </c>
      <c r="D65" s="197">
        <f aca="true" t="shared" si="14" ref="D65:K65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57">
        <f t="shared" si="14"/>
        <v>1580000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>
      <c r="A69" s="163" t="s">
        <v>231</v>
      </c>
      <c r="B69" s="270" t="s">
        <v>196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>
      <c r="A71" s="153" t="s">
        <v>79</v>
      </c>
      <c r="B71" s="245" t="s">
        <v>199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>
      <c r="A72" s="154" t="s">
        <v>80</v>
      </c>
      <c r="B72" s="245" t="s">
        <v>432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>
      <c r="A73" s="154" t="s">
        <v>222</v>
      </c>
      <c r="B73" s="245" t="s">
        <v>200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>
      <c r="A74" s="155" t="s">
        <v>223</v>
      </c>
      <c r="B74" s="246" t="s">
        <v>433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3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58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>
      <c r="A81" s="155" t="s">
        <v>228</v>
      </c>
      <c r="B81" s="247" t="s">
        <v>434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6">
        <f aca="true" t="shared" si="20" ref="J83:J88">D83+E83+F83+G83+H83+I83</f>
        <v>0</v>
      </c>
      <c r="K83" s="258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7">
        <f t="shared" si="22"/>
        <v>0</v>
      </c>
    </row>
    <row r="90" spans="1:11" s="42" customFormat="1" ht="12" customHeight="1" thickBot="1">
      <c r="A90" s="160" t="s">
        <v>357</v>
      </c>
      <c r="B90" s="322" t="s">
        <v>358</v>
      </c>
      <c r="C90" s="132">
        <f>+C65+C89</f>
        <v>1580000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7">
        <f t="shared" si="23"/>
        <v>1580000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28" t="s">
        <v>36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30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5675900</v>
      </c>
      <c r="D93" s="261">
        <f aca="true" t="shared" si="24" ref="D93:K93">+D94+D95+D96+D97+D98+D111</f>
        <v>0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0</v>
      </c>
      <c r="K93" s="264">
        <f t="shared" si="24"/>
        <v>5675900</v>
      </c>
    </row>
    <row r="94" spans="1:11" ht="12" customHeight="1">
      <c r="A94" s="161" t="s">
        <v>58</v>
      </c>
      <c r="B94" s="7" t="s">
        <v>32</v>
      </c>
      <c r="C94" s="186">
        <v>234310</v>
      </c>
      <c r="D94" s="262"/>
      <c r="E94" s="262"/>
      <c r="F94" s="262"/>
      <c r="G94" s="262"/>
      <c r="H94" s="262"/>
      <c r="I94" s="186"/>
      <c r="J94" s="277">
        <f aca="true" t="shared" si="25" ref="J94:J113">D94+E94+F94+G94+H94+I94</f>
        <v>0</v>
      </c>
      <c r="K94" s="265">
        <f aca="true" t="shared" si="26" ref="K94:K113">C94+J94</f>
        <v>234310</v>
      </c>
    </row>
    <row r="95" spans="1:11" ht="12" customHeight="1">
      <c r="A95" s="154" t="s">
        <v>59</v>
      </c>
      <c r="B95" s="5" t="s">
        <v>101</v>
      </c>
      <c r="C95" s="127">
        <v>45690</v>
      </c>
      <c r="D95" s="127"/>
      <c r="E95" s="127"/>
      <c r="F95" s="127"/>
      <c r="G95" s="127"/>
      <c r="H95" s="127"/>
      <c r="I95" s="127"/>
      <c r="J95" s="278">
        <f t="shared" si="25"/>
        <v>0</v>
      </c>
      <c r="K95" s="255">
        <f t="shared" si="26"/>
        <v>45690</v>
      </c>
    </row>
    <row r="96" spans="1:11" ht="12" customHeight="1">
      <c r="A96" s="154" t="s">
        <v>60</v>
      </c>
      <c r="B96" s="5" t="s">
        <v>77</v>
      </c>
      <c r="C96" s="129">
        <v>2747900</v>
      </c>
      <c r="D96" s="129"/>
      <c r="E96" s="129"/>
      <c r="F96" s="129"/>
      <c r="G96" s="129"/>
      <c r="H96" s="127"/>
      <c r="I96" s="129"/>
      <c r="J96" s="279">
        <f t="shared" si="25"/>
        <v>0</v>
      </c>
      <c r="K96" s="256">
        <f t="shared" si="26"/>
        <v>2747900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0</v>
      </c>
    </row>
    <row r="98" spans="1:11" ht="12" customHeight="1">
      <c r="A98" s="154" t="s">
        <v>69</v>
      </c>
      <c r="B98" s="16" t="s">
        <v>103</v>
      </c>
      <c r="C98" s="129">
        <f>SUM(C99:C110)</f>
        <v>2648000</v>
      </c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2648000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>
      <c r="A105" s="154" t="s">
        <v>75</v>
      </c>
      <c r="B105" s="50" t="s">
        <v>238</v>
      </c>
      <c r="C105" s="129">
        <v>150000</v>
      </c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150000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>
        <v>2498000</v>
      </c>
      <c r="D110" s="127"/>
      <c r="E110" s="127"/>
      <c r="F110" s="127"/>
      <c r="G110" s="127"/>
      <c r="H110" s="127"/>
      <c r="I110" s="127"/>
      <c r="J110" s="278">
        <f t="shared" si="25"/>
        <v>0</v>
      </c>
      <c r="K110" s="255">
        <f t="shared" si="26"/>
        <v>2498000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3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4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8">
        <f t="shared" si="28"/>
        <v>0</v>
      </c>
      <c r="K117" s="255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5675900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3">
        <f t="shared" si="30"/>
        <v>5675900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8">
        <f aca="true" t="shared" si="33" ref="J134:J139">D134+E134+F134+G134+H134+I134</f>
        <v>0</v>
      </c>
      <c r="K134" s="255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8">
        <f aca="true" t="shared" si="37" ref="J147:J153">D147+E147+F147+G147+H147+I147</f>
        <v>0</v>
      </c>
      <c r="K147" s="255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1">
        <f>+C128+C154</f>
        <v>5675900</v>
      </c>
      <c r="D155" s="191">
        <f aca="true" t="shared" si="40" ref="D155:K155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68">
        <f t="shared" si="40"/>
        <v>5675900</v>
      </c>
    </row>
    <row r="156" spans="1:11" ht="13.5" thickBot="1">
      <c r="A156" s="117"/>
      <c r="B156" s="118"/>
      <c r="C156" s="421">
        <f>C90-C155</f>
        <v>-4095900</v>
      </c>
      <c r="D156" s="422"/>
      <c r="E156" s="422"/>
      <c r="F156" s="422"/>
      <c r="G156" s="422"/>
      <c r="H156" s="422"/>
      <c r="I156" s="423"/>
      <c r="J156" s="423"/>
      <c r="K156" s="424">
        <f>K90-K155</f>
        <v>-4095900</v>
      </c>
    </row>
    <row r="157" spans="1:11" ht="15" customHeight="1" thickBot="1">
      <c r="A157" s="65" t="s">
        <v>367</v>
      </c>
      <c r="B157" s="66"/>
      <c r="C157" s="223"/>
      <c r="D157" s="263"/>
      <c r="E157" s="263"/>
      <c r="F157" s="263"/>
      <c r="G157" s="263"/>
      <c r="H157" s="263"/>
      <c r="I157" s="223"/>
      <c r="J157" s="315">
        <f>D157+E157+F157+G157+H157+I157</f>
        <v>0</v>
      </c>
      <c r="K157" s="267">
        <f>C157+J157</f>
        <v>0</v>
      </c>
    </row>
    <row r="158" spans="1:11" ht="14.25" customHeight="1" thickBot="1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5">
        <f>D158+E158+F158+G158+H158+I158</f>
        <v>0</v>
      </c>
      <c r="K158" s="267">
        <f>C158+J158</f>
        <v>0</v>
      </c>
    </row>
  </sheetData>
  <sheetProtection sheet="1"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25">
      <selection activeCell="K5" sqref="K5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17" customFormat="1" ht="16.5" customHeight="1" thickBot="1">
      <c r="A1" s="402"/>
      <c r="B1" s="526" t="str">
        <f>CONCATENATE("5.1.3. melléklet ",RM_ALAPADATOK!A7," ",RM_ALAPADATOK!B7," ",RM_ALAPADATOK!C7," ",RM_ALAPADATOK!D7," ",RM_ALAPADATOK!E7," ",RM_ALAPADATOK!F7," ",RM_ALAPADATOK!G7," ",RM_ALAPADATOK!H7)</f>
        <v>5.1.3. melléklet a  / 2019 ( … ) önkormányzati rendelethez</v>
      </c>
      <c r="C1" s="527"/>
      <c r="D1" s="527"/>
      <c r="E1" s="527"/>
      <c r="F1" s="527"/>
      <c r="G1" s="527"/>
      <c r="H1" s="527"/>
      <c r="I1" s="527"/>
      <c r="J1" s="527"/>
      <c r="K1" s="527"/>
    </row>
    <row r="2" spans="1:11" s="319" customFormat="1" ht="21" customHeight="1" thickBot="1">
      <c r="A2" s="403" t="s">
        <v>39</v>
      </c>
      <c r="B2" s="531" t="str">
        <f>CONCATENATE(RM_ALAPADATOK!A3)</f>
        <v>Tiszaszőlős Községi  Önkormányzat</v>
      </c>
      <c r="C2" s="532"/>
      <c r="D2" s="532"/>
      <c r="E2" s="532"/>
      <c r="F2" s="532"/>
      <c r="G2" s="532"/>
      <c r="H2" s="532"/>
      <c r="I2" s="533"/>
      <c r="J2" s="534"/>
      <c r="K2" s="318" t="s">
        <v>34</v>
      </c>
    </row>
    <row r="3" spans="1:11" s="319" customFormat="1" ht="36.75" thickBot="1">
      <c r="A3" s="403" t="s">
        <v>114</v>
      </c>
      <c r="B3" s="535" t="s">
        <v>473</v>
      </c>
      <c r="C3" s="536"/>
      <c r="D3" s="536"/>
      <c r="E3" s="536"/>
      <c r="F3" s="536"/>
      <c r="G3" s="536"/>
      <c r="H3" s="536"/>
      <c r="I3" s="537"/>
      <c r="J3" s="538"/>
      <c r="K3" s="320" t="s">
        <v>290</v>
      </c>
    </row>
    <row r="4" spans="1:11" s="321" customFormat="1" ht="15.75" customHeight="1" thickBot="1">
      <c r="A4" s="404"/>
      <c r="B4" s="404"/>
      <c r="C4" s="405"/>
      <c r="D4" s="405"/>
      <c r="E4" s="405"/>
      <c r="F4" s="405"/>
      <c r="G4" s="405"/>
      <c r="H4" s="406"/>
      <c r="I4" s="406"/>
      <c r="J4" s="406"/>
      <c r="K4" s="407" t="str">
        <f>CONCATENATE('RM_2.2.sz.mell.'!I2)</f>
        <v>Forintban!</v>
      </c>
    </row>
    <row r="5" spans="1:11" ht="40.5" customHeight="1" thickBot="1">
      <c r="A5" s="408" t="s">
        <v>115</v>
      </c>
      <c r="B5" s="395" t="s">
        <v>428</v>
      </c>
      <c r="C5" s="289" t="str">
        <f>CONCATENATE('RM_1.1.sz.mell.'!C9:K9)</f>
        <v>Eredeti
előirányzat</v>
      </c>
      <c r="D5" s="290" t="str">
        <f>CONCATENATE('RM_1.1.sz.mell.'!D9)</f>
        <v>1. sz. módosítás </v>
      </c>
      <c r="E5" s="290" t="str">
        <f>CONCATENATE('RM_1.1.sz.mell.'!E9)</f>
        <v>2. sz. módosítás </v>
      </c>
      <c r="F5" s="290" t="str">
        <f>CONCATENATE('RM_1.1.sz.mell.'!F9)</f>
        <v>3. sz. módosítás </v>
      </c>
      <c r="G5" s="290" t="str">
        <f>CONCATENATE('RM_1.1.sz.mell.'!G9)</f>
        <v>4. sz. módosítás </v>
      </c>
      <c r="H5" s="290" t="str">
        <f>CONCATENATE('RM_1.1.sz.mell.'!H9)</f>
        <v>5. sz. módosítás </v>
      </c>
      <c r="I5" s="290" t="str">
        <f>CONCATENATE('RM_1.1.sz.mell.'!I9)</f>
        <v>6. sz. módosítás </v>
      </c>
      <c r="J5" s="290" t="s">
        <v>435</v>
      </c>
      <c r="K5" s="291" t="str">
        <f>CONCATENATE('RM_5.1.2.sz.mell'!K5)</f>
        <v>….számú módosítás utáni előirányzat</v>
      </c>
    </row>
    <row r="6" spans="1:11" s="40" customFormat="1" ht="12.75" customHeight="1" thickBot="1">
      <c r="A6" s="396" t="s">
        <v>346</v>
      </c>
      <c r="B6" s="397" t="s">
        <v>347</v>
      </c>
      <c r="C6" s="409" t="s">
        <v>348</v>
      </c>
      <c r="D6" s="409" t="s">
        <v>350</v>
      </c>
      <c r="E6" s="410" t="s">
        <v>349</v>
      </c>
      <c r="F6" s="410" t="s">
        <v>351</v>
      </c>
      <c r="G6" s="410" t="s">
        <v>352</v>
      </c>
      <c r="H6" s="410" t="s">
        <v>353</v>
      </c>
      <c r="I6" s="410" t="s">
        <v>459</v>
      </c>
      <c r="J6" s="410" t="s">
        <v>460</v>
      </c>
      <c r="K6" s="399" t="s">
        <v>461</v>
      </c>
    </row>
    <row r="7" spans="1:11" s="40" customFormat="1" ht="15.75" customHeight="1" thickBot="1">
      <c r="A7" s="528" t="s">
        <v>35</v>
      </c>
      <c r="B7" s="529"/>
      <c r="C7" s="529"/>
      <c r="D7" s="529"/>
      <c r="E7" s="529"/>
      <c r="F7" s="529"/>
      <c r="G7" s="529"/>
      <c r="H7" s="529"/>
      <c r="I7" s="529"/>
      <c r="J7" s="529"/>
      <c r="K7" s="530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3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4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aca="true" t="shared" si="2" ref="J10:J64">D10+E10+F10+G10+H10+I10</f>
        <v>0</v>
      </c>
      <c r="K10" s="254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4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4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4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4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3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4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8">
        <f t="shared" si="2"/>
        <v>0</v>
      </c>
      <c r="K17" s="255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278">
        <f t="shared" si="2"/>
        <v>0</v>
      </c>
      <c r="K18" s="255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278">
        <f t="shared" si="2"/>
        <v>0</v>
      </c>
      <c r="K19" s="255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8">
        <f t="shared" si="2"/>
        <v>0</v>
      </c>
      <c r="K20" s="255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9">
        <f t="shared" si="2"/>
        <v>0</v>
      </c>
      <c r="K21" s="256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3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4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8">
        <f t="shared" si="2"/>
        <v>0</v>
      </c>
      <c r="K24" s="255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278">
        <f t="shared" si="2"/>
        <v>0</v>
      </c>
      <c r="K25" s="255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278">
        <f t="shared" si="2"/>
        <v>0</v>
      </c>
      <c r="K26" s="255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8">
        <f t="shared" si="2"/>
        <v>0</v>
      </c>
      <c r="K27" s="255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9">
        <f t="shared" si="2"/>
        <v>0</v>
      </c>
      <c r="K28" s="256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7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4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78">
        <f t="shared" si="2"/>
        <v>0</v>
      </c>
      <c r="K31" s="255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78">
        <f t="shared" si="2"/>
        <v>0</v>
      </c>
      <c r="K32" s="255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78">
        <f t="shared" si="2"/>
        <v>0</v>
      </c>
      <c r="K33" s="255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78">
        <f t="shared" si="2"/>
        <v>0</v>
      </c>
      <c r="K34" s="255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78">
        <f t="shared" si="2"/>
        <v>0</v>
      </c>
      <c r="K35" s="255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9">
        <f t="shared" si="2"/>
        <v>0</v>
      </c>
      <c r="K36" s="256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0</v>
      </c>
      <c r="D37" s="193">
        <f aca="true" t="shared" si="9" ref="D37:K37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53">
        <f t="shared" si="9"/>
        <v>0</v>
      </c>
    </row>
    <row r="38" spans="1:11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4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/>
      <c r="D39" s="195"/>
      <c r="E39" s="195"/>
      <c r="F39" s="195"/>
      <c r="G39" s="195"/>
      <c r="H39" s="195"/>
      <c r="I39" s="127"/>
      <c r="J39" s="278">
        <f t="shared" si="2"/>
        <v>0</v>
      </c>
      <c r="K39" s="255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127"/>
      <c r="D40" s="195"/>
      <c r="E40" s="195"/>
      <c r="F40" s="195"/>
      <c r="G40" s="195"/>
      <c r="H40" s="195"/>
      <c r="I40" s="127"/>
      <c r="J40" s="278">
        <f t="shared" si="2"/>
        <v>0</v>
      </c>
      <c r="K40" s="255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278">
        <f t="shared" si="2"/>
        <v>0</v>
      </c>
      <c r="K41" s="255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27"/>
      <c r="J42" s="278">
        <f t="shared" si="2"/>
        <v>0</v>
      </c>
      <c r="K42" s="255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5"/>
      <c r="E43" s="195"/>
      <c r="F43" s="195"/>
      <c r="G43" s="195"/>
      <c r="H43" s="195"/>
      <c r="I43" s="127"/>
      <c r="J43" s="278">
        <f t="shared" si="2"/>
        <v>0</v>
      </c>
      <c r="K43" s="255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27"/>
      <c r="J44" s="278">
        <f t="shared" si="2"/>
        <v>0</v>
      </c>
      <c r="K44" s="255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278">
        <f t="shared" si="2"/>
        <v>0</v>
      </c>
      <c r="K45" s="255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276">
        <f t="shared" si="2"/>
        <v>0</v>
      </c>
      <c r="K46" s="258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131"/>
      <c r="J47" s="282">
        <f t="shared" si="2"/>
        <v>0</v>
      </c>
      <c r="K47" s="259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282">
        <f t="shared" si="2"/>
        <v>0</v>
      </c>
      <c r="K48" s="259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3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273">
        <f t="shared" si="2"/>
        <v>0</v>
      </c>
      <c r="K50" s="260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276">
        <f t="shared" si="2"/>
        <v>0</v>
      </c>
      <c r="K51" s="258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276">
        <f t="shared" si="2"/>
        <v>0</v>
      </c>
      <c r="K52" s="258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276">
        <f t="shared" si="2"/>
        <v>0</v>
      </c>
      <c r="K53" s="258">
        <f>C53+J53</f>
        <v>0</v>
      </c>
    </row>
    <row r="54" spans="1:11" s="43" customFormat="1" ht="12" customHeight="1" thickBot="1">
      <c r="A54" s="163" t="s">
        <v>174</v>
      </c>
      <c r="B54" s="316" t="s">
        <v>179</v>
      </c>
      <c r="C54" s="252"/>
      <c r="D54" s="222"/>
      <c r="E54" s="222"/>
      <c r="F54" s="222"/>
      <c r="G54" s="222"/>
      <c r="H54" s="222"/>
      <c r="I54" s="252"/>
      <c r="J54" s="275">
        <f t="shared" si="2"/>
        <v>0</v>
      </c>
      <c r="K54" s="271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3">
        <f aca="true" t="shared" si="12" ref="D55:K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3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4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278">
        <f t="shared" si="2"/>
        <v>0</v>
      </c>
      <c r="K57" s="255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5"/>
      <c r="E58" s="195"/>
      <c r="F58" s="195"/>
      <c r="G58" s="195"/>
      <c r="H58" s="195"/>
      <c r="I58" s="127"/>
      <c r="J58" s="278">
        <f t="shared" si="2"/>
        <v>0</v>
      </c>
      <c r="K58" s="255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279">
        <f t="shared" si="2"/>
        <v>0</v>
      </c>
      <c r="K59" s="256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3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276">
        <f t="shared" si="2"/>
        <v>0</v>
      </c>
      <c r="K61" s="258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130"/>
      <c r="J62" s="276">
        <f t="shared" si="2"/>
        <v>0</v>
      </c>
      <c r="K62" s="258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276">
        <f t="shared" si="2"/>
        <v>0</v>
      </c>
      <c r="K63" s="258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276">
        <f t="shared" si="2"/>
        <v>0</v>
      </c>
      <c r="K64" s="258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0</v>
      </c>
      <c r="D65" s="197">
        <f aca="true" t="shared" si="14" ref="D65:K65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57">
        <f t="shared" si="14"/>
        <v>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3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276">
        <f>D67+E67+F67+G67+H67+I67</f>
        <v>0</v>
      </c>
      <c r="K67" s="258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276">
        <f>D68+E68+F68+G68+H68+I68</f>
        <v>0</v>
      </c>
      <c r="K68" s="258">
        <f>C68+J68</f>
        <v>0</v>
      </c>
    </row>
    <row r="69" spans="1:11" s="43" customFormat="1" ht="12" customHeight="1" thickBot="1">
      <c r="A69" s="163" t="s">
        <v>231</v>
      </c>
      <c r="B69" s="270" t="s">
        <v>196</v>
      </c>
      <c r="C69" s="252"/>
      <c r="D69" s="222"/>
      <c r="E69" s="222"/>
      <c r="F69" s="222"/>
      <c r="G69" s="222"/>
      <c r="H69" s="222"/>
      <c r="I69" s="252"/>
      <c r="J69" s="275">
        <f>D69+E69+F69+G69+H69+I69</f>
        <v>0</v>
      </c>
      <c r="K69" s="271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3">
        <f t="shared" si="16"/>
        <v>0</v>
      </c>
    </row>
    <row r="71" spans="1:11" s="43" customFormat="1" ht="12" customHeight="1">
      <c r="A71" s="153" t="s">
        <v>79</v>
      </c>
      <c r="B71" s="245" t="s">
        <v>199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58">
        <f>C71+J71</f>
        <v>0</v>
      </c>
    </row>
    <row r="72" spans="1:11" s="43" customFormat="1" ht="12" customHeight="1">
      <c r="A72" s="154" t="s">
        <v>80</v>
      </c>
      <c r="B72" s="245" t="s">
        <v>432</v>
      </c>
      <c r="C72" s="130"/>
      <c r="D72" s="130"/>
      <c r="E72" s="130"/>
      <c r="F72" s="130"/>
      <c r="G72" s="130"/>
      <c r="H72" s="130"/>
      <c r="I72" s="130"/>
      <c r="J72" s="276">
        <f>D72+E72+F72+G72+H72+I72</f>
        <v>0</v>
      </c>
      <c r="K72" s="258">
        <f>C72+J72</f>
        <v>0</v>
      </c>
    </row>
    <row r="73" spans="1:11" s="43" customFormat="1" ht="12" customHeight="1">
      <c r="A73" s="154" t="s">
        <v>222</v>
      </c>
      <c r="B73" s="245" t="s">
        <v>200</v>
      </c>
      <c r="C73" s="130"/>
      <c r="D73" s="130"/>
      <c r="E73" s="130"/>
      <c r="F73" s="130"/>
      <c r="G73" s="130"/>
      <c r="H73" s="130"/>
      <c r="I73" s="130"/>
      <c r="J73" s="276">
        <f>D73+E73+F73+G73+H73+I73</f>
        <v>0</v>
      </c>
      <c r="K73" s="258">
        <f>C73+J73</f>
        <v>0</v>
      </c>
    </row>
    <row r="74" spans="1:11" s="43" customFormat="1" ht="12" customHeight="1" thickBot="1">
      <c r="A74" s="155" t="s">
        <v>223</v>
      </c>
      <c r="B74" s="246" t="s">
        <v>433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58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3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58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58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3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58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58">
        <f>C80+J80</f>
        <v>0</v>
      </c>
    </row>
    <row r="81" spans="1:11" s="43" customFormat="1" ht="12" customHeight="1" thickBot="1">
      <c r="A81" s="155" t="s">
        <v>228</v>
      </c>
      <c r="B81" s="247" t="s">
        <v>434</v>
      </c>
      <c r="C81" s="130"/>
      <c r="D81" s="130"/>
      <c r="E81" s="130"/>
      <c r="F81" s="130"/>
      <c r="G81" s="130"/>
      <c r="H81" s="130"/>
      <c r="I81" s="130"/>
      <c r="J81" s="276">
        <f>D81+E81+F81+G81+H81+I81</f>
        <v>0</v>
      </c>
      <c r="K81" s="258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3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76">
        <f aca="true" t="shared" si="20" ref="J83:J88">D83+E83+F83+G83+H83+I83</f>
        <v>0</v>
      </c>
      <c r="K83" s="258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76">
        <f t="shared" si="20"/>
        <v>0</v>
      </c>
      <c r="K84" s="258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76">
        <f t="shared" si="20"/>
        <v>0</v>
      </c>
      <c r="K85" s="258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76">
        <f t="shared" si="20"/>
        <v>0</v>
      </c>
      <c r="K86" s="258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3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3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7">
        <f t="shared" si="22"/>
        <v>0</v>
      </c>
    </row>
    <row r="90" spans="1:11" s="42" customFormat="1" ht="12" customHeight="1" thickBot="1">
      <c r="A90" s="160" t="s">
        <v>357</v>
      </c>
      <c r="B90" s="322" t="s">
        <v>358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7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28" t="s">
        <v>36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30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0</v>
      </c>
      <c r="D93" s="261">
        <f aca="true" t="shared" si="24" ref="D93:K93">+D94+D95+D96+D97+D98+D111</f>
        <v>0</v>
      </c>
      <c r="E93" s="261">
        <f t="shared" si="24"/>
        <v>0</v>
      </c>
      <c r="F93" s="261">
        <f t="shared" si="24"/>
        <v>0</v>
      </c>
      <c r="G93" s="261">
        <f t="shared" si="24"/>
        <v>0</v>
      </c>
      <c r="H93" s="261">
        <f t="shared" si="24"/>
        <v>0</v>
      </c>
      <c r="I93" s="125">
        <f t="shared" si="24"/>
        <v>0</v>
      </c>
      <c r="J93" s="125">
        <f t="shared" si="24"/>
        <v>0</v>
      </c>
      <c r="K93" s="264">
        <f t="shared" si="24"/>
        <v>0</v>
      </c>
    </row>
    <row r="94" spans="1:11" ht="12" customHeight="1">
      <c r="A94" s="161" t="s">
        <v>58</v>
      </c>
      <c r="B94" s="7" t="s">
        <v>32</v>
      </c>
      <c r="C94" s="186"/>
      <c r="D94" s="262"/>
      <c r="E94" s="262"/>
      <c r="F94" s="262"/>
      <c r="G94" s="262"/>
      <c r="H94" s="262"/>
      <c r="I94" s="186"/>
      <c r="J94" s="277">
        <f aca="true" t="shared" si="25" ref="J94:J113">D94+E94+F94+G94+H94+I94</f>
        <v>0</v>
      </c>
      <c r="K94" s="265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8">
        <f t="shared" si="25"/>
        <v>0</v>
      </c>
      <c r="K95" s="255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9">
        <f t="shared" si="25"/>
        <v>0</v>
      </c>
      <c r="K96" s="256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9">
        <f t="shared" si="25"/>
        <v>0</v>
      </c>
      <c r="K97" s="256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9">
        <f t="shared" si="25"/>
        <v>0</v>
      </c>
      <c r="K98" s="256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9">
        <f t="shared" si="25"/>
        <v>0</v>
      </c>
      <c r="K99" s="256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9">
        <f t="shared" si="25"/>
        <v>0</v>
      </c>
      <c r="K100" s="256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9">
        <f t="shared" si="25"/>
        <v>0</v>
      </c>
      <c r="K101" s="256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9">
        <f t="shared" si="25"/>
        <v>0</v>
      </c>
      <c r="K102" s="256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9">
        <f t="shared" si="25"/>
        <v>0</v>
      </c>
      <c r="K103" s="256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9">
        <f t="shared" si="25"/>
        <v>0</v>
      </c>
      <c r="K104" s="256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9">
        <f t="shared" si="25"/>
        <v>0</v>
      </c>
      <c r="K105" s="256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9">
        <f t="shared" si="25"/>
        <v>0</v>
      </c>
      <c r="K106" s="256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9">
        <f t="shared" si="25"/>
        <v>0</v>
      </c>
      <c r="K107" s="256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9">
        <f t="shared" si="25"/>
        <v>0</v>
      </c>
      <c r="K108" s="256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9">
        <f t="shared" si="25"/>
        <v>0</v>
      </c>
      <c r="K109" s="256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78">
        <f t="shared" si="25"/>
        <v>0</v>
      </c>
      <c r="K110" s="255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8">
        <f t="shared" si="25"/>
        <v>0</v>
      </c>
      <c r="K111" s="255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9">
        <f t="shared" si="25"/>
        <v>0</v>
      </c>
      <c r="K112" s="256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280">
        <f t="shared" si="25"/>
        <v>0</v>
      </c>
      <c r="K113" s="266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3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4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4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8">
        <f t="shared" si="28"/>
        <v>0</v>
      </c>
      <c r="K117" s="255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78">
        <f t="shared" si="28"/>
        <v>0</v>
      </c>
      <c r="K118" s="255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8">
        <f t="shared" si="28"/>
        <v>0</v>
      </c>
      <c r="K119" s="255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78">
        <f t="shared" si="28"/>
        <v>0</v>
      </c>
      <c r="K120" s="255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78">
        <f t="shared" si="28"/>
        <v>0</v>
      </c>
      <c r="K121" s="255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78">
        <f t="shared" si="28"/>
        <v>0</v>
      </c>
      <c r="K122" s="255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78">
        <f t="shared" si="28"/>
        <v>0</v>
      </c>
      <c r="K123" s="255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78">
        <f t="shared" si="28"/>
        <v>0</v>
      </c>
      <c r="K124" s="255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78">
        <f t="shared" si="28"/>
        <v>0</v>
      </c>
      <c r="K125" s="255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78">
        <f t="shared" si="28"/>
        <v>0</v>
      </c>
      <c r="K126" s="255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9">
        <f t="shared" si="28"/>
        <v>0</v>
      </c>
      <c r="K127" s="256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3">
        <f t="shared" si="30"/>
        <v>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3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78">
        <f>D130+E130+F130+G130+H130+I130</f>
        <v>0</v>
      </c>
      <c r="K130" s="255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78">
        <f>D131+E131+F131+G131+H131+I131</f>
        <v>0</v>
      </c>
      <c r="K131" s="255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78">
        <f>D132+E132+F132+G132+H132+I132</f>
        <v>0</v>
      </c>
      <c r="K132" s="255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3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78">
        <f aca="true" t="shared" si="33" ref="J134:J139">D134+E134+F134+G134+H134+I134</f>
        <v>0</v>
      </c>
      <c r="K134" s="255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78">
        <f t="shared" si="33"/>
        <v>0</v>
      </c>
      <c r="K135" s="255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78">
        <f t="shared" si="33"/>
        <v>0</v>
      </c>
      <c r="K136" s="255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78">
        <f t="shared" si="33"/>
        <v>0</v>
      </c>
      <c r="K137" s="255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78">
        <f t="shared" si="33"/>
        <v>0</v>
      </c>
      <c r="K138" s="255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78">
        <f t="shared" si="33"/>
        <v>0</v>
      </c>
      <c r="K139" s="255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7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78">
        <f>D141+E141+F141+G141+H141+I141</f>
        <v>0</v>
      </c>
      <c r="K141" s="255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78">
        <f>D142+E142+F142+G142+H142+I142</f>
        <v>0</v>
      </c>
      <c r="K142" s="255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78">
        <f>D143+E143+F143+G143+H143+I143</f>
        <v>0</v>
      </c>
      <c r="K143" s="255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78">
        <f>D144+E144+F144+G144+H144+I144</f>
        <v>0</v>
      </c>
      <c r="K144" s="255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78">
        <f>D145+E145+F145+G145+H145+I145</f>
        <v>0</v>
      </c>
      <c r="K145" s="255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7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78">
        <f aca="true" t="shared" si="37" ref="J147:J153">D147+E147+F147+G147+H147+I147</f>
        <v>0</v>
      </c>
      <c r="K147" s="255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78">
        <f t="shared" si="37"/>
        <v>0</v>
      </c>
      <c r="K148" s="255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78">
        <f t="shared" si="37"/>
        <v>0</v>
      </c>
      <c r="K149" s="255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78">
        <f t="shared" si="37"/>
        <v>0</v>
      </c>
      <c r="K150" s="255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9">
        <f t="shared" si="37"/>
        <v>0</v>
      </c>
      <c r="K151" s="256">
        <f t="shared" si="38"/>
        <v>0</v>
      </c>
    </row>
    <row r="152" spans="1:11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7">
        <f t="shared" si="38"/>
        <v>0</v>
      </c>
    </row>
    <row r="153" spans="1:11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7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8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1">
        <f>+C128+C154</f>
        <v>0</v>
      </c>
      <c r="D155" s="191">
        <f aca="true" t="shared" si="40" ref="D155:K155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68">
        <f t="shared" si="40"/>
        <v>0</v>
      </c>
    </row>
    <row r="156" spans="1:11" ht="13.5" thickBot="1">
      <c r="A156" s="117"/>
      <c r="B156" s="118"/>
      <c r="C156" s="421">
        <f>C90-C155</f>
        <v>0</v>
      </c>
      <c r="D156" s="422"/>
      <c r="E156" s="422"/>
      <c r="F156" s="422"/>
      <c r="G156" s="422"/>
      <c r="H156" s="422"/>
      <c r="I156" s="423"/>
      <c r="J156" s="423"/>
      <c r="K156" s="424">
        <f>K90-K155</f>
        <v>0</v>
      </c>
    </row>
    <row r="157" spans="1:11" ht="15" customHeight="1" thickBot="1">
      <c r="A157" s="65" t="s">
        <v>367</v>
      </c>
      <c r="B157" s="66"/>
      <c r="C157" s="223"/>
      <c r="D157" s="263"/>
      <c r="E157" s="263"/>
      <c r="F157" s="263"/>
      <c r="G157" s="263"/>
      <c r="H157" s="263"/>
      <c r="I157" s="223"/>
      <c r="J157" s="315">
        <f>D157+E157+F157+G157+H157+I157</f>
        <v>0</v>
      </c>
      <c r="K157" s="267">
        <f>C157+J157</f>
        <v>0</v>
      </c>
    </row>
    <row r="158" spans="1:11" ht="14.25" customHeight="1" thickBot="1">
      <c r="A158" s="65" t="s">
        <v>116</v>
      </c>
      <c r="B158" s="66"/>
      <c r="C158" s="223"/>
      <c r="D158" s="263"/>
      <c r="E158" s="263"/>
      <c r="F158" s="263"/>
      <c r="G158" s="263"/>
      <c r="H158" s="263"/>
      <c r="I158" s="223"/>
      <c r="J158" s="315">
        <f>D158+E158+F158+G158+H158+I158</f>
        <v>0</v>
      </c>
      <c r="K158" s="267">
        <f>C158+J158</f>
        <v>0</v>
      </c>
    </row>
  </sheetData>
  <sheetProtection sheet="1" formatCells="0"/>
  <mergeCells count="5">
    <mergeCell ref="A92:K92"/>
    <mergeCell ref="B1:K1"/>
    <mergeCell ref="B2:J2"/>
    <mergeCell ref="B3:J3"/>
    <mergeCell ref="A7:K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25">
      <selection activeCell="E49" sqref="E49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CONCATENATE("5.2. melléklet ",RM_ALAPADATOK!A7," ",RM_ALAPADATOK!B7," ",RM_ALAPADATOK!C7," ",RM_ALAPADATOK!D7," ",RM_ALAPADATOK!E7," ",RM_ALAPADATOK!F7," ",RM_ALAPADATOK!G7," ",RM_ALAPADATOK!H7)</f>
        <v>5.2. melléklet a  / 2019 ( … ) önkormányzati rendelethez</v>
      </c>
    </row>
    <row r="2" spans="1:11" s="328" customFormat="1" ht="36">
      <c r="A2" s="387" t="s">
        <v>474</v>
      </c>
      <c r="B2" s="550" t="str">
        <f>RM_ALAPADATOK!A11</f>
        <v>Tiszaszőlősi Közös Önkormányzati Hivatal</v>
      </c>
      <c r="C2" s="551"/>
      <c r="D2" s="551"/>
      <c r="E2" s="551"/>
      <c r="F2" s="551"/>
      <c r="G2" s="551"/>
      <c r="H2" s="551"/>
      <c r="I2" s="551"/>
      <c r="J2" s="551"/>
      <c r="K2" s="388" t="s">
        <v>37</v>
      </c>
    </row>
    <row r="3" spans="1:11" s="328" customFormat="1" ht="22.5" customHeight="1" thickBot="1">
      <c r="A3" s="389" t="s">
        <v>114</v>
      </c>
      <c r="B3" s="552" t="s">
        <v>504</v>
      </c>
      <c r="C3" s="553"/>
      <c r="D3" s="553"/>
      <c r="E3" s="553"/>
      <c r="F3" s="553"/>
      <c r="G3" s="553"/>
      <c r="H3" s="553"/>
      <c r="I3" s="553"/>
      <c r="J3" s="553"/>
      <c r="K3" s="390" t="s">
        <v>34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">
        <v>633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6604000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6604000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>
        <v>6604000</v>
      </c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6604000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13842481</v>
      </c>
      <c r="D22" s="79">
        <f t="shared" si="3"/>
        <v>6094975</v>
      </c>
      <c r="E22" s="79">
        <f t="shared" si="3"/>
        <v>1945972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8040947</v>
      </c>
      <c r="K22" s="112">
        <f>SUM(K23:K25)</f>
        <v>21883428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>
        <v>13842481</v>
      </c>
      <c r="D25" s="374">
        <v>6094975</v>
      </c>
      <c r="E25" s="374">
        <v>1945972</v>
      </c>
      <c r="F25" s="374"/>
      <c r="G25" s="374"/>
      <c r="H25" s="374"/>
      <c r="I25" s="374"/>
      <c r="J25" s="358">
        <f>D25+E25+F25+G25+H25+I25</f>
        <v>8040947</v>
      </c>
      <c r="K25" s="354">
        <f>C25+J25</f>
        <v>21883428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>
        <v>4989991</v>
      </c>
      <c r="E26" s="375"/>
      <c r="F26" s="375"/>
      <c r="G26" s="375"/>
      <c r="H26" s="375"/>
      <c r="I26" s="375"/>
      <c r="J26" s="362">
        <f>D26+E26+F26+G26+H26+I26</f>
        <v>4989991</v>
      </c>
      <c r="K26" s="356">
        <f>C26+J26</f>
        <v>4989991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 aca="true" t="shared" si="4" ref="C28:J28">+C29+C30+C31</f>
        <v>0</v>
      </c>
      <c r="D28" s="79">
        <f t="shared" si="4"/>
        <v>769915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769915</v>
      </c>
      <c r="K28" s="112">
        <f>+K29+K30+K31</f>
        <v>769915</v>
      </c>
    </row>
    <row r="29" spans="1:11" s="337" customFormat="1" ht="12" customHeight="1">
      <c r="A29" s="339" t="s">
        <v>152</v>
      </c>
      <c r="B29" s="340" t="s">
        <v>148</v>
      </c>
      <c r="C29" s="378"/>
      <c r="D29" s="378"/>
      <c r="E29" s="378"/>
      <c r="F29" s="378"/>
      <c r="G29" s="378"/>
      <c r="H29" s="378"/>
      <c r="I29" s="378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0" t="s">
        <v>479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>
      <c r="A31" s="339" t="s">
        <v>154</v>
      </c>
      <c r="B31" s="341" t="s">
        <v>483</v>
      </c>
      <c r="C31" s="379"/>
      <c r="D31" s="379">
        <v>769915</v>
      </c>
      <c r="E31" s="379"/>
      <c r="F31" s="379"/>
      <c r="G31" s="379"/>
      <c r="H31" s="379"/>
      <c r="I31" s="379"/>
      <c r="J31" s="361">
        <f>D31+E31+F31+G31+H31+I31</f>
        <v>769915</v>
      </c>
      <c r="K31" s="355">
        <f>C31+J31</f>
        <v>769915</v>
      </c>
    </row>
    <row r="32" spans="1:11" s="337" customFormat="1" ht="12" customHeight="1" thickBot="1">
      <c r="A32" s="336" t="s">
        <v>155</v>
      </c>
      <c r="B32" s="351" t="s">
        <v>484</v>
      </c>
      <c r="C32" s="380"/>
      <c r="D32" s="380">
        <v>769915</v>
      </c>
      <c r="E32" s="380"/>
      <c r="F32" s="380"/>
      <c r="G32" s="380"/>
      <c r="H32" s="380"/>
      <c r="I32" s="380"/>
      <c r="J32" s="361">
        <f>D32+E32+F32+G32+H32+I32</f>
        <v>769915</v>
      </c>
      <c r="K32" s="355">
        <f>C32+J32</f>
        <v>769915</v>
      </c>
    </row>
    <row r="33" spans="1:11" s="337" customFormat="1" ht="12" customHeight="1" thickBot="1">
      <c r="A33" s="338" t="s">
        <v>7</v>
      </c>
      <c r="B33" s="47" t="s">
        <v>485</v>
      </c>
      <c r="C33" s="36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7" customFormat="1" ht="12" customHeight="1">
      <c r="A34" s="339" t="s">
        <v>51</v>
      </c>
      <c r="B34" s="340" t="s">
        <v>175</v>
      </c>
      <c r="C34" s="378"/>
      <c r="D34" s="378"/>
      <c r="E34" s="378"/>
      <c r="F34" s="378"/>
      <c r="G34" s="378"/>
      <c r="H34" s="378"/>
      <c r="I34" s="378"/>
      <c r="J34" s="361">
        <f>D34+E34+F34+G34+H34+I34</f>
        <v>0</v>
      </c>
      <c r="K34" s="355">
        <f>C34+J34</f>
        <v>0</v>
      </c>
    </row>
    <row r="35" spans="1:11" s="337" customFormat="1" ht="12" customHeight="1">
      <c r="A35" s="339" t="s">
        <v>52</v>
      </c>
      <c r="B35" s="341" t="s">
        <v>176</v>
      </c>
      <c r="C35" s="379"/>
      <c r="D35" s="379"/>
      <c r="E35" s="379"/>
      <c r="F35" s="379"/>
      <c r="G35" s="379"/>
      <c r="H35" s="379"/>
      <c r="I35" s="379"/>
      <c r="J35" s="361">
        <f>D35+E35+F35+G35+H35+I35</f>
        <v>0</v>
      </c>
      <c r="K35" s="355">
        <f>C35+J35</f>
        <v>0</v>
      </c>
    </row>
    <row r="36" spans="1:11" s="337" customFormat="1" ht="12" customHeight="1" thickBot="1">
      <c r="A36" s="336" t="s">
        <v>53</v>
      </c>
      <c r="B36" s="351" t="s">
        <v>177</v>
      </c>
      <c r="C36" s="380"/>
      <c r="D36" s="380"/>
      <c r="E36" s="380"/>
      <c r="F36" s="380"/>
      <c r="G36" s="380"/>
      <c r="H36" s="380"/>
      <c r="I36" s="380"/>
      <c r="J36" s="361">
        <f>D36+E36+F36+G36+H36+I36</f>
        <v>0</v>
      </c>
      <c r="K36" s="363">
        <f>C36+J36</f>
        <v>0</v>
      </c>
    </row>
    <row r="37" spans="1:11" s="334" customFormat="1" ht="12" customHeight="1" thickBot="1">
      <c r="A37" s="338" t="s">
        <v>8</v>
      </c>
      <c r="B37" s="47" t="s">
        <v>260</v>
      </c>
      <c r="C37" s="377"/>
      <c r="D37" s="377"/>
      <c r="E37" s="377"/>
      <c r="F37" s="377"/>
      <c r="G37" s="377"/>
      <c r="H37" s="377"/>
      <c r="I37" s="377"/>
      <c r="J37" s="79">
        <f>D37+E37+F37+G37+H37+I37</f>
        <v>0</v>
      </c>
      <c r="K37" s="333">
        <f>C37+J37</f>
        <v>0</v>
      </c>
    </row>
    <row r="38" spans="1:11" s="334" customFormat="1" ht="12" customHeight="1" thickBot="1">
      <c r="A38" s="338" t="s">
        <v>9</v>
      </c>
      <c r="B38" s="47" t="s">
        <v>486</v>
      </c>
      <c r="C38" s="377"/>
      <c r="D38" s="377"/>
      <c r="E38" s="377"/>
      <c r="F38" s="377"/>
      <c r="G38" s="377"/>
      <c r="H38" s="377"/>
      <c r="I38" s="377"/>
      <c r="J38" s="364">
        <f>D38+E38+F38+G38+H38+I38</f>
        <v>0</v>
      </c>
      <c r="K38" s="355">
        <f>C38+J38</f>
        <v>0</v>
      </c>
    </row>
    <row r="39" spans="1:11" s="334" customFormat="1" ht="12" customHeight="1" thickBot="1">
      <c r="A39" s="59" t="s">
        <v>10</v>
      </c>
      <c r="B39" s="47" t="s">
        <v>487</v>
      </c>
      <c r="C39" s="360">
        <f aca="true" t="shared" si="6" ref="C39:J39">+C10+C22+C27+C28+C33+C37+C38</f>
        <v>20446481</v>
      </c>
      <c r="D39" s="79">
        <f t="shared" si="6"/>
        <v>6864890</v>
      </c>
      <c r="E39" s="79">
        <f t="shared" si="6"/>
        <v>1945972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8810862</v>
      </c>
      <c r="K39" s="112">
        <f>+K10+K22+K27+K28+K33+K37+K38</f>
        <v>29257343</v>
      </c>
    </row>
    <row r="40" spans="1:11" s="334" customFormat="1" ht="12" customHeight="1" thickBot="1">
      <c r="A40" s="343" t="s">
        <v>11</v>
      </c>
      <c r="B40" s="47" t="s">
        <v>488</v>
      </c>
      <c r="C40" s="360">
        <f aca="true" t="shared" si="7" ref="C40:J40">+C41+C42+C43</f>
        <v>73629109</v>
      </c>
      <c r="D40" s="79">
        <f t="shared" si="7"/>
        <v>1484931</v>
      </c>
      <c r="E40" s="79">
        <f t="shared" si="7"/>
        <v>1613581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3098512</v>
      </c>
      <c r="K40" s="112">
        <f>+K41+K42+K43</f>
        <v>76727621</v>
      </c>
    </row>
    <row r="41" spans="1:11" s="334" customFormat="1" ht="12" customHeight="1">
      <c r="A41" s="339" t="s">
        <v>489</v>
      </c>
      <c r="B41" s="340" t="s">
        <v>125</v>
      </c>
      <c r="C41" s="378">
        <v>13479423</v>
      </c>
      <c r="D41" s="378">
        <v>-3747544</v>
      </c>
      <c r="E41" s="378"/>
      <c r="F41" s="378"/>
      <c r="G41" s="378"/>
      <c r="H41" s="378"/>
      <c r="I41" s="378"/>
      <c r="J41" s="361">
        <f>D41+E41+F41+G41+H41+I41</f>
        <v>-3747544</v>
      </c>
      <c r="K41" s="355">
        <f>C41+J41</f>
        <v>9731879</v>
      </c>
    </row>
    <row r="42" spans="1:11" s="334" customFormat="1" ht="12" customHeight="1">
      <c r="A42" s="339" t="s">
        <v>490</v>
      </c>
      <c r="B42" s="341" t="s">
        <v>491</v>
      </c>
      <c r="C42" s="379"/>
      <c r="D42" s="379"/>
      <c r="E42" s="379"/>
      <c r="F42" s="379"/>
      <c r="G42" s="379"/>
      <c r="H42" s="379"/>
      <c r="I42" s="379"/>
      <c r="J42" s="361">
        <f>D42+E42+F42+G42+H42+I42</f>
        <v>0</v>
      </c>
      <c r="K42" s="354">
        <f>C42+J42</f>
        <v>0</v>
      </c>
    </row>
    <row r="43" spans="1:11" s="337" customFormat="1" ht="12" customHeight="1" thickBot="1">
      <c r="A43" s="336" t="s">
        <v>492</v>
      </c>
      <c r="B43" s="342" t="s">
        <v>493</v>
      </c>
      <c r="C43" s="381">
        <v>60149686</v>
      </c>
      <c r="D43" s="381">
        <v>5232475</v>
      </c>
      <c r="E43" s="381">
        <v>1613581</v>
      </c>
      <c r="F43" s="381"/>
      <c r="G43" s="381"/>
      <c r="H43" s="381"/>
      <c r="I43" s="381"/>
      <c r="J43" s="361">
        <f>D43+E43+F43+G43+H43+I43</f>
        <v>6846056</v>
      </c>
      <c r="K43" s="356">
        <f>C43+J43</f>
        <v>66995742</v>
      </c>
    </row>
    <row r="44" spans="1:11" s="337" customFormat="1" ht="12.75" customHeight="1" thickBot="1">
      <c r="A44" s="343" t="s">
        <v>12</v>
      </c>
      <c r="B44" s="344" t="s">
        <v>494</v>
      </c>
      <c r="C44" s="360">
        <f aca="true" t="shared" si="8" ref="C44:J44">+C39+C40</f>
        <v>94075590</v>
      </c>
      <c r="D44" s="79">
        <f t="shared" si="8"/>
        <v>8349821</v>
      </c>
      <c r="E44" s="79">
        <f t="shared" si="8"/>
        <v>3559553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11909374</v>
      </c>
      <c r="K44" s="112">
        <f>+K39+K40</f>
        <v>105984964</v>
      </c>
    </row>
    <row r="45" spans="1:11" s="331" customFormat="1" ht="13.5" customHeight="1" thickBot="1">
      <c r="A45" s="528" t="s">
        <v>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</row>
    <row r="46" spans="1:11" s="345" customFormat="1" ht="12" customHeight="1" thickBot="1">
      <c r="A46" s="338" t="s">
        <v>3</v>
      </c>
      <c r="B46" s="47" t="s">
        <v>495</v>
      </c>
      <c r="C46" s="365">
        <f aca="true" t="shared" si="9" ref="C46:J46">SUM(C47:C51)</f>
        <v>93313590</v>
      </c>
      <c r="D46" s="365">
        <f t="shared" si="9"/>
        <v>7579906</v>
      </c>
      <c r="E46" s="365">
        <f t="shared" si="9"/>
        <v>3559553</v>
      </c>
      <c r="F46" s="365">
        <f t="shared" si="9"/>
        <v>0</v>
      </c>
      <c r="G46" s="365">
        <f t="shared" si="9"/>
        <v>0</v>
      </c>
      <c r="H46" s="365">
        <f t="shared" si="9"/>
        <v>0</v>
      </c>
      <c r="I46" s="365">
        <f t="shared" si="9"/>
        <v>0</v>
      </c>
      <c r="J46" s="365">
        <f t="shared" si="9"/>
        <v>11139459</v>
      </c>
      <c r="K46" s="333">
        <f>SUM(K47:K51)</f>
        <v>104453049</v>
      </c>
    </row>
    <row r="47" spans="1:11" ht="12" customHeight="1">
      <c r="A47" s="336" t="s">
        <v>58</v>
      </c>
      <c r="B47" s="6" t="s">
        <v>32</v>
      </c>
      <c r="C47" s="470">
        <v>53980113</v>
      </c>
      <c r="D47" s="470">
        <v>6439443</v>
      </c>
      <c r="E47" s="470">
        <v>2852972</v>
      </c>
      <c r="F47" s="470"/>
      <c r="G47" s="470"/>
      <c r="H47" s="470"/>
      <c r="I47" s="470"/>
      <c r="J47" s="366">
        <f>D47+E47+F47+G47+H47+I47</f>
        <v>9292415</v>
      </c>
      <c r="K47" s="370">
        <f>C47+J47</f>
        <v>63272528</v>
      </c>
    </row>
    <row r="48" spans="1:11" ht="12" customHeight="1">
      <c r="A48" s="336" t="s">
        <v>59</v>
      </c>
      <c r="B48" s="5" t="s">
        <v>101</v>
      </c>
      <c r="C48" s="471">
        <v>11199334</v>
      </c>
      <c r="D48" s="471">
        <v>1425799</v>
      </c>
      <c r="E48" s="471">
        <v>527752</v>
      </c>
      <c r="F48" s="471"/>
      <c r="G48" s="471"/>
      <c r="H48" s="471"/>
      <c r="I48" s="471"/>
      <c r="J48" s="367">
        <f>D48+E48+F48+G48+H48+I48</f>
        <v>1953551</v>
      </c>
      <c r="K48" s="371">
        <f>C48+J48</f>
        <v>13152885</v>
      </c>
    </row>
    <row r="49" spans="1:11" ht="12" customHeight="1">
      <c r="A49" s="336" t="s">
        <v>60</v>
      </c>
      <c r="B49" s="5" t="s">
        <v>77</v>
      </c>
      <c r="C49" s="471">
        <v>28134143</v>
      </c>
      <c r="D49" s="471">
        <v>-285336</v>
      </c>
      <c r="E49" s="471">
        <v>178829</v>
      </c>
      <c r="F49" s="471"/>
      <c r="G49" s="471"/>
      <c r="H49" s="471"/>
      <c r="I49" s="471"/>
      <c r="J49" s="367">
        <f>D49+E49+F49+G49+H49+I49</f>
        <v>-106507</v>
      </c>
      <c r="K49" s="371">
        <f>C49+J49</f>
        <v>28027636</v>
      </c>
    </row>
    <row r="50" spans="1:11" ht="12" customHeight="1">
      <c r="A50" s="336" t="s">
        <v>61</v>
      </c>
      <c r="B50" s="5" t="s">
        <v>102</v>
      </c>
      <c r="C50" s="471"/>
      <c r="D50" s="471"/>
      <c r="E50" s="471"/>
      <c r="F50" s="471"/>
      <c r="G50" s="471"/>
      <c r="H50" s="471"/>
      <c r="I50" s="471"/>
      <c r="J50" s="367">
        <f>D50+E50+F50+G50+H50+I50</f>
        <v>0</v>
      </c>
      <c r="K50" s="371">
        <f>C50+J50</f>
        <v>0</v>
      </c>
    </row>
    <row r="51" spans="1:11" ht="12" customHeight="1" thickBot="1">
      <c r="A51" s="336" t="s">
        <v>78</v>
      </c>
      <c r="B51" s="5" t="s">
        <v>103</v>
      </c>
      <c r="C51" s="383"/>
      <c r="D51" s="383"/>
      <c r="E51" s="383"/>
      <c r="F51" s="383"/>
      <c r="G51" s="383"/>
      <c r="H51" s="383"/>
      <c r="I51" s="383"/>
      <c r="J51" s="367">
        <f>D51+E51+F51+G51+H51+I51</f>
        <v>0</v>
      </c>
      <c r="K51" s="371">
        <f>C51+J51</f>
        <v>0</v>
      </c>
    </row>
    <row r="52" spans="1:11" ht="12" customHeight="1" thickBot="1">
      <c r="A52" s="338" t="s">
        <v>4</v>
      </c>
      <c r="B52" s="47" t="s">
        <v>496</v>
      </c>
      <c r="C52" s="365">
        <f aca="true" t="shared" si="10" ref="C52:J52">SUM(C53:C55)</f>
        <v>762000</v>
      </c>
      <c r="D52" s="365">
        <f t="shared" si="10"/>
        <v>769915</v>
      </c>
      <c r="E52" s="365">
        <f t="shared" si="10"/>
        <v>0</v>
      </c>
      <c r="F52" s="365">
        <f t="shared" si="10"/>
        <v>0</v>
      </c>
      <c r="G52" s="365">
        <f t="shared" si="10"/>
        <v>0</v>
      </c>
      <c r="H52" s="365">
        <f t="shared" si="10"/>
        <v>0</v>
      </c>
      <c r="I52" s="365">
        <f t="shared" si="10"/>
        <v>0</v>
      </c>
      <c r="J52" s="365">
        <f t="shared" si="10"/>
        <v>769915</v>
      </c>
      <c r="K52" s="333">
        <f>SUM(K53:K55)</f>
        <v>1531915</v>
      </c>
    </row>
    <row r="53" spans="1:11" s="345" customFormat="1" ht="12" customHeight="1">
      <c r="A53" s="336" t="s">
        <v>64</v>
      </c>
      <c r="B53" s="6" t="s">
        <v>119</v>
      </c>
      <c r="C53" s="470">
        <v>762000</v>
      </c>
      <c r="D53" s="470">
        <v>769915</v>
      </c>
      <c r="E53" s="470"/>
      <c r="F53" s="470"/>
      <c r="G53" s="470"/>
      <c r="H53" s="470"/>
      <c r="I53" s="470"/>
      <c r="J53" s="366">
        <f>D53+E53+F53+G53+H53+I53</f>
        <v>769915</v>
      </c>
      <c r="K53" s="370">
        <f>C53+J53</f>
        <v>1531915</v>
      </c>
    </row>
    <row r="54" spans="1:11" ht="12" customHeight="1">
      <c r="A54" s="336" t="s">
        <v>65</v>
      </c>
      <c r="B54" s="5" t="s">
        <v>105</v>
      </c>
      <c r="C54" s="471"/>
      <c r="D54" s="471"/>
      <c r="E54" s="471"/>
      <c r="F54" s="471"/>
      <c r="G54" s="471"/>
      <c r="H54" s="471"/>
      <c r="I54" s="471"/>
      <c r="J54" s="367">
        <f>D54+E54+F54+G54+H54+I54</f>
        <v>0</v>
      </c>
      <c r="K54" s="371">
        <f>C54+J54</f>
        <v>0</v>
      </c>
    </row>
    <row r="55" spans="1:11" ht="12" customHeight="1">
      <c r="A55" s="336" t="s">
        <v>66</v>
      </c>
      <c r="B55" s="5" t="s">
        <v>497</v>
      </c>
      <c r="C55" s="471"/>
      <c r="D55" s="471"/>
      <c r="E55" s="471"/>
      <c r="F55" s="471"/>
      <c r="G55" s="471"/>
      <c r="H55" s="471"/>
      <c r="I55" s="471"/>
      <c r="J55" s="367">
        <f>D55+E55+F55+G55+H55+I55</f>
        <v>0</v>
      </c>
      <c r="K55" s="371">
        <f>C55+J55</f>
        <v>0</v>
      </c>
    </row>
    <row r="56" spans="1:11" ht="12" customHeight="1" thickBot="1">
      <c r="A56" s="336" t="s">
        <v>67</v>
      </c>
      <c r="B56" s="5" t="s">
        <v>498</v>
      </c>
      <c r="C56" s="471"/>
      <c r="D56" s="471"/>
      <c r="E56" s="471"/>
      <c r="F56" s="471"/>
      <c r="G56" s="471"/>
      <c r="H56" s="471"/>
      <c r="I56" s="471"/>
      <c r="J56" s="367">
        <f>D56+E56+F56+G56+H56+I56</f>
        <v>0</v>
      </c>
      <c r="K56" s="371">
        <f>C56+J56</f>
        <v>0</v>
      </c>
    </row>
    <row r="57" spans="1:11" ht="12" customHeight="1" thickBot="1">
      <c r="A57" s="338" t="s">
        <v>5</v>
      </c>
      <c r="B57" s="47" t="s">
        <v>499</v>
      </c>
      <c r="C57" s="411"/>
      <c r="D57" s="411"/>
      <c r="E57" s="411"/>
      <c r="F57" s="411"/>
      <c r="G57" s="411"/>
      <c r="H57" s="411"/>
      <c r="I57" s="411"/>
      <c r="J57" s="365">
        <f>D57+E57+F57+G57+H57+I57</f>
        <v>0</v>
      </c>
      <c r="K57" s="333">
        <f>C57+J57</f>
        <v>0</v>
      </c>
    </row>
    <row r="58" spans="1:11" ht="12.75" customHeight="1" thickBot="1">
      <c r="A58" s="338" t="s">
        <v>6</v>
      </c>
      <c r="B58" s="346" t="s">
        <v>500</v>
      </c>
      <c r="C58" s="368">
        <f aca="true" t="shared" si="11" ref="C58:J58">+C46+C52+C57</f>
        <v>94075590</v>
      </c>
      <c r="D58" s="368">
        <f t="shared" si="11"/>
        <v>8349821</v>
      </c>
      <c r="E58" s="368">
        <f t="shared" si="11"/>
        <v>3559553</v>
      </c>
      <c r="F58" s="368">
        <f t="shared" si="11"/>
        <v>0</v>
      </c>
      <c r="G58" s="368">
        <f t="shared" si="11"/>
        <v>0</v>
      </c>
      <c r="H58" s="368">
        <f t="shared" si="11"/>
        <v>0</v>
      </c>
      <c r="I58" s="368">
        <f t="shared" si="11"/>
        <v>0</v>
      </c>
      <c r="J58" s="368">
        <f t="shared" si="11"/>
        <v>11909374</v>
      </c>
      <c r="K58" s="347">
        <f>+K46+K52+K57</f>
        <v>105984964</v>
      </c>
    </row>
    <row r="59" spans="3:11" ht="13.5" customHeight="1" thickBot="1">
      <c r="C59" s="427">
        <f>C44-C58</f>
        <v>0</v>
      </c>
      <c r="D59" s="428"/>
      <c r="E59" s="428"/>
      <c r="F59" s="428"/>
      <c r="G59" s="428"/>
      <c r="H59" s="428"/>
      <c r="I59" s="428"/>
      <c r="J59" s="428"/>
      <c r="K59" s="421">
        <f>K44-K58</f>
        <v>0</v>
      </c>
    </row>
    <row r="60" spans="1:11" ht="12.75" customHeight="1" thickBot="1">
      <c r="A60" s="65" t="s">
        <v>367</v>
      </c>
      <c r="B60" s="66"/>
      <c r="C60" s="384">
        <v>13</v>
      </c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13</v>
      </c>
    </row>
    <row r="61" spans="1:11" ht="12.75" customHeight="1" thickBot="1">
      <c r="A61" s="65" t="s">
        <v>116</v>
      </c>
      <c r="B61" s="66"/>
      <c r="C61" s="384"/>
      <c r="D61" s="384"/>
      <c r="E61" s="384"/>
      <c r="F61" s="384"/>
      <c r="G61" s="384"/>
      <c r="H61" s="384"/>
      <c r="I61" s="384"/>
      <c r="J61" s="369">
        <f>D61+E61+F61+G61+H61+I61</f>
        <v>0</v>
      </c>
      <c r="K61" s="372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J5:J7"/>
    <mergeCell ref="F5:F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1">
      <selection activeCell="K5" sqref="K5:K7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CONCATENATE("5.2.1. melléklet ",RM_ALAPADATOK!A7," ",RM_ALAPADATOK!B7," ",RM_ALAPADATOK!C7," ",RM_ALAPADATOK!D7," ",RM_ALAPADATOK!E7," ",RM_ALAPADATOK!F7," ",RM_ALAPADATOK!G7," ",RM_ALAPADATOK!H7)</f>
        <v>5.2.1. melléklet a  / 2019 ( … ) önkormányzati rendelethez</v>
      </c>
    </row>
    <row r="2" spans="1:11" s="328" customFormat="1" ht="36">
      <c r="A2" s="387" t="s">
        <v>474</v>
      </c>
      <c r="B2" s="550" t="str">
        <f>'RM_5.2.sz.mell'!B2</f>
        <v>Tiszaszőlősi Közös Önkormányzati Hivatal</v>
      </c>
      <c r="C2" s="551"/>
      <c r="D2" s="551"/>
      <c r="E2" s="551"/>
      <c r="F2" s="551"/>
      <c r="G2" s="551"/>
      <c r="H2" s="551"/>
      <c r="I2" s="551"/>
      <c r="J2" s="551"/>
      <c r="K2" s="388" t="s">
        <v>37</v>
      </c>
    </row>
    <row r="3" spans="1:11" s="328" customFormat="1" ht="22.5" customHeight="1" thickBot="1">
      <c r="A3" s="389" t="s">
        <v>114</v>
      </c>
      <c r="B3" s="552" t="str">
        <f>CONCATENATE('RM_5.1.1.sz.mell'!B3:J3)</f>
        <v>Kötelező feladtok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37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CONCATENATE('RM_5.2.sz.mell'!K5)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7" customFormat="1" ht="12" customHeight="1">
      <c r="A29" s="339" t="s">
        <v>152</v>
      </c>
      <c r="B29" s="340" t="s">
        <v>148</v>
      </c>
      <c r="C29" s="378"/>
      <c r="D29" s="378"/>
      <c r="E29" s="378"/>
      <c r="F29" s="378"/>
      <c r="G29" s="378"/>
      <c r="H29" s="378"/>
      <c r="I29" s="378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0" t="s">
        <v>479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>
      <c r="A31" s="339" t="s">
        <v>154</v>
      </c>
      <c r="B31" s="341" t="s">
        <v>483</v>
      </c>
      <c r="C31" s="379"/>
      <c r="D31" s="379"/>
      <c r="E31" s="379"/>
      <c r="F31" s="379"/>
      <c r="G31" s="379"/>
      <c r="H31" s="379"/>
      <c r="I31" s="379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6" t="s">
        <v>155</v>
      </c>
      <c r="B32" s="351" t="s">
        <v>484</v>
      </c>
      <c r="C32" s="380"/>
      <c r="D32" s="380"/>
      <c r="E32" s="380"/>
      <c r="F32" s="380"/>
      <c r="G32" s="380"/>
      <c r="H32" s="380"/>
      <c r="I32" s="380"/>
      <c r="J32" s="361">
        <f>D32+E32+F32+G32+H32+I32</f>
        <v>0</v>
      </c>
      <c r="K32" s="355">
        <f>C32+J32</f>
        <v>0</v>
      </c>
    </row>
    <row r="33" spans="1:11" s="337" customFormat="1" ht="12" customHeight="1" thickBot="1">
      <c r="A33" s="338" t="s">
        <v>7</v>
      </c>
      <c r="B33" s="47" t="s">
        <v>485</v>
      </c>
      <c r="C33" s="36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7" customFormat="1" ht="12" customHeight="1">
      <c r="A34" s="339" t="s">
        <v>51</v>
      </c>
      <c r="B34" s="340" t="s">
        <v>175</v>
      </c>
      <c r="C34" s="378"/>
      <c r="D34" s="378"/>
      <c r="E34" s="378"/>
      <c r="F34" s="378"/>
      <c r="G34" s="378"/>
      <c r="H34" s="378"/>
      <c r="I34" s="378"/>
      <c r="J34" s="361">
        <f>D34+E34+F34+G34+H34+I34</f>
        <v>0</v>
      </c>
      <c r="K34" s="355">
        <f>C34+J34</f>
        <v>0</v>
      </c>
    </row>
    <row r="35" spans="1:11" s="337" customFormat="1" ht="12" customHeight="1">
      <c r="A35" s="339" t="s">
        <v>52</v>
      </c>
      <c r="B35" s="341" t="s">
        <v>176</v>
      </c>
      <c r="C35" s="379"/>
      <c r="D35" s="379"/>
      <c r="E35" s="379"/>
      <c r="F35" s="379"/>
      <c r="G35" s="379"/>
      <c r="H35" s="379"/>
      <c r="I35" s="379"/>
      <c r="J35" s="361">
        <f>D35+E35+F35+G35+H35+I35</f>
        <v>0</v>
      </c>
      <c r="K35" s="355">
        <f>C35+J35</f>
        <v>0</v>
      </c>
    </row>
    <row r="36" spans="1:11" s="337" customFormat="1" ht="12" customHeight="1" thickBot="1">
      <c r="A36" s="336" t="s">
        <v>53</v>
      </c>
      <c r="B36" s="351" t="s">
        <v>177</v>
      </c>
      <c r="C36" s="380"/>
      <c r="D36" s="380"/>
      <c r="E36" s="380"/>
      <c r="F36" s="380"/>
      <c r="G36" s="380"/>
      <c r="H36" s="380"/>
      <c r="I36" s="380"/>
      <c r="J36" s="361">
        <f>D36+E36+F36+G36+H36+I36</f>
        <v>0</v>
      </c>
      <c r="K36" s="363">
        <f>C36+J36</f>
        <v>0</v>
      </c>
    </row>
    <row r="37" spans="1:11" s="334" customFormat="1" ht="12" customHeight="1" thickBot="1">
      <c r="A37" s="338" t="s">
        <v>8</v>
      </c>
      <c r="B37" s="47" t="s">
        <v>260</v>
      </c>
      <c r="C37" s="377"/>
      <c r="D37" s="377"/>
      <c r="E37" s="377"/>
      <c r="F37" s="377"/>
      <c r="G37" s="377"/>
      <c r="H37" s="377"/>
      <c r="I37" s="377"/>
      <c r="J37" s="79">
        <f>D37+E37+F37+G37+H37+I37</f>
        <v>0</v>
      </c>
      <c r="K37" s="333">
        <f>C37+J37</f>
        <v>0</v>
      </c>
    </row>
    <row r="38" spans="1:11" s="334" customFormat="1" ht="12" customHeight="1" thickBot="1">
      <c r="A38" s="338" t="s">
        <v>9</v>
      </c>
      <c r="B38" s="47" t="s">
        <v>486</v>
      </c>
      <c r="C38" s="377"/>
      <c r="D38" s="377"/>
      <c r="E38" s="377"/>
      <c r="F38" s="377"/>
      <c r="G38" s="377"/>
      <c r="H38" s="377"/>
      <c r="I38" s="377"/>
      <c r="J38" s="364">
        <f>D38+E38+F38+G38+H38+I38</f>
        <v>0</v>
      </c>
      <c r="K38" s="355">
        <f>C38+J38</f>
        <v>0</v>
      </c>
    </row>
    <row r="39" spans="1:11" s="334" customFormat="1" ht="12" customHeight="1" thickBot="1">
      <c r="A39" s="59" t="s">
        <v>10</v>
      </c>
      <c r="B39" s="47" t="s">
        <v>487</v>
      </c>
      <c r="C39" s="360">
        <f aca="true" t="shared" si="6" ref="C39:J39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4" customFormat="1" ht="12" customHeight="1" thickBot="1">
      <c r="A40" s="343" t="s">
        <v>11</v>
      </c>
      <c r="B40" s="47" t="s">
        <v>488</v>
      </c>
      <c r="C40" s="360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4" customFormat="1" ht="12" customHeight="1">
      <c r="A41" s="339" t="s">
        <v>489</v>
      </c>
      <c r="B41" s="340" t="s">
        <v>125</v>
      </c>
      <c r="C41" s="378"/>
      <c r="D41" s="378"/>
      <c r="E41" s="378"/>
      <c r="F41" s="378"/>
      <c r="G41" s="378"/>
      <c r="H41" s="378"/>
      <c r="I41" s="378"/>
      <c r="J41" s="361">
        <f>D41+E41+F41+G41+H41+I41</f>
        <v>0</v>
      </c>
      <c r="K41" s="355">
        <f>C41+J41</f>
        <v>0</v>
      </c>
    </row>
    <row r="42" spans="1:11" s="334" customFormat="1" ht="12" customHeight="1">
      <c r="A42" s="339" t="s">
        <v>490</v>
      </c>
      <c r="B42" s="341" t="s">
        <v>491</v>
      </c>
      <c r="C42" s="379"/>
      <c r="D42" s="379"/>
      <c r="E42" s="379"/>
      <c r="F42" s="379"/>
      <c r="G42" s="379"/>
      <c r="H42" s="379"/>
      <c r="I42" s="379"/>
      <c r="J42" s="361">
        <f>D42+E42+F42+G42+H42+I42</f>
        <v>0</v>
      </c>
      <c r="K42" s="354">
        <f>C42+J42</f>
        <v>0</v>
      </c>
    </row>
    <row r="43" spans="1:11" s="337" customFormat="1" ht="12" customHeight="1" thickBot="1">
      <c r="A43" s="336" t="s">
        <v>492</v>
      </c>
      <c r="B43" s="342" t="s">
        <v>493</v>
      </c>
      <c r="C43" s="381"/>
      <c r="D43" s="381"/>
      <c r="E43" s="381"/>
      <c r="F43" s="381"/>
      <c r="G43" s="381"/>
      <c r="H43" s="381"/>
      <c r="I43" s="381"/>
      <c r="J43" s="361">
        <f>D43+E43+F43+G43+H43+I43</f>
        <v>0</v>
      </c>
      <c r="K43" s="356">
        <f>C43+J43</f>
        <v>0</v>
      </c>
    </row>
    <row r="44" spans="1:11" s="337" customFormat="1" ht="12.75" customHeight="1" thickBot="1">
      <c r="A44" s="343" t="s">
        <v>12</v>
      </c>
      <c r="B44" s="344" t="s">
        <v>494</v>
      </c>
      <c r="C44" s="360">
        <f aca="true" t="shared" si="8" ref="C44:J44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31" customFormat="1" ht="13.5" customHeight="1" thickBot="1">
      <c r="A45" s="528" t="s">
        <v>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</row>
    <row r="46" spans="1:11" s="345" customFormat="1" ht="12" customHeight="1" thickBot="1">
      <c r="A46" s="338" t="s">
        <v>3</v>
      </c>
      <c r="B46" s="47" t="s">
        <v>495</v>
      </c>
      <c r="C46" s="365">
        <f aca="true" t="shared" si="9" ref="C46:J46">SUM(C47:C51)</f>
        <v>0</v>
      </c>
      <c r="D46" s="365">
        <f t="shared" si="9"/>
        <v>0</v>
      </c>
      <c r="E46" s="365">
        <f t="shared" si="9"/>
        <v>0</v>
      </c>
      <c r="F46" s="365">
        <f t="shared" si="9"/>
        <v>0</v>
      </c>
      <c r="G46" s="365">
        <f t="shared" si="9"/>
        <v>0</v>
      </c>
      <c r="H46" s="365">
        <f t="shared" si="9"/>
        <v>0</v>
      </c>
      <c r="I46" s="365">
        <f t="shared" si="9"/>
        <v>0</v>
      </c>
      <c r="J46" s="365">
        <f t="shared" si="9"/>
        <v>0</v>
      </c>
      <c r="K46" s="333">
        <f>SUM(K47:K51)</f>
        <v>0</v>
      </c>
    </row>
    <row r="47" spans="1:11" ht="12" customHeight="1">
      <c r="A47" s="336" t="s">
        <v>58</v>
      </c>
      <c r="B47" s="6" t="s">
        <v>32</v>
      </c>
      <c r="C47" s="382"/>
      <c r="D47" s="382"/>
      <c r="E47" s="382"/>
      <c r="F47" s="382"/>
      <c r="G47" s="382"/>
      <c r="H47" s="382"/>
      <c r="I47" s="382"/>
      <c r="J47" s="366">
        <f>D47+E47+F47+G47+H47+I47</f>
        <v>0</v>
      </c>
      <c r="K47" s="370">
        <f>C47+J47</f>
        <v>0</v>
      </c>
    </row>
    <row r="48" spans="1:11" ht="12" customHeight="1">
      <c r="A48" s="336" t="s">
        <v>59</v>
      </c>
      <c r="B48" s="5" t="s">
        <v>101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60</v>
      </c>
      <c r="B49" s="5" t="s">
        <v>77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>
      <c r="A50" s="336" t="s">
        <v>61</v>
      </c>
      <c r="B50" s="5" t="s">
        <v>102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6" t="s">
        <v>78</v>
      </c>
      <c r="B51" s="5" t="s">
        <v>103</v>
      </c>
      <c r="C51" s="383"/>
      <c r="D51" s="383"/>
      <c r="E51" s="383"/>
      <c r="F51" s="383"/>
      <c r="G51" s="383"/>
      <c r="H51" s="383"/>
      <c r="I51" s="383"/>
      <c r="J51" s="367">
        <f>D51+E51+F51+G51+H51+I51</f>
        <v>0</v>
      </c>
      <c r="K51" s="371">
        <f>C51+J51</f>
        <v>0</v>
      </c>
    </row>
    <row r="52" spans="1:11" ht="12" customHeight="1" thickBot="1">
      <c r="A52" s="338" t="s">
        <v>4</v>
      </c>
      <c r="B52" s="47" t="s">
        <v>496</v>
      </c>
      <c r="C52" s="365">
        <f aca="true" t="shared" si="10" ref="C52:J52">SUM(C53:C55)</f>
        <v>0</v>
      </c>
      <c r="D52" s="365">
        <f t="shared" si="10"/>
        <v>0</v>
      </c>
      <c r="E52" s="365">
        <f t="shared" si="10"/>
        <v>0</v>
      </c>
      <c r="F52" s="365">
        <f t="shared" si="10"/>
        <v>0</v>
      </c>
      <c r="G52" s="365">
        <f t="shared" si="10"/>
        <v>0</v>
      </c>
      <c r="H52" s="365">
        <f t="shared" si="10"/>
        <v>0</v>
      </c>
      <c r="I52" s="365">
        <f t="shared" si="10"/>
        <v>0</v>
      </c>
      <c r="J52" s="365">
        <f t="shared" si="10"/>
        <v>0</v>
      </c>
      <c r="K52" s="333">
        <f>SUM(K53:K55)</f>
        <v>0</v>
      </c>
    </row>
    <row r="53" spans="1:11" s="345" customFormat="1" ht="12" customHeight="1">
      <c r="A53" s="336" t="s">
        <v>64</v>
      </c>
      <c r="B53" s="6" t="s">
        <v>119</v>
      </c>
      <c r="C53" s="382"/>
      <c r="D53" s="382"/>
      <c r="E53" s="382"/>
      <c r="F53" s="382"/>
      <c r="G53" s="382"/>
      <c r="H53" s="382"/>
      <c r="I53" s="382"/>
      <c r="J53" s="366">
        <f>D53+E53+F53+G53+H53+I53</f>
        <v>0</v>
      </c>
      <c r="K53" s="370">
        <f>C53+J53</f>
        <v>0</v>
      </c>
    </row>
    <row r="54" spans="1:11" ht="12" customHeight="1">
      <c r="A54" s="336" t="s">
        <v>65</v>
      </c>
      <c r="B54" s="5" t="s">
        <v>105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>
      <c r="A55" s="336" t="s">
        <v>66</v>
      </c>
      <c r="B55" s="5" t="s">
        <v>497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6" t="s">
        <v>67</v>
      </c>
      <c r="B56" s="5" t="s">
        <v>498</v>
      </c>
      <c r="C56" s="383"/>
      <c r="D56" s="383"/>
      <c r="E56" s="383"/>
      <c r="F56" s="383"/>
      <c r="G56" s="383"/>
      <c r="H56" s="383"/>
      <c r="I56" s="383"/>
      <c r="J56" s="367">
        <f>D56+E56+F56+G56+H56+I56</f>
        <v>0</v>
      </c>
      <c r="K56" s="371">
        <f>C56+J56</f>
        <v>0</v>
      </c>
    </row>
    <row r="57" spans="1:11" ht="12" customHeight="1" thickBot="1">
      <c r="A57" s="338" t="s">
        <v>5</v>
      </c>
      <c r="B57" s="47" t="s">
        <v>499</v>
      </c>
      <c r="C57" s="411"/>
      <c r="D57" s="411"/>
      <c r="E57" s="411"/>
      <c r="F57" s="411"/>
      <c r="G57" s="411"/>
      <c r="H57" s="411"/>
      <c r="I57" s="411"/>
      <c r="J57" s="365">
        <f>D57+E57+F57+G57+H57+I57</f>
        <v>0</v>
      </c>
      <c r="K57" s="333">
        <f>C57+J57</f>
        <v>0</v>
      </c>
    </row>
    <row r="58" spans="1:11" ht="12.75" customHeight="1" thickBot="1">
      <c r="A58" s="338" t="s">
        <v>6</v>
      </c>
      <c r="B58" s="346" t="s">
        <v>500</v>
      </c>
      <c r="C58" s="368">
        <f aca="true" t="shared" si="11" ref="C58:J58">+C46+C52+C57</f>
        <v>0</v>
      </c>
      <c r="D58" s="368">
        <f t="shared" si="11"/>
        <v>0</v>
      </c>
      <c r="E58" s="368">
        <f t="shared" si="11"/>
        <v>0</v>
      </c>
      <c r="F58" s="368">
        <f t="shared" si="11"/>
        <v>0</v>
      </c>
      <c r="G58" s="368">
        <f t="shared" si="11"/>
        <v>0</v>
      </c>
      <c r="H58" s="368">
        <f t="shared" si="11"/>
        <v>0</v>
      </c>
      <c r="I58" s="368">
        <f t="shared" si="11"/>
        <v>0</v>
      </c>
      <c r="J58" s="368">
        <f t="shared" si="11"/>
        <v>0</v>
      </c>
      <c r="K58" s="347">
        <f>+K46+K52+K57</f>
        <v>0</v>
      </c>
    </row>
    <row r="59" spans="3:11" ht="13.5" customHeight="1" thickBot="1">
      <c r="C59" s="427">
        <f>C44-C58</f>
        <v>0</v>
      </c>
      <c r="D59" s="428"/>
      <c r="E59" s="428"/>
      <c r="F59" s="428"/>
      <c r="G59" s="428"/>
      <c r="H59" s="428"/>
      <c r="I59" s="428"/>
      <c r="J59" s="428"/>
      <c r="K59" s="421">
        <f>K44-K58</f>
        <v>0</v>
      </c>
    </row>
    <row r="60" spans="1:11" ht="12.75" customHeight="1" thickBot="1">
      <c r="A60" s="65" t="s">
        <v>367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  <row r="61" spans="1:11" ht="12.75" customHeight="1" thickBot="1">
      <c r="A61" s="65" t="s">
        <v>116</v>
      </c>
      <c r="B61" s="66"/>
      <c r="C61" s="384"/>
      <c r="D61" s="384"/>
      <c r="E61" s="384"/>
      <c r="F61" s="384"/>
      <c r="G61" s="384"/>
      <c r="H61" s="384"/>
      <c r="I61" s="384"/>
      <c r="J61" s="369">
        <f>D61+E61+F61+G61+H61+I61</f>
        <v>0</v>
      </c>
      <c r="K61" s="372">
        <f>C61+J61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16">
      <selection activeCell="C49" sqref="C49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CONCATENATE("5.2.2. melléklet ",RM_ALAPADATOK!A7," ",RM_ALAPADATOK!B7," ",RM_ALAPADATOK!C7," ",RM_ALAPADATOK!D7," ",RM_ALAPADATOK!E7," ",RM_ALAPADATOK!F7," ",RM_ALAPADATOK!G7," ",RM_ALAPADATOK!H7)</f>
        <v>5.2.2. melléklet a  / 2019 ( … ) önkormányzati rendelethez</v>
      </c>
    </row>
    <row r="2" spans="1:11" s="328" customFormat="1" ht="36">
      <c r="A2" s="387" t="s">
        <v>474</v>
      </c>
      <c r="B2" s="550" t="str">
        <f>'RM_5.2.sz.mell'!B2</f>
        <v>Tiszaszőlősi Közös Önkormányzati Hivatal</v>
      </c>
      <c r="C2" s="551"/>
      <c r="D2" s="551"/>
      <c r="E2" s="551"/>
      <c r="F2" s="551"/>
      <c r="G2" s="551"/>
      <c r="H2" s="551"/>
      <c r="I2" s="551"/>
      <c r="J2" s="551"/>
      <c r="K2" s="388" t="s">
        <v>37</v>
      </c>
    </row>
    <row r="3" spans="1:11" s="328" customFormat="1" ht="22.5" customHeight="1" thickBot="1">
      <c r="A3" s="389" t="s">
        <v>114</v>
      </c>
      <c r="B3" s="552" t="str">
        <f>CONCATENATE('RM_5.1.2.sz.mell'!B3:J3)</f>
        <v>Önként vállalt feladatok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38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CONCATENATE('RM_5.2.1.sz.mell'!K5)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6604000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6604000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>
        <v>6604000</v>
      </c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6604000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7" customFormat="1" ht="12" customHeight="1">
      <c r="A29" s="339" t="s">
        <v>152</v>
      </c>
      <c r="B29" s="340" t="s">
        <v>148</v>
      </c>
      <c r="C29" s="378"/>
      <c r="D29" s="378"/>
      <c r="E29" s="378"/>
      <c r="F29" s="378"/>
      <c r="G29" s="378"/>
      <c r="H29" s="378"/>
      <c r="I29" s="378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0" t="s">
        <v>479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>
      <c r="A31" s="339" t="s">
        <v>154</v>
      </c>
      <c r="B31" s="341" t="s">
        <v>483</v>
      </c>
      <c r="C31" s="379"/>
      <c r="D31" s="379"/>
      <c r="E31" s="379"/>
      <c r="F31" s="379"/>
      <c r="G31" s="379"/>
      <c r="H31" s="379"/>
      <c r="I31" s="379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6" t="s">
        <v>155</v>
      </c>
      <c r="B32" s="351" t="s">
        <v>484</v>
      </c>
      <c r="C32" s="380"/>
      <c r="D32" s="380"/>
      <c r="E32" s="380"/>
      <c r="F32" s="380"/>
      <c r="G32" s="380"/>
      <c r="H32" s="380"/>
      <c r="I32" s="380"/>
      <c r="J32" s="361">
        <f>D32+E32+F32+G32+H32+I32</f>
        <v>0</v>
      </c>
      <c r="K32" s="355">
        <f>C32+J32</f>
        <v>0</v>
      </c>
    </row>
    <row r="33" spans="1:11" s="337" customFormat="1" ht="12" customHeight="1" thickBot="1">
      <c r="A33" s="338" t="s">
        <v>7</v>
      </c>
      <c r="B33" s="47" t="s">
        <v>485</v>
      </c>
      <c r="C33" s="36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7" customFormat="1" ht="12" customHeight="1">
      <c r="A34" s="339" t="s">
        <v>51</v>
      </c>
      <c r="B34" s="340" t="s">
        <v>175</v>
      </c>
      <c r="C34" s="378"/>
      <c r="D34" s="378"/>
      <c r="E34" s="378"/>
      <c r="F34" s="378"/>
      <c r="G34" s="378"/>
      <c r="H34" s="378"/>
      <c r="I34" s="378"/>
      <c r="J34" s="361">
        <f>D34+E34+F34+G34+H34+I34</f>
        <v>0</v>
      </c>
      <c r="K34" s="355">
        <f>C34+J34</f>
        <v>0</v>
      </c>
    </row>
    <row r="35" spans="1:11" s="337" customFormat="1" ht="12" customHeight="1">
      <c r="A35" s="339" t="s">
        <v>52</v>
      </c>
      <c r="B35" s="341" t="s">
        <v>176</v>
      </c>
      <c r="C35" s="379"/>
      <c r="D35" s="379"/>
      <c r="E35" s="379"/>
      <c r="F35" s="379"/>
      <c r="G35" s="379"/>
      <c r="H35" s="379"/>
      <c r="I35" s="379"/>
      <c r="J35" s="361">
        <f>D35+E35+F35+G35+H35+I35</f>
        <v>0</v>
      </c>
      <c r="K35" s="355">
        <f>C35+J35</f>
        <v>0</v>
      </c>
    </row>
    <row r="36" spans="1:11" s="337" customFormat="1" ht="12" customHeight="1" thickBot="1">
      <c r="A36" s="336" t="s">
        <v>53</v>
      </c>
      <c r="B36" s="351" t="s">
        <v>177</v>
      </c>
      <c r="C36" s="380"/>
      <c r="D36" s="380"/>
      <c r="E36" s="380"/>
      <c r="F36" s="380"/>
      <c r="G36" s="380"/>
      <c r="H36" s="380"/>
      <c r="I36" s="380"/>
      <c r="J36" s="361">
        <f>D36+E36+F36+G36+H36+I36</f>
        <v>0</v>
      </c>
      <c r="K36" s="363">
        <f>C36+J36</f>
        <v>0</v>
      </c>
    </row>
    <row r="37" spans="1:11" s="334" customFormat="1" ht="12" customHeight="1" thickBot="1">
      <c r="A37" s="338" t="s">
        <v>8</v>
      </c>
      <c r="B37" s="47" t="s">
        <v>260</v>
      </c>
      <c r="C37" s="377"/>
      <c r="D37" s="377"/>
      <c r="E37" s="377"/>
      <c r="F37" s="377"/>
      <c r="G37" s="377"/>
      <c r="H37" s="377"/>
      <c r="I37" s="377"/>
      <c r="J37" s="79">
        <f>D37+E37+F37+G37+H37+I37</f>
        <v>0</v>
      </c>
      <c r="K37" s="333">
        <f>C37+J37</f>
        <v>0</v>
      </c>
    </row>
    <row r="38" spans="1:11" s="334" customFormat="1" ht="12" customHeight="1" thickBot="1">
      <c r="A38" s="338" t="s">
        <v>9</v>
      </c>
      <c r="B38" s="47" t="s">
        <v>486</v>
      </c>
      <c r="C38" s="377"/>
      <c r="D38" s="377"/>
      <c r="E38" s="377"/>
      <c r="F38" s="377"/>
      <c r="G38" s="377"/>
      <c r="H38" s="377"/>
      <c r="I38" s="377"/>
      <c r="J38" s="364">
        <f>D38+E38+F38+G38+H38+I38</f>
        <v>0</v>
      </c>
      <c r="K38" s="355">
        <f>C38+J38</f>
        <v>0</v>
      </c>
    </row>
    <row r="39" spans="1:11" s="334" customFormat="1" ht="12" customHeight="1" thickBot="1">
      <c r="A39" s="59" t="s">
        <v>10</v>
      </c>
      <c r="B39" s="47" t="s">
        <v>487</v>
      </c>
      <c r="C39" s="360">
        <f aca="true" t="shared" si="6" ref="C39:J39">+C10+C22+C27+C28+C33+C37+C38</f>
        <v>6604000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6604000</v>
      </c>
    </row>
    <row r="40" spans="1:11" s="334" customFormat="1" ht="12" customHeight="1" thickBot="1">
      <c r="A40" s="343" t="s">
        <v>11</v>
      </c>
      <c r="B40" s="47" t="s">
        <v>488</v>
      </c>
      <c r="C40" s="360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4" customFormat="1" ht="12" customHeight="1">
      <c r="A41" s="339" t="s">
        <v>489</v>
      </c>
      <c r="B41" s="340" t="s">
        <v>125</v>
      </c>
      <c r="C41" s="378"/>
      <c r="D41" s="378"/>
      <c r="E41" s="378"/>
      <c r="F41" s="378"/>
      <c r="G41" s="378"/>
      <c r="H41" s="378"/>
      <c r="I41" s="378"/>
      <c r="J41" s="361">
        <f>D41+E41+F41+G41+H41+I41</f>
        <v>0</v>
      </c>
      <c r="K41" s="355">
        <f>C41+J41</f>
        <v>0</v>
      </c>
    </row>
    <row r="42" spans="1:11" s="334" customFormat="1" ht="12" customHeight="1">
      <c r="A42" s="339" t="s">
        <v>490</v>
      </c>
      <c r="B42" s="341" t="s">
        <v>491</v>
      </c>
      <c r="C42" s="379"/>
      <c r="D42" s="379"/>
      <c r="E42" s="379"/>
      <c r="F42" s="379"/>
      <c r="G42" s="379"/>
      <c r="H42" s="379"/>
      <c r="I42" s="379"/>
      <c r="J42" s="361">
        <f>D42+E42+F42+G42+H42+I42</f>
        <v>0</v>
      </c>
      <c r="K42" s="354">
        <f>C42+J42</f>
        <v>0</v>
      </c>
    </row>
    <row r="43" spans="1:11" s="337" customFormat="1" ht="12" customHeight="1" thickBot="1">
      <c r="A43" s="336" t="s">
        <v>492</v>
      </c>
      <c r="B43" s="342" t="s">
        <v>493</v>
      </c>
      <c r="C43" s="381"/>
      <c r="D43" s="381"/>
      <c r="E43" s="381"/>
      <c r="F43" s="381"/>
      <c r="G43" s="381"/>
      <c r="H43" s="381"/>
      <c r="I43" s="381"/>
      <c r="J43" s="361">
        <f>D43+E43+F43+G43+H43+I43</f>
        <v>0</v>
      </c>
      <c r="K43" s="356">
        <f>C43+J43</f>
        <v>0</v>
      </c>
    </row>
    <row r="44" spans="1:11" s="337" customFormat="1" ht="12.75" customHeight="1" thickBot="1">
      <c r="A44" s="343" t="s">
        <v>12</v>
      </c>
      <c r="B44" s="344" t="s">
        <v>494</v>
      </c>
      <c r="C44" s="360">
        <f aca="true" t="shared" si="8" ref="C44:J44">+C39+C40</f>
        <v>6604000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6604000</v>
      </c>
    </row>
    <row r="45" spans="1:11" s="331" customFormat="1" ht="13.5" customHeight="1" thickBot="1">
      <c r="A45" s="528" t="s">
        <v>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</row>
    <row r="46" spans="1:11" s="345" customFormat="1" ht="12" customHeight="1" thickBot="1">
      <c r="A46" s="338" t="s">
        <v>3</v>
      </c>
      <c r="B46" s="47" t="s">
        <v>495</v>
      </c>
      <c r="C46" s="365">
        <f aca="true" t="shared" si="9" ref="C46:J46">SUM(C47:C51)</f>
        <v>6604000</v>
      </c>
      <c r="D46" s="365">
        <f t="shared" si="9"/>
        <v>0</v>
      </c>
      <c r="E46" s="365">
        <f t="shared" si="9"/>
        <v>0</v>
      </c>
      <c r="F46" s="365">
        <f t="shared" si="9"/>
        <v>0</v>
      </c>
      <c r="G46" s="365">
        <f t="shared" si="9"/>
        <v>0</v>
      </c>
      <c r="H46" s="365">
        <f t="shared" si="9"/>
        <v>0</v>
      </c>
      <c r="I46" s="365">
        <f t="shared" si="9"/>
        <v>0</v>
      </c>
      <c r="J46" s="365">
        <f t="shared" si="9"/>
        <v>0</v>
      </c>
      <c r="K46" s="333">
        <f>SUM(K47:K51)</f>
        <v>6604000</v>
      </c>
    </row>
    <row r="47" spans="1:11" ht="12" customHeight="1">
      <c r="A47" s="336" t="s">
        <v>58</v>
      </c>
      <c r="B47" s="6" t="s">
        <v>32</v>
      </c>
      <c r="C47" s="382"/>
      <c r="D47" s="382"/>
      <c r="E47" s="382"/>
      <c r="F47" s="382"/>
      <c r="G47" s="382"/>
      <c r="H47" s="382"/>
      <c r="I47" s="382"/>
      <c r="J47" s="366">
        <f>D47+E47+F47+G47+H47+I47</f>
        <v>0</v>
      </c>
      <c r="K47" s="370">
        <f>C47+J47</f>
        <v>0</v>
      </c>
    </row>
    <row r="48" spans="1:11" ht="12" customHeight="1">
      <c r="A48" s="336" t="s">
        <v>59</v>
      </c>
      <c r="B48" s="5" t="s">
        <v>101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60</v>
      </c>
      <c r="B49" s="5" t="s">
        <v>77</v>
      </c>
      <c r="C49" s="471">
        <v>6604000</v>
      </c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6604000</v>
      </c>
    </row>
    <row r="50" spans="1:11" ht="12" customHeight="1">
      <c r="A50" s="336" t="s">
        <v>61</v>
      </c>
      <c r="B50" s="5" t="s">
        <v>102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6" t="s">
        <v>78</v>
      </c>
      <c r="B51" s="5" t="s">
        <v>103</v>
      </c>
      <c r="C51" s="383"/>
      <c r="D51" s="383"/>
      <c r="E51" s="383"/>
      <c r="F51" s="383"/>
      <c r="G51" s="383"/>
      <c r="H51" s="383"/>
      <c r="I51" s="383"/>
      <c r="J51" s="367">
        <f>D51+E51+F51+G51+H51+I51</f>
        <v>0</v>
      </c>
      <c r="K51" s="371">
        <f>C51+J51</f>
        <v>0</v>
      </c>
    </row>
    <row r="52" spans="1:11" ht="12" customHeight="1" thickBot="1">
      <c r="A52" s="338" t="s">
        <v>4</v>
      </c>
      <c r="B52" s="47" t="s">
        <v>496</v>
      </c>
      <c r="C52" s="365">
        <f aca="true" t="shared" si="10" ref="C52:J52">SUM(C53:C55)</f>
        <v>0</v>
      </c>
      <c r="D52" s="365">
        <f t="shared" si="10"/>
        <v>0</v>
      </c>
      <c r="E52" s="365">
        <f t="shared" si="10"/>
        <v>0</v>
      </c>
      <c r="F52" s="365">
        <f t="shared" si="10"/>
        <v>0</v>
      </c>
      <c r="G52" s="365">
        <f t="shared" si="10"/>
        <v>0</v>
      </c>
      <c r="H52" s="365">
        <f t="shared" si="10"/>
        <v>0</v>
      </c>
      <c r="I52" s="365">
        <f t="shared" si="10"/>
        <v>0</v>
      </c>
      <c r="J52" s="365">
        <f t="shared" si="10"/>
        <v>0</v>
      </c>
      <c r="K52" s="333">
        <f>SUM(K53:K55)</f>
        <v>0</v>
      </c>
    </row>
    <row r="53" spans="1:11" s="345" customFormat="1" ht="12" customHeight="1">
      <c r="A53" s="336" t="s">
        <v>64</v>
      </c>
      <c r="B53" s="6" t="s">
        <v>119</v>
      </c>
      <c r="C53" s="382"/>
      <c r="D53" s="382"/>
      <c r="E53" s="382"/>
      <c r="F53" s="382"/>
      <c r="G53" s="382"/>
      <c r="H53" s="382"/>
      <c r="I53" s="382"/>
      <c r="J53" s="366">
        <f>D53+E53+F53+G53+H53+I53</f>
        <v>0</v>
      </c>
      <c r="K53" s="370">
        <f>C53+J53</f>
        <v>0</v>
      </c>
    </row>
    <row r="54" spans="1:11" ht="12" customHeight="1">
      <c r="A54" s="336" t="s">
        <v>65</v>
      </c>
      <c r="B54" s="5" t="s">
        <v>105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>
      <c r="A55" s="336" t="s">
        <v>66</v>
      </c>
      <c r="B55" s="5" t="s">
        <v>497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6" t="s">
        <v>67</v>
      </c>
      <c r="B56" s="5" t="s">
        <v>498</v>
      </c>
      <c r="C56" s="383"/>
      <c r="D56" s="383"/>
      <c r="E56" s="383"/>
      <c r="F56" s="383"/>
      <c r="G56" s="383"/>
      <c r="H56" s="383"/>
      <c r="I56" s="383"/>
      <c r="J56" s="367">
        <f>D56+E56+F56+G56+H56+I56</f>
        <v>0</v>
      </c>
      <c r="K56" s="371">
        <f>C56+J56</f>
        <v>0</v>
      </c>
    </row>
    <row r="57" spans="1:11" ht="12" customHeight="1" thickBot="1">
      <c r="A57" s="338" t="s">
        <v>5</v>
      </c>
      <c r="B57" s="47" t="s">
        <v>499</v>
      </c>
      <c r="C57" s="411"/>
      <c r="D57" s="411"/>
      <c r="E57" s="411"/>
      <c r="F57" s="411"/>
      <c r="G57" s="411"/>
      <c r="H57" s="411"/>
      <c r="I57" s="411"/>
      <c r="J57" s="365">
        <f>D57+E57+F57+G57+H57+I57</f>
        <v>0</v>
      </c>
      <c r="K57" s="333">
        <f>C57+J57</f>
        <v>0</v>
      </c>
    </row>
    <row r="58" spans="1:11" ht="12.75" customHeight="1" thickBot="1">
      <c r="A58" s="338" t="s">
        <v>6</v>
      </c>
      <c r="B58" s="346" t="s">
        <v>500</v>
      </c>
      <c r="C58" s="368">
        <f aca="true" t="shared" si="11" ref="C58:J58">+C46+C52+C57</f>
        <v>6604000</v>
      </c>
      <c r="D58" s="368">
        <f t="shared" si="11"/>
        <v>0</v>
      </c>
      <c r="E58" s="368">
        <f t="shared" si="11"/>
        <v>0</v>
      </c>
      <c r="F58" s="368">
        <f t="shared" si="11"/>
        <v>0</v>
      </c>
      <c r="G58" s="368">
        <f t="shared" si="11"/>
        <v>0</v>
      </c>
      <c r="H58" s="368">
        <f t="shared" si="11"/>
        <v>0</v>
      </c>
      <c r="I58" s="368">
        <f t="shared" si="11"/>
        <v>0</v>
      </c>
      <c r="J58" s="368">
        <f t="shared" si="11"/>
        <v>0</v>
      </c>
      <c r="K58" s="347">
        <f>+K46+K52+K57</f>
        <v>6604000</v>
      </c>
    </row>
    <row r="59" spans="3:11" ht="13.5" customHeight="1" thickBot="1">
      <c r="C59" s="427">
        <f>C44-C58</f>
        <v>0</v>
      </c>
      <c r="D59" s="428"/>
      <c r="E59" s="428"/>
      <c r="F59" s="428"/>
      <c r="G59" s="428"/>
      <c r="H59" s="428"/>
      <c r="I59" s="428"/>
      <c r="J59" s="428"/>
      <c r="K59" s="421">
        <f>K44-K58</f>
        <v>0</v>
      </c>
    </row>
    <row r="60" spans="1:11" ht="12.75" customHeight="1" thickBot="1">
      <c r="A60" s="65" t="s">
        <v>367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  <row r="61" spans="1:11" ht="12.75" customHeight="1" thickBot="1">
      <c r="A61" s="65" t="s">
        <v>116</v>
      </c>
      <c r="B61" s="66"/>
      <c r="C61" s="384"/>
      <c r="D61" s="384"/>
      <c r="E61" s="384"/>
      <c r="F61" s="384"/>
      <c r="G61" s="384"/>
      <c r="H61" s="384"/>
      <c r="I61" s="384"/>
      <c r="J61" s="369">
        <f>D61+E61+F61+G61+H61+I61</f>
        <v>0</v>
      </c>
      <c r="K61" s="372">
        <f>C61+J61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B16" sqref="B16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499" t="s">
        <v>439</v>
      </c>
      <c r="B2" s="499"/>
      <c r="C2" s="499"/>
      <c r="D2" s="499"/>
      <c r="E2" s="499"/>
      <c r="F2" s="499"/>
      <c r="G2" s="499"/>
      <c r="H2" s="499"/>
      <c r="I2" s="499"/>
    </row>
    <row r="3" spans="1:7" ht="15.75">
      <c r="A3" s="500" t="s">
        <v>564</v>
      </c>
      <c r="B3" s="500"/>
      <c r="C3" s="500"/>
      <c r="D3" s="500"/>
      <c r="E3" s="500"/>
      <c r="F3" s="500"/>
      <c r="G3" s="500"/>
    </row>
    <row r="6" ht="15">
      <c r="A6" s="299" t="s">
        <v>554</v>
      </c>
    </row>
    <row r="7" spans="1:10" ht="12.75">
      <c r="A7" s="431" t="s">
        <v>508</v>
      </c>
      <c r="B7" s="429"/>
      <c r="C7" s="432" t="s">
        <v>510</v>
      </c>
      <c r="D7" s="432">
        <v>2019</v>
      </c>
      <c r="E7" s="432" t="s">
        <v>511</v>
      </c>
      <c r="F7" s="429" t="s">
        <v>509</v>
      </c>
      <c r="G7" s="432" t="s">
        <v>512</v>
      </c>
      <c r="H7" s="432" t="s">
        <v>513</v>
      </c>
      <c r="I7" s="432"/>
      <c r="J7" s="432"/>
    </row>
    <row r="11" spans="1:7" ht="15.75">
      <c r="A11" s="497" t="s">
        <v>565</v>
      </c>
      <c r="B11" s="498"/>
      <c r="C11" s="498"/>
      <c r="D11" s="498"/>
      <c r="E11" s="498"/>
      <c r="F11" s="498"/>
      <c r="G11" s="498"/>
    </row>
    <row r="13" spans="1:9" ht="14.25">
      <c r="A13" s="300" t="s">
        <v>440</v>
      </c>
      <c r="B13" s="495" t="s">
        <v>566</v>
      </c>
      <c r="C13" s="496"/>
      <c r="D13" s="496"/>
      <c r="E13" s="496"/>
      <c r="F13" s="496"/>
      <c r="G13" s="496"/>
      <c r="H13" s="496"/>
      <c r="I13" s="496"/>
    </row>
    <row r="14" spans="2:9" ht="14.25">
      <c r="B14" s="433"/>
      <c r="C14" s="430"/>
      <c r="D14" s="430"/>
      <c r="E14" s="430"/>
      <c r="F14" s="430"/>
      <c r="G14" s="430"/>
      <c r="H14" s="430"/>
      <c r="I14" s="430"/>
    </row>
    <row r="15" spans="1:9" ht="14.25">
      <c r="A15" s="300" t="s">
        <v>441</v>
      </c>
      <c r="B15" s="495" t="s">
        <v>567</v>
      </c>
      <c r="C15" s="496"/>
      <c r="D15" s="496"/>
      <c r="E15" s="496"/>
      <c r="F15" s="496"/>
      <c r="G15" s="496"/>
      <c r="H15" s="496"/>
      <c r="I15" s="496"/>
    </row>
    <row r="16" spans="2:9" ht="14.25">
      <c r="B16" s="433"/>
      <c r="C16" s="430"/>
      <c r="D16" s="430"/>
      <c r="E16" s="430"/>
      <c r="F16" s="430"/>
      <c r="G16" s="430"/>
      <c r="H16" s="430"/>
      <c r="I16" s="430"/>
    </row>
    <row r="17" spans="1:9" ht="14.25">
      <c r="A17" s="300" t="s">
        <v>442</v>
      </c>
      <c r="B17" s="495" t="s">
        <v>443</v>
      </c>
      <c r="C17" s="496"/>
      <c r="D17" s="496"/>
      <c r="E17" s="496"/>
      <c r="F17" s="496"/>
      <c r="G17" s="496"/>
      <c r="H17" s="496"/>
      <c r="I17" s="496"/>
    </row>
    <row r="18" spans="2:9" ht="14.25">
      <c r="B18" s="433"/>
      <c r="C18" s="430"/>
      <c r="D18" s="430"/>
      <c r="E18" s="430"/>
      <c r="F18" s="430"/>
      <c r="G18" s="430"/>
      <c r="H18" s="430"/>
      <c r="I18" s="430"/>
    </row>
    <row r="19" spans="1:9" ht="14.25">
      <c r="A19" s="300" t="s">
        <v>444</v>
      </c>
      <c r="B19" s="495" t="s">
        <v>445</v>
      </c>
      <c r="C19" s="496"/>
      <c r="D19" s="496"/>
      <c r="E19" s="496"/>
      <c r="F19" s="496"/>
      <c r="G19" s="496"/>
      <c r="H19" s="496"/>
      <c r="I19" s="496"/>
    </row>
    <row r="20" spans="2:9" ht="14.25">
      <c r="B20" s="433"/>
      <c r="C20" s="430"/>
      <c r="D20" s="430"/>
      <c r="E20" s="430"/>
      <c r="F20" s="430"/>
      <c r="G20" s="430"/>
      <c r="H20" s="430"/>
      <c r="I20" s="430"/>
    </row>
    <row r="21" spans="1:9" ht="14.25">
      <c r="A21" s="300" t="s">
        <v>446</v>
      </c>
      <c r="B21" s="495" t="s">
        <v>447</v>
      </c>
      <c r="C21" s="496"/>
      <c r="D21" s="496"/>
      <c r="E21" s="496"/>
      <c r="F21" s="496"/>
      <c r="G21" s="496"/>
      <c r="H21" s="496"/>
      <c r="I21" s="496"/>
    </row>
    <row r="22" spans="2:9" ht="14.25">
      <c r="B22" s="433"/>
      <c r="C22" s="430"/>
      <c r="D22" s="430"/>
      <c r="E22" s="430"/>
      <c r="F22" s="430"/>
      <c r="G22" s="430"/>
      <c r="H22" s="430"/>
      <c r="I22" s="430"/>
    </row>
    <row r="23" spans="1:9" ht="14.25">
      <c r="A23" s="300" t="s">
        <v>448</v>
      </c>
      <c r="B23" s="495" t="s">
        <v>449</v>
      </c>
      <c r="C23" s="496"/>
      <c r="D23" s="496"/>
      <c r="E23" s="496"/>
      <c r="F23" s="496"/>
      <c r="G23" s="496"/>
      <c r="H23" s="496"/>
      <c r="I23" s="496"/>
    </row>
    <row r="24" spans="2:9" ht="14.25">
      <c r="B24" s="433"/>
      <c r="C24" s="430"/>
      <c r="D24" s="430"/>
      <c r="E24" s="430"/>
      <c r="F24" s="430"/>
      <c r="G24" s="430"/>
      <c r="H24" s="430"/>
      <c r="I24" s="430"/>
    </row>
    <row r="25" spans="1:9" ht="14.25">
      <c r="A25" s="300" t="s">
        <v>450</v>
      </c>
      <c r="B25" s="495" t="s">
        <v>451</v>
      </c>
      <c r="C25" s="496"/>
      <c r="D25" s="496"/>
      <c r="E25" s="496"/>
      <c r="F25" s="496"/>
      <c r="G25" s="496"/>
      <c r="H25" s="496"/>
      <c r="I25" s="496"/>
    </row>
    <row r="26" spans="2:9" ht="14.25">
      <c r="B26" s="433"/>
      <c r="C26" s="430"/>
      <c r="D26" s="430"/>
      <c r="E26" s="430"/>
      <c r="F26" s="430"/>
      <c r="G26" s="430"/>
      <c r="H26" s="430"/>
      <c r="I26" s="430"/>
    </row>
    <row r="27" spans="1:9" ht="14.25">
      <c r="A27" s="300" t="s">
        <v>452</v>
      </c>
      <c r="B27" s="495" t="s">
        <v>453</v>
      </c>
      <c r="C27" s="496"/>
      <c r="D27" s="496"/>
      <c r="E27" s="496"/>
      <c r="F27" s="496"/>
      <c r="G27" s="496"/>
      <c r="H27" s="496"/>
      <c r="I27" s="496"/>
    </row>
    <row r="28" spans="2:9" ht="14.25">
      <c r="B28" s="433"/>
      <c r="C28" s="430"/>
      <c r="D28" s="430"/>
      <c r="E28" s="430"/>
      <c r="F28" s="430"/>
      <c r="G28" s="430"/>
      <c r="H28" s="430"/>
      <c r="I28" s="430"/>
    </row>
    <row r="29" spans="1:9" ht="14.25">
      <c r="A29" s="300" t="s">
        <v>452</v>
      </c>
      <c r="B29" s="495" t="s">
        <v>454</v>
      </c>
      <c r="C29" s="496"/>
      <c r="D29" s="496"/>
      <c r="E29" s="496"/>
      <c r="F29" s="496"/>
      <c r="G29" s="496"/>
      <c r="H29" s="496"/>
      <c r="I29" s="496"/>
    </row>
    <row r="30" spans="2:9" ht="14.25">
      <c r="B30" s="433"/>
      <c r="C30" s="430"/>
      <c r="D30" s="430"/>
      <c r="E30" s="430"/>
      <c r="F30" s="430"/>
      <c r="G30" s="430"/>
      <c r="H30" s="430"/>
      <c r="I30" s="430"/>
    </row>
    <row r="31" spans="1:9" ht="14.25">
      <c r="A31" s="300" t="s">
        <v>455</v>
      </c>
      <c r="B31" s="495" t="s">
        <v>456</v>
      </c>
      <c r="C31" s="496"/>
      <c r="D31" s="496"/>
      <c r="E31" s="496"/>
      <c r="F31" s="496"/>
      <c r="G31" s="496"/>
      <c r="H31" s="496"/>
      <c r="I31" s="496"/>
    </row>
  </sheetData>
  <sheetProtection sheet="1"/>
  <mergeCells count="13">
    <mergeCell ref="A2:I2"/>
    <mergeCell ref="B21:I21"/>
    <mergeCell ref="B23:I23"/>
    <mergeCell ref="B25:I25"/>
    <mergeCell ref="A3:G3"/>
    <mergeCell ref="B27:I27"/>
    <mergeCell ref="B29:I29"/>
    <mergeCell ref="B31:I31"/>
    <mergeCell ref="A11:G11"/>
    <mergeCell ref="B13:I13"/>
    <mergeCell ref="B15:I15"/>
    <mergeCell ref="B17:I17"/>
    <mergeCell ref="B19:I1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28">
      <selection activeCell="E48" sqref="E48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CONCATENATE("5.2.3. melléklet ",RM_ALAPADATOK!A7," ",RM_ALAPADATOK!B7," ",RM_ALAPADATOK!C7," ",RM_ALAPADATOK!D7," ",RM_ALAPADATOK!E7," ",RM_ALAPADATOK!F7," ",RM_ALAPADATOK!G7," ",RM_ALAPADATOK!H7)</f>
        <v>5.2.3. melléklet a  / 2019 ( … ) önkormányzati rendelethez</v>
      </c>
    </row>
    <row r="2" spans="1:11" s="328" customFormat="1" ht="36">
      <c r="A2" s="387" t="s">
        <v>474</v>
      </c>
      <c r="B2" s="550" t="str">
        <f>'RM_5.2.sz.mell'!B2</f>
        <v>Tiszaszőlősi Közös Önkormányzati Hivatal</v>
      </c>
      <c r="C2" s="551"/>
      <c r="D2" s="551"/>
      <c r="E2" s="551"/>
      <c r="F2" s="551"/>
      <c r="G2" s="551"/>
      <c r="H2" s="551"/>
      <c r="I2" s="551"/>
      <c r="J2" s="551"/>
      <c r="K2" s="388" t="s">
        <v>37</v>
      </c>
    </row>
    <row r="3" spans="1:11" s="328" customFormat="1" ht="22.5" customHeight="1" thickBot="1">
      <c r="A3" s="389" t="s">
        <v>114</v>
      </c>
      <c r="B3" s="552" t="str">
        <f>CONCATENATE('RM_5.1.3.sz.mell'!B3:J3)</f>
        <v>Államigazgatási feladatok 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290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CONCATENATE('RM_5.2.2.sz.mell'!K5)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13842481</v>
      </c>
      <c r="D22" s="79">
        <f t="shared" si="3"/>
        <v>6094975</v>
      </c>
      <c r="E22" s="79">
        <f t="shared" si="3"/>
        <v>1945972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8040947</v>
      </c>
      <c r="K22" s="112">
        <f>SUM(K23:K25)</f>
        <v>21883428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>
        <v>13842481</v>
      </c>
      <c r="D25" s="374">
        <v>6094975</v>
      </c>
      <c r="E25" s="374">
        <v>1945972</v>
      </c>
      <c r="F25" s="374"/>
      <c r="G25" s="374"/>
      <c r="H25" s="374"/>
      <c r="I25" s="374"/>
      <c r="J25" s="358">
        <f>D25+E25+F25+G25+H25+I25</f>
        <v>8040947</v>
      </c>
      <c r="K25" s="354">
        <f>C25+J25</f>
        <v>21883428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>
        <v>4989991</v>
      </c>
      <c r="E26" s="375"/>
      <c r="F26" s="375"/>
      <c r="G26" s="375"/>
      <c r="H26" s="375"/>
      <c r="I26" s="375"/>
      <c r="J26" s="362">
        <f>D26+E26+F26+G26+H26+I26</f>
        <v>4989991</v>
      </c>
      <c r="K26" s="356">
        <f>C26+J26</f>
        <v>4989991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 aca="true" t="shared" si="4" ref="C28:J28">+C29+C30+C31</f>
        <v>0</v>
      </c>
      <c r="D28" s="79">
        <f t="shared" si="4"/>
        <v>769915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769915</v>
      </c>
      <c r="K28" s="112">
        <f>+K29+K30+K31</f>
        <v>769915</v>
      </c>
    </row>
    <row r="29" spans="1:11" s="337" customFormat="1" ht="12" customHeight="1">
      <c r="A29" s="339" t="s">
        <v>152</v>
      </c>
      <c r="B29" s="340" t="s">
        <v>148</v>
      </c>
      <c r="C29" s="378"/>
      <c r="D29" s="378"/>
      <c r="E29" s="378"/>
      <c r="F29" s="378"/>
      <c r="G29" s="378"/>
      <c r="H29" s="378"/>
      <c r="I29" s="378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0" t="s">
        <v>479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>
      <c r="A31" s="339" t="s">
        <v>154</v>
      </c>
      <c r="B31" s="341" t="s">
        <v>483</v>
      </c>
      <c r="C31" s="379"/>
      <c r="D31" s="379">
        <v>769915</v>
      </c>
      <c r="E31" s="379"/>
      <c r="F31" s="379"/>
      <c r="G31" s="379"/>
      <c r="H31" s="379"/>
      <c r="I31" s="379"/>
      <c r="J31" s="361">
        <f>D31+E31+F31+G31+H31+I31</f>
        <v>769915</v>
      </c>
      <c r="K31" s="355">
        <f>C31+J31</f>
        <v>769915</v>
      </c>
    </row>
    <row r="32" spans="1:11" s="337" customFormat="1" ht="12" customHeight="1" thickBot="1">
      <c r="A32" s="336" t="s">
        <v>155</v>
      </c>
      <c r="B32" s="351" t="s">
        <v>484</v>
      </c>
      <c r="C32" s="380"/>
      <c r="D32" s="380">
        <v>769915</v>
      </c>
      <c r="E32" s="380"/>
      <c r="F32" s="380"/>
      <c r="G32" s="380"/>
      <c r="H32" s="380"/>
      <c r="I32" s="380"/>
      <c r="J32" s="361">
        <f>D32+E32+F32+G32+H32+I32</f>
        <v>769915</v>
      </c>
      <c r="K32" s="355">
        <f>C32+J32</f>
        <v>769915</v>
      </c>
    </row>
    <row r="33" spans="1:11" s="337" customFormat="1" ht="12" customHeight="1" thickBot="1">
      <c r="A33" s="338" t="s">
        <v>7</v>
      </c>
      <c r="B33" s="47" t="s">
        <v>485</v>
      </c>
      <c r="C33" s="36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7" customFormat="1" ht="12" customHeight="1">
      <c r="A34" s="339" t="s">
        <v>51</v>
      </c>
      <c r="B34" s="340" t="s">
        <v>175</v>
      </c>
      <c r="C34" s="378"/>
      <c r="D34" s="378"/>
      <c r="E34" s="378"/>
      <c r="F34" s="378"/>
      <c r="G34" s="378"/>
      <c r="H34" s="378"/>
      <c r="I34" s="378"/>
      <c r="J34" s="361">
        <f>D34+E34+F34+G34+H34+I34</f>
        <v>0</v>
      </c>
      <c r="K34" s="355">
        <f>C34+J34</f>
        <v>0</v>
      </c>
    </row>
    <row r="35" spans="1:11" s="337" customFormat="1" ht="12" customHeight="1">
      <c r="A35" s="339" t="s">
        <v>52</v>
      </c>
      <c r="B35" s="341" t="s">
        <v>176</v>
      </c>
      <c r="C35" s="379"/>
      <c r="D35" s="379"/>
      <c r="E35" s="379"/>
      <c r="F35" s="379"/>
      <c r="G35" s="379"/>
      <c r="H35" s="379"/>
      <c r="I35" s="379"/>
      <c r="J35" s="361">
        <f>D35+E35+F35+G35+H35+I35</f>
        <v>0</v>
      </c>
      <c r="K35" s="355">
        <f>C35+J35</f>
        <v>0</v>
      </c>
    </row>
    <row r="36" spans="1:11" s="337" customFormat="1" ht="12" customHeight="1" thickBot="1">
      <c r="A36" s="336" t="s">
        <v>53</v>
      </c>
      <c r="B36" s="351" t="s">
        <v>177</v>
      </c>
      <c r="C36" s="380"/>
      <c r="D36" s="380"/>
      <c r="E36" s="380"/>
      <c r="F36" s="380"/>
      <c r="G36" s="380"/>
      <c r="H36" s="380"/>
      <c r="I36" s="380"/>
      <c r="J36" s="361">
        <f>D36+E36+F36+G36+H36+I36</f>
        <v>0</v>
      </c>
      <c r="K36" s="363">
        <f>C36+J36</f>
        <v>0</v>
      </c>
    </row>
    <row r="37" spans="1:11" s="334" customFormat="1" ht="12" customHeight="1" thickBot="1">
      <c r="A37" s="338" t="s">
        <v>8</v>
      </c>
      <c r="B37" s="47" t="s">
        <v>260</v>
      </c>
      <c r="C37" s="377"/>
      <c r="D37" s="377"/>
      <c r="E37" s="377"/>
      <c r="F37" s="377"/>
      <c r="G37" s="377"/>
      <c r="H37" s="377"/>
      <c r="I37" s="377"/>
      <c r="J37" s="79">
        <f>D37+E37+F37+G37+H37+I37</f>
        <v>0</v>
      </c>
      <c r="K37" s="333">
        <f>C37+J37</f>
        <v>0</v>
      </c>
    </row>
    <row r="38" spans="1:11" s="334" customFormat="1" ht="12" customHeight="1" thickBot="1">
      <c r="A38" s="338" t="s">
        <v>9</v>
      </c>
      <c r="B38" s="47" t="s">
        <v>486</v>
      </c>
      <c r="C38" s="377"/>
      <c r="D38" s="377"/>
      <c r="E38" s="377"/>
      <c r="F38" s="377"/>
      <c r="G38" s="377"/>
      <c r="H38" s="377"/>
      <c r="I38" s="377"/>
      <c r="J38" s="364">
        <f>D38+E38+F38+G38+H38+I38</f>
        <v>0</v>
      </c>
      <c r="K38" s="355">
        <f>C38+J38</f>
        <v>0</v>
      </c>
    </row>
    <row r="39" spans="1:11" s="334" customFormat="1" ht="12" customHeight="1" thickBot="1">
      <c r="A39" s="59" t="s">
        <v>10</v>
      </c>
      <c r="B39" s="47" t="s">
        <v>487</v>
      </c>
      <c r="C39" s="360">
        <f aca="true" t="shared" si="6" ref="C39:J39">+C10+C22+C27+C28+C33+C37+C38</f>
        <v>13842481</v>
      </c>
      <c r="D39" s="79">
        <f t="shared" si="6"/>
        <v>6864890</v>
      </c>
      <c r="E39" s="79">
        <f t="shared" si="6"/>
        <v>1945972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8810862</v>
      </c>
      <c r="K39" s="112">
        <f>+K10+K22+K27+K28+K33+K37+K38</f>
        <v>22653343</v>
      </c>
    </row>
    <row r="40" spans="1:11" s="334" customFormat="1" ht="12" customHeight="1" thickBot="1">
      <c r="A40" s="343" t="s">
        <v>11</v>
      </c>
      <c r="B40" s="47" t="s">
        <v>488</v>
      </c>
      <c r="C40" s="360">
        <f aca="true" t="shared" si="7" ref="C40:J40">+C41+C42+C43</f>
        <v>73629109</v>
      </c>
      <c r="D40" s="79">
        <f t="shared" si="7"/>
        <v>1484931</v>
      </c>
      <c r="E40" s="79">
        <f t="shared" si="7"/>
        <v>1613581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3098512</v>
      </c>
      <c r="K40" s="112">
        <f>+K41+K42+K43</f>
        <v>76727621</v>
      </c>
    </row>
    <row r="41" spans="1:11" s="334" customFormat="1" ht="12" customHeight="1">
      <c r="A41" s="339" t="s">
        <v>489</v>
      </c>
      <c r="B41" s="340" t="s">
        <v>125</v>
      </c>
      <c r="C41" s="378">
        <v>13479423</v>
      </c>
      <c r="D41" s="378">
        <v>-3747544</v>
      </c>
      <c r="E41" s="378"/>
      <c r="F41" s="378"/>
      <c r="G41" s="378"/>
      <c r="H41" s="378"/>
      <c r="I41" s="378"/>
      <c r="J41" s="361">
        <f>D41+E41+F41+G41+H41+I41</f>
        <v>-3747544</v>
      </c>
      <c r="K41" s="355">
        <f>C41+J41</f>
        <v>9731879</v>
      </c>
    </row>
    <row r="42" spans="1:11" s="334" customFormat="1" ht="12" customHeight="1">
      <c r="A42" s="339" t="s">
        <v>490</v>
      </c>
      <c r="B42" s="341" t="s">
        <v>491</v>
      </c>
      <c r="C42" s="379"/>
      <c r="D42" s="379"/>
      <c r="E42" s="379"/>
      <c r="F42" s="379"/>
      <c r="G42" s="379"/>
      <c r="H42" s="379"/>
      <c r="I42" s="379"/>
      <c r="J42" s="361">
        <f>D42+E42+F42+G42+H42+I42</f>
        <v>0</v>
      </c>
      <c r="K42" s="354">
        <f>C42+J42</f>
        <v>0</v>
      </c>
    </row>
    <row r="43" spans="1:11" s="337" customFormat="1" ht="12" customHeight="1" thickBot="1">
      <c r="A43" s="336" t="s">
        <v>492</v>
      </c>
      <c r="B43" s="342" t="s">
        <v>493</v>
      </c>
      <c r="C43" s="381">
        <v>60149686</v>
      </c>
      <c r="D43" s="381">
        <v>5232475</v>
      </c>
      <c r="E43" s="381">
        <v>1613581</v>
      </c>
      <c r="F43" s="381"/>
      <c r="G43" s="381"/>
      <c r="H43" s="381"/>
      <c r="I43" s="381"/>
      <c r="J43" s="361">
        <f>D43+E43+F43+G43+H43+I43</f>
        <v>6846056</v>
      </c>
      <c r="K43" s="356">
        <f>C43+J43</f>
        <v>66995742</v>
      </c>
    </row>
    <row r="44" spans="1:11" s="337" customFormat="1" ht="12.75" customHeight="1" thickBot="1">
      <c r="A44" s="343" t="s">
        <v>12</v>
      </c>
      <c r="B44" s="344" t="s">
        <v>494</v>
      </c>
      <c r="C44" s="360">
        <f aca="true" t="shared" si="8" ref="C44:J44">+C39+C40</f>
        <v>87471590</v>
      </c>
      <c r="D44" s="79">
        <f t="shared" si="8"/>
        <v>8349821</v>
      </c>
      <c r="E44" s="79">
        <f t="shared" si="8"/>
        <v>3559553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11909374</v>
      </c>
      <c r="K44" s="112">
        <f>+K39+K40</f>
        <v>99380964</v>
      </c>
    </row>
    <row r="45" spans="1:11" s="331" customFormat="1" ht="13.5" customHeight="1" thickBot="1">
      <c r="A45" s="528" t="s">
        <v>36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6"/>
    </row>
    <row r="46" spans="1:11" s="345" customFormat="1" ht="12" customHeight="1" thickBot="1">
      <c r="A46" s="338" t="s">
        <v>3</v>
      </c>
      <c r="B46" s="47" t="s">
        <v>495</v>
      </c>
      <c r="C46" s="365">
        <f aca="true" t="shared" si="9" ref="C46:J46">SUM(C47:C51)</f>
        <v>86709590</v>
      </c>
      <c r="D46" s="365">
        <f t="shared" si="9"/>
        <v>7579906</v>
      </c>
      <c r="E46" s="365">
        <f t="shared" si="9"/>
        <v>3559553</v>
      </c>
      <c r="F46" s="365">
        <f t="shared" si="9"/>
        <v>0</v>
      </c>
      <c r="G46" s="365">
        <f t="shared" si="9"/>
        <v>0</v>
      </c>
      <c r="H46" s="365">
        <f t="shared" si="9"/>
        <v>0</v>
      </c>
      <c r="I46" s="365">
        <f t="shared" si="9"/>
        <v>0</v>
      </c>
      <c r="J46" s="365">
        <f t="shared" si="9"/>
        <v>11139459</v>
      </c>
      <c r="K46" s="333">
        <f>SUM(K47:K51)</f>
        <v>97849049</v>
      </c>
    </row>
    <row r="47" spans="1:11" ht="12" customHeight="1">
      <c r="A47" s="336" t="s">
        <v>58</v>
      </c>
      <c r="B47" s="6" t="s">
        <v>32</v>
      </c>
      <c r="C47" s="470">
        <v>53980113</v>
      </c>
      <c r="D47" s="470">
        <v>6439443</v>
      </c>
      <c r="E47" s="470">
        <v>2852972</v>
      </c>
      <c r="F47" s="470"/>
      <c r="G47" s="470"/>
      <c r="H47" s="470"/>
      <c r="I47" s="470"/>
      <c r="J47" s="490">
        <f>D47+E47+F47+G47+H47+I47</f>
        <v>9292415</v>
      </c>
      <c r="K47" s="370">
        <f>C47+J47</f>
        <v>63272528</v>
      </c>
    </row>
    <row r="48" spans="1:11" ht="12" customHeight="1">
      <c r="A48" s="336" t="s">
        <v>59</v>
      </c>
      <c r="B48" s="5" t="s">
        <v>101</v>
      </c>
      <c r="C48" s="471">
        <v>11199334</v>
      </c>
      <c r="D48" s="471">
        <v>1425799</v>
      </c>
      <c r="E48" s="471">
        <v>527752</v>
      </c>
      <c r="F48" s="471"/>
      <c r="G48" s="471"/>
      <c r="H48" s="471"/>
      <c r="I48" s="471"/>
      <c r="J48" s="491">
        <f>D48+E48+F48+G48+H48+I48</f>
        <v>1953551</v>
      </c>
      <c r="K48" s="371">
        <f>C48+J48</f>
        <v>13152885</v>
      </c>
    </row>
    <row r="49" spans="1:11" ht="12" customHeight="1">
      <c r="A49" s="336" t="s">
        <v>60</v>
      </c>
      <c r="B49" s="5" t="s">
        <v>77</v>
      </c>
      <c r="C49" s="471">
        <v>21530143</v>
      </c>
      <c r="D49" s="471">
        <v>-285336</v>
      </c>
      <c r="E49" s="471">
        <v>178829</v>
      </c>
      <c r="F49" s="471"/>
      <c r="G49" s="471"/>
      <c r="H49" s="471"/>
      <c r="I49" s="471"/>
      <c r="J49" s="491">
        <f>D49+E49+F49+G49+H49+I49</f>
        <v>-106507</v>
      </c>
      <c r="K49" s="371">
        <f>C49+J49</f>
        <v>21423636</v>
      </c>
    </row>
    <row r="50" spans="1:11" ht="12" customHeight="1">
      <c r="A50" s="336" t="s">
        <v>61</v>
      </c>
      <c r="B50" s="5" t="s">
        <v>102</v>
      </c>
      <c r="C50" s="471"/>
      <c r="D50" s="471"/>
      <c r="E50" s="471"/>
      <c r="F50" s="471"/>
      <c r="G50" s="471"/>
      <c r="H50" s="471"/>
      <c r="I50" s="471"/>
      <c r="J50" s="491">
        <f>D50+E50+F50+G50+H50+I50</f>
        <v>0</v>
      </c>
      <c r="K50" s="371">
        <f>C50+J50</f>
        <v>0</v>
      </c>
    </row>
    <row r="51" spans="1:11" ht="12" customHeight="1" thickBot="1">
      <c r="A51" s="336" t="s">
        <v>78</v>
      </c>
      <c r="B51" s="5" t="s">
        <v>103</v>
      </c>
      <c r="C51" s="471"/>
      <c r="D51" s="471"/>
      <c r="E51" s="471"/>
      <c r="F51" s="471"/>
      <c r="G51" s="471"/>
      <c r="H51" s="471"/>
      <c r="I51" s="471"/>
      <c r="J51" s="491">
        <f>D51+E51+F51+G51+H51+I51</f>
        <v>0</v>
      </c>
      <c r="K51" s="371">
        <f>C51+J51</f>
        <v>0</v>
      </c>
    </row>
    <row r="52" spans="1:11" ht="12" customHeight="1" thickBot="1">
      <c r="A52" s="338" t="s">
        <v>4</v>
      </c>
      <c r="B52" s="47" t="s">
        <v>496</v>
      </c>
      <c r="C52" s="365">
        <f aca="true" t="shared" si="10" ref="C52:J52">SUM(C53:C55)</f>
        <v>762000</v>
      </c>
      <c r="D52" s="365">
        <f t="shared" si="10"/>
        <v>769915</v>
      </c>
      <c r="E52" s="365">
        <f t="shared" si="10"/>
        <v>0</v>
      </c>
      <c r="F52" s="365">
        <f t="shared" si="10"/>
        <v>0</v>
      </c>
      <c r="G52" s="365">
        <f t="shared" si="10"/>
        <v>0</v>
      </c>
      <c r="H52" s="365">
        <f t="shared" si="10"/>
        <v>0</v>
      </c>
      <c r="I52" s="365">
        <f t="shared" si="10"/>
        <v>0</v>
      </c>
      <c r="J52" s="365">
        <f t="shared" si="10"/>
        <v>769915</v>
      </c>
      <c r="K52" s="333">
        <f>SUM(K53:K55)</f>
        <v>1531915</v>
      </c>
    </row>
    <row r="53" spans="1:11" s="345" customFormat="1" ht="12" customHeight="1">
      <c r="A53" s="336" t="s">
        <v>64</v>
      </c>
      <c r="B53" s="6" t="s">
        <v>119</v>
      </c>
      <c r="C53" s="470">
        <v>762000</v>
      </c>
      <c r="D53" s="470">
        <v>769915</v>
      </c>
      <c r="E53" s="470"/>
      <c r="F53" s="470"/>
      <c r="G53" s="470"/>
      <c r="H53" s="470"/>
      <c r="I53" s="470"/>
      <c r="J53" s="490">
        <f>D53+E53+F53+G53+H53+I53</f>
        <v>769915</v>
      </c>
      <c r="K53" s="370">
        <f>C53+J53</f>
        <v>1531915</v>
      </c>
    </row>
    <row r="54" spans="1:11" ht="12" customHeight="1">
      <c r="A54" s="336" t="s">
        <v>65</v>
      </c>
      <c r="B54" s="5" t="s">
        <v>105</v>
      </c>
      <c r="C54" s="471"/>
      <c r="D54" s="471"/>
      <c r="E54" s="471"/>
      <c r="F54" s="471"/>
      <c r="G54" s="471"/>
      <c r="H54" s="471"/>
      <c r="I54" s="471"/>
      <c r="J54" s="490"/>
      <c r="K54" s="371">
        <f>C54+J54</f>
        <v>0</v>
      </c>
    </row>
    <row r="55" spans="1:11" ht="12" customHeight="1">
      <c r="A55" s="336" t="s">
        <v>66</v>
      </c>
      <c r="B55" s="5" t="s">
        <v>497</v>
      </c>
      <c r="C55" s="471"/>
      <c r="D55" s="471"/>
      <c r="E55" s="471"/>
      <c r="F55" s="471"/>
      <c r="G55" s="471"/>
      <c r="H55" s="471"/>
      <c r="I55" s="471"/>
      <c r="J55" s="490"/>
      <c r="K55" s="371">
        <f>C55+J55</f>
        <v>0</v>
      </c>
    </row>
    <row r="56" spans="1:11" ht="12" customHeight="1" thickBot="1">
      <c r="A56" s="336" t="s">
        <v>67</v>
      </c>
      <c r="B56" s="5" t="s">
        <v>498</v>
      </c>
      <c r="C56" s="471"/>
      <c r="D56" s="471"/>
      <c r="E56" s="471"/>
      <c r="F56" s="471"/>
      <c r="G56" s="471"/>
      <c r="H56" s="471"/>
      <c r="I56" s="471"/>
      <c r="J56" s="490"/>
      <c r="K56" s="371">
        <f>C56+J56</f>
        <v>0</v>
      </c>
    </row>
    <row r="57" spans="1:11" ht="12" customHeight="1" thickBot="1">
      <c r="A57" s="338" t="s">
        <v>5</v>
      </c>
      <c r="B57" s="47" t="s">
        <v>499</v>
      </c>
      <c r="C57" s="411"/>
      <c r="D57" s="411"/>
      <c r="E57" s="411"/>
      <c r="F57" s="411"/>
      <c r="G57" s="411"/>
      <c r="H57" s="411"/>
      <c r="I57" s="411"/>
      <c r="J57" s="365">
        <f>D57+E57+F57+G57+H57+I57</f>
        <v>0</v>
      </c>
      <c r="K57" s="333">
        <f>C57+J57</f>
        <v>0</v>
      </c>
    </row>
    <row r="58" spans="1:11" ht="12.75" customHeight="1" thickBot="1">
      <c r="A58" s="338" t="s">
        <v>6</v>
      </c>
      <c r="B58" s="346" t="s">
        <v>500</v>
      </c>
      <c r="C58" s="368">
        <f aca="true" t="shared" si="11" ref="C58:J58">+C46+C52+C57</f>
        <v>87471590</v>
      </c>
      <c r="D58" s="368">
        <f t="shared" si="11"/>
        <v>8349821</v>
      </c>
      <c r="E58" s="368">
        <f t="shared" si="11"/>
        <v>3559553</v>
      </c>
      <c r="F58" s="368">
        <f t="shared" si="11"/>
        <v>0</v>
      </c>
      <c r="G58" s="368">
        <f t="shared" si="11"/>
        <v>0</v>
      </c>
      <c r="H58" s="368">
        <f t="shared" si="11"/>
        <v>0</v>
      </c>
      <c r="I58" s="368">
        <f t="shared" si="11"/>
        <v>0</v>
      </c>
      <c r="J58" s="368">
        <f t="shared" si="11"/>
        <v>11909374</v>
      </c>
      <c r="K58" s="347">
        <f>+K46+K52+K57</f>
        <v>99380964</v>
      </c>
    </row>
    <row r="59" spans="3:11" ht="13.5" customHeight="1" thickBot="1">
      <c r="C59" s="427">
        <f>C44-C58</f>
        <v>0</v>
      </c>
      <c r="D59" s="428"/>
      <c r="E59" s="428"/>
      <c r="F59" s="428"/>
      <c r="G59" s="428"/>
      <c r="H59" s="428"/>
      <c r="I59" s="428"/>
      <c r="J59" s="428"/>
      <c r="K59" s="421">
        <f>K44-K58</f>
        <v>0</v>
      </c>
    </row>
    <row r="60" spans="1:11" ht="12.75" customHeight="1" thickBot="1">
      <c r="A60" s="65" t="s">
        <v>367</v>
      </c>
      <c r="B60" s="66"/>
      <c r="C60" s="384">
        <v>13</v>
      </c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13</v>
      </c>
    </row>
    <row r="61" spans="1:11" ht="12.75" customHeight="1" thickBot="1">
      <c r="A61" s="65" t="s">
        <v>116</v>
      </c>
      <c r="B61" s="66"/>
      <c r="C61" s="384"/>
      <c r="D61" s="384"/>
      <c r="E61" s="384"/>
      <c r="F61" s="384"/>
      <c r="G61" s="384"/>
      <c r="H61" s="384"/>
      <c r="I61" s="384"/>
      <c r="J61" s="369">
        <f>D61+E61+F61+G61+H61+I61</f>
        <v>0</v>
      </c>
      <c r="K61" s="372">
        <f>C61+J61</f>
        <v>0</v>
      </c>
    </row>
  </sheetData>
  <sheetProtection formatCells="0"/>
  <mergeCells count="15">
    <mergeCell ref="F5:F7"/>
    <mergeCell ref="H5:H7"/>
    <mergeCell ref="I5:I7"/>
    <mergeCell ref="J5:J7"/>
    <mergeCell ref="G5:G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28">
      <selection activeCell="E48" sqref="E48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CONCATENATE("5.3. melléklet ",RM_ALAPADATOK!A7," ",RM_ALAPADATOK!B7," ",RM_ALAPADATOK!C7," ",RM_ALAPADATOK!D7," ",RM_ALAPADATOK!E7," ",RM_ALAPADATOK!F7," ",RM_ALAPADATOK!G7," ",RM_ALAPADATOK!H7)</f>
        <v>5.3. melléklet a  / 2019 ( … ) önkormányzati rendelethez</v>
      </c>
    </row>
    <row r="2" spans="1:11" s="328" customFormat="1" ht="36">
      <c r="A2" s="387" t="s">
        <v>474</v>
      </c>
      <c r="B2" s="550" t="str">
        <f>CONCATENATE(RM_ALAPADATOK!B13)</f>
        <v>Tiszaszőlősi Cseperedő Óvoda</v>
      </c>
      <c r="C2" s="551"/>
      <c r="D2" s="551"/>
      <c r="E2" s="551"/>
      <c r="F2" s="551"/>
      <c r="G2" s="551"/>
      <c r="H2" s="551"/>
      <c r="I2" s="551"/>
      <c r="J2" s="551"/>
      <c r="K2" s="388" t="s">
        <v>38</v>
      </c>
    </row>
    <row r="3" spans="1:11" s="328" customFormat="1" ht="22.5" customHeight="1" thickBot="1">
      <c r="A3" s="389" t="s">
        <v>114</v>
      </c>
      <c r="B3" s="552" t="s">
        <v>504</v>
      </c>
      <c r="C3" s="553"/>
      <c r="D3" s="553"/>
      <c r="E3" s="553"/>
      <c r="F3" s="553"/>
      <c r="G3" s="553"/>
      <c r="H3" s="553"/>
      <c r="I3" s="553"/>
      <c r="J3" s="553"/>
      <c r="K3" s="390" t="s">
        <v>34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">
        <v>633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360000</v>
      </c>
      <c r="D10" s="79">
        <f aca="true" t="shared" si="0" ref="D10:K10">SUM(D11:D21)</f>
        <v>100000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100000</v>
      </c>
      <c r="K10" s="79">
        <f t="shared" si="0"/>
        <v>460000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>
        <v>360000</v>
      </c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360000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>
        <v>100000</v>
      </c>
      <c r="E21" s="375"/>
      <c r="F21" s="375"/>
      <c r="G21" s="375"/>
      <c r="H21" s="375"/>
      <c r="I21" s="375"/>
      <c r="J21" s="359">
        <f t="shared" si="1"/>
        <v>100000</v>
      </c>
      <c r="K21" s="355">
        <f t="shared" si="2"/>
        <v>100000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152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154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360000</v>
      </c>
      <c r="D38" s="79">
        <f t="shared" si="6"/>
        <v>100000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100000</v>
      </c>
      <c r="K38" s="112">
        <f t="shared" si="6"/>
        <v>460000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54237191</v>
      </c>
      <c r="D39" s="79">
        <f t="shared" si="7"/>
        <v>122924</v>
      </c>
      <c r="E39" s="79">
        <f t="shared" si="7"/>
        <v>1277000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1399924</v>
      </c>
      <c r="K39" s="112">
        <f>+K40+K41+K42</f>
        <v>55637115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>
        <v>122924</v>
      </c>
      <c r="E40" s="378"/>
      <c r="F40" s="378"/>
      <c r="G40" s="378"/>
      <c r="H40" s="378"/>
      <c r="I40" s="378"/>
      <c r="J40" s="361">
        <f>D40+E40+F40+G40+H40+I40</f>
        <v>122924</v>
      </c>
      <c r="K40" s="355">
        <f>C40+J40</f>
        <v>122924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>
        <v>54237191</v>
      </c>
      <c r="D42" s="381"/>
      <c r="E42" s="381">
        <v>1277000</v>
      </c>
      <c r="F42" s="381"/>
      <c r="G42" s="381"/>
      <c r="H42" s="381"/>
      <c r="I42" s="381"/>
      <c r="J42" s="361">
        <f>D42+E42+F42+G42+H42+I42</f>
        <v>1277000</v>
      </c>
      <c r="K42" s="356">
        <f>C42+J42</f>
        <v>55514191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54597191</v>
      </c>
      <c r="D43" s="79">
        <f t="shared" si="8"/>
        <v>222924</v>
      </c>
      <c r="E43" s="79">
        <f t="shared" si="8"/>
        <v>1277000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1499924</v>
      </c>
      <c r="K43" s="112">
        <f>+K38+K39</f>
        <v>56097115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54406691</v>
      </c>
      <c r="D45" s="365">
        <f t="shared" si="9"/>
        <v>222924</v>
      </c>
      <c r="E45" s="365">
        <f t="shared" si="9"/>
        <v>1277000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1499924</v>
      </c>
      <c r="K45" s="333">
        <f>SUM(K46:K50)</f>
        <v>55906615</v>
      </c>
    </row>
    <row r="46" spans="1:11" ht="12" customHeight="1">
      <c r="A46" s="336" t="s">
        <v>58</v>
      </c>
      <c r="B46" s="6" t="s">
        <v>32</v>
      </c>
      <c r="C46" s="470">
        <v>35644955</v>
      </c>
      <c r="D46" s="470"/>
      <c r="E46" s="470">
        <v>1086809</v>
      </c>
      <c r="F46" s="470"/>
      <c r="G46" s="470"/>
      <c r="H46" s="470"/>
      <c r="I46" s="470"/>
      <c r="J46" s="366">
        <f>D46+E46+F46+G46+H46+I46</f>
        <v>1086809</v>
      </c>
      <c r="K46" s="370">
        <f>C46+J46</f>
        <v>36731764</v>
      </c>
    </row>
    <row r="47" spans="1:11" ht="12" customHeight="1">
      <c r="A47" s="336" t="s">
        <v>59</v>
      </c>
      <c r="B47" s="5" t="s">
        <v>101</v>
      </c>
      <c r="C47" s="471">
        <v>6974969</v>
      </c>
      <c r="D47" s="471"/>
      <c r="E47" s="471">
        <v>190191</v>
      </c>
      <c r="F47" s="471"/>
      <c r="G47" s="471"/>
      <c r="H47" s="471"/>
      <c r="I47" s="471"/>
      <c r="J47" s="367">
        <f>D47+E47+F47+G47+H47+I47</f>
        <v>190191</v>
      </c>
      <c r="K47" s="371">
        <f>C47+J47</f>
        <v>7165160</v>
      </c>
    </row>
    <row r="48" spans="1:11" ht="12" customHeight="1">
      <c r="A48" s="336" t="s">
        <v>60</v>
      </c>
      <c r="B48" s="5" t="s">
        <v>77</v>
      </c>
      <c r="C48" s="471">
        <v>11786767</v>
      </c>
      <c r="D48" s="471">
        <v>222924</v>
      </c>
      <c r="E48" s="471"/>
      <c r="F48" s="471"/>
      <c r="G48" s="471"/>
      <c r="H48" s="471"/>
      <c r="I48" s="471"/>
      <c r="J48" s="367">
        <f>D48+E48+F48+G48+H48+I48</f>
        <v>222924</v>
      </c>
      <c r="K48" s="371">
        <f>C48+J48</f>
        <v>12009691</v>
      </c>
    </row>
    <row r="49" spans="1:11" ht="12" customHeight="1">
      <c r="A49" s="336" t="s">
        <v>61</v>
      </c>
      <c r="B49" s="5" t="s">
        <v>102</v>
      </c>
      <c r="C49" s="471"/>
      <c r="D49" s="471"/>
      <c r="E49" s="471"/>
      <c r="F49" s="471"/>
      <c r="G49" s="471"/>
      <c r="H49" s="471"/>
      <c r="I49" s="471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471"/>
      <c r="D50" s="471"/>
      <c r="E50" s="471"/>
      <c r="F50" s="471"/>
      <c r="G50" s="471"/>
      <c r="H50" s="471"/>
      <c r="I50" s="471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190500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190500</v>
      </c>
    </row>
    <row r="52" spans="1:11" s="345" customFormat="1" ht="12" customHeight="1">
      <c r="A52" s="336" t="s">
        <v>64</v>
      </c>
      <c r="B52" s="6" t="s">
        <v>119</v>
      </c>
      <c r="C52" s="382">
        <v>190500</v>
      </c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190500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54597191</v>
      </c>
      <c r="D57" s="368">
        <f t="shared" si="11"/>
        <v>222924</v>
      </c>
      <c r="E57" s="368">
        <f t="shared" si="11"/>
        <v>1277000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1499924</v>
      </c>
      <c r="K57" s="347">
        <f>+K45+K51+K56</f>
        <v>56097115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>
        <v>11</v>
      </c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11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25">
      <selection activeCell="E48" sqref="E48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CONCATENATE("5.3.1. melléklet ",RM_ALAPADATOK!A7," ",RM_ALAPADATOK!B7," ",RM_ALAPADATOK!C7," ",RM_ALAPADATOK!D7," ",RM_ALAPADATOK!E7," ",RM_ALAPADATOK!F7," ",RM_ALAPADATOK!G7," ",RM_ALAPADATOK!H7)</f>
        <v>5.3.1. melléklet a  / 2019 ( … ) önkormányzati rendelethez</v>
      </c>
    </row>
    <row r="2" spans="1:11" s="328" customFormat="1" ht="36">
      <c r="A2" s="387" t="s">
        <v>474</v>
      </c>
      <c r="B2" s="550" t="str">
        <f>CONCATENATE('RM_5.3.sz.mell'!B2:J2)</f>
        <v>Tiszaszőlősi Cseperedő Óvoda</v>
      </c>
      <c r="C2" s="551"/>
      <c r="D2" s="551"/>
      <c r="E2" s="551"/>
      <c r="F2" s="551"/>
      <c r="G2" s="551"/>
      <c r="H2" s="551"/>
      <c r="I2" s="551"/>
      <c r="J2" s="551"/>
      <c r="K2" s="388" t="s">
        <v>38</v>
      </c>
    </row>
    <row r="3" spans="1:11" s="328" customFormat="1" ht="22.5" customHeight="1" thickBot="1">
      <c r="A3" s="389" t="s">
        <v>114</v>
      </c>
      <c r="B3" s="552" t="str">
        <f>CONCATENATE('RM_5.1.1.sz.mell'!B3:J3)</f>
        <v>Kötelező feladtok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37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CONCATENATE('RM_5.3.sz.mell'!K5)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360000</v>
      </c>
      <c r="D10" s="79">
        <f aca="true" t="shared" si="0" ref="D10:K10">SUM(D11:D21)</f>
        <v>100000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100000</v>
      </c>
      <c r="K10" s="79">
        <f t="shared" si="0"/>
        <v>460000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>
        <v>360000</v>
      </c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360000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>
        <v>100000</v>
      </c>
      <c r="E21" s="375"/>
      <c r="F21" s="375"/>
      <c r="G21" s="375"/>
      <c r="H21" s="375"/>
      <c r="I21" s="375"/>
      <c r="J21" s="359">
        <f t="shared" si="1"/>
        <v>100000</v>
      </c>
      <c r="K21" s="355">
        <f t="shared" si="2"/>
        <v>100000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152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154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360000</v>
      </c>
      <c r="D38" s="79">
        <f t="shared" si="6"/>
        <v>100000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100000</v>
      </c>
      <c r="K38" s="112">
        <f t="shared" si="6"/>
        <v>460000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54237191</v>
      </c>
      <c r="D39" s="79">
        <f t="shared" si="7"/>
        <v>122924</v>
      </c>
      <c r="E39" s="79">
        <f t="shared" si="7"/>
        <v>1277000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1399924</v>
      </c>
      <c r="K39" s="112">
        <f>+K40+K41+K42</f>
        <v>55637115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>
        <v>122924</v>
      </c>
      <c r="E40" s="378"/>
      <c r="F40" s="378"/>
      <c r="G40" s="378"/>
      <c r="H40" s="378"/>
      <c r="I40" s="378"/>
      <c r="J40" s="361">
        <f>D40+E40+F40+G40+H40+I40</f>
        <v>122924</v>
      </c>
      <c r="K40" s="355">
        <f>C40+J40</f>
        <v>122924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>
        <v>54237191</v>
      </c>
      <c r="D42" s="381"/>
      <c r="E42" s="381">
        <v>1277000</v>
      </c>
      <c r="F42" s="381"/>
      <c r="G42" s="381"/>
      <c r="H42" s="381"/>
      <c r="I42" s="381"/>
      <c r="J42" s="361">
        <f>D42+E42+F42+G42+H42+I42</f>
        <v>1277000</v>
      </c>
      <c r="K42" s="356">
        <f>C42+J42</f>
        <v>55514191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54597191</v>
      </c>
      <c r="D43" s="79">
        <f t="shared" si="8"/>
        <v>222924</v>
      </c>
      <c r="E43" s="79">
        <f t="shared" si="8"/>
        <v>1277000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1499924</v>
      </c>
      <c r="K43" s="112">
        <f>+K38+K39</f>
        <v>56097115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54406691</v>
      </c>
      <c r="D45" s="365">
        <f t="shared" si="9"/>
        <v>222924</v>
      </c>
      <c r="E45" s="365">
        <f t="shared" si="9"/>
        <v>1277000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1499924</v>
      </c>
      <c r="K45" s="333">
        <f>SUM(K46:K50)</f>
        <v>55906615</v>
      </c>
    </row>
    <row r="46" spans="1:11" ht="12" customHeight="1">
      <c r="A46" s="336" t="s">
        <v>58</v>
      </c>
      <c r="B46" s="6" t="s">
        <v>32</v>
      </c>
      <c r="C46" s="470">
        <v>35644955</v>
      </c>
      <c r="D46" s="470"/>
      <c r="E46" s="470">
        <v>1086809</v>
      </c>
      <c r="F46" s="470"/>
      <c r="G46" s="470"/>
      <c r="H46" s="470"/>
      <c r="I46" s="470"/>
      <c r="J46" s="366">
        <f>D46+E46+F46+G46+H46+I46</f>
        <v>1086809</v>
      </c>
      <c r="K46" s="370">
        <f>C46+J46</f>
        <v>36731764</v>
      </c>
    </row>
    <row r="47" spans="1:11" ht="12" customHeight="1">
      <c r="A47" s="336" t="s">
        <v>59</v>
      </c>
      <c r="B47" s="5" t="s">
        <v>101</v>
      </c>
      <c r="C47" s="471">
        <v>6974969</v>
      </c>
      <c r="D47" s="471"/>
      <c r="E47" s="471">
        <v>190191</v>
      </c>
      <c r="F47" s="471"/>
      <c r="G47" s="471"/>
      <c r="H47" s="471"/>
      <c r="I47" s="471"/>
      <c r="J47" s="367">
        <f>D47+E47+F47+G47+H47+I47</f>
        <v>190191</v>
      </c>
      <c r="K47" s="371">
        <f>C47+J47</f>
        <v>7165160</v>
      </c>
    </row>
    <row r="48" spans="1:11" ht="12" customHeight="1">
      <c r="A48" s="336" t="s">
        <v>60</v>
      </c>
      <c r="B48" s="5" t="s">
        <v>77</v>
      </c>
      <c r="C48" s="471">
        <v>11786767</v>
      </c>
      <c r="D48" s="471">
        <v>222924</v>
      </c>
      <c r="E48" s="471"/>
      <c r="F48" s="471"/>
      <c r="G48" s="471"/>
      <c r="H48" s="471"/>
      <c r="I48" s="471"/>
      <c r="J48" s="367">
        <f>D48+E48+F48+G48+H48+I48</f>
        <v>222924</v>
      </c>
      <c r="K48" s="371">
        <f>C48+J48</f>
        <v>12009691</v>
      </c>
    </row>
    <row r="49" spans="1:11" ht="12" customHeight="1">
      <c r="A49" s="336" t="s">
        <v>61</v>
      </c>
      <c r="B49" s="5" t="s">
        <v>102</v>
      </c>
      <c r="C49" s="471"/>
      <c r="D49" s="471"/>
      <c r="E49" s="471"/>
      <c r="F49" s="471"/>
      <c r="G49" s="471"/>
      <c r="H49" s="471"/>
      <c r="I49" s="471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471"/>
      <c r="D50" s="471"/>
      <c r="E50" s="471"/>
      <c r="F50" s="471"/>
      <c r="G50" s="471"/>
      <c r="H50" s="471"/>
      <c r="I50" s="471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472">
        <f aca="true" t="shared" si="10" ref="C51:J51">SUM(C52:C54)</f>
        <v>190500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190500</v>
      </c>
    </row>
    <row r="52" spans="1:11" s="345" customFormat="1" ht="12" customHeight="1">
      <c r="A52" s="336" t="s">
        <v>64</v>
      </c>
      <c r="B52" s="6" t="s">
        <v>119</v>
      </c>
      <c r="C52" s="470">
        <v>190500</v>
      </c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190500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54597191</v>
      </c>
      <c r="D57" s="368">
        <f t="shared" si="11"/>
        <v>222924</v>
      </c>
      <c r="E57" s="368">
        <f t="shared" si="11"/>
        <v>1277000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1499924</v>
      </c>
      <c r="K57" s="347">
        <f>+K45+K51+K56</f>
        <v>56097115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>
        <v>11</v>
      </c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11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K5" sqref="K5:K7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CONCATENATE("5.3.2. melléklet ",RM_ALAPADATOK!A7," ",RM_ALAPADATOK!B7," ",RM_ALAPADATOK!C7," ",RM_ALAPADATOK!D7," ",RM_ALAPADATOK!E7," ",RM_ALAPADATOK!F7," ",RM_ALAPADATOK!G7," ",RM_ALAPADATOK!H7)</f>
        <v>5.3.2. melléklet a  / 2019 ( … ) önkormányzati rendelethez</v>
      </c>
    </row>
    <row r="2" spans="1:11" s="328" customFormat="1" ht="36">
      <c r="A2" s="387" t="s">
        <v>474</v>
      </c>
      <c r="B2" s="550" t="str">
        <f>CONCATENATE('RM_5.3.1.sz.mell'!B2:J2)</f>
        <v>Tiszaszőlősi Cseperedő Óvoda</v>
      </c>
      <c r="C2" s="551"/>
      <c r="D2" s="551"/>
      <c r="E2" s="551"/>
      <c r="F2" s="551"/>
      <c r="G2" s="551"/>
      <c r="H2" s="551"/>
      <c r="I2" s="551"/>
      <c r="J2" s="551"/>
      <c r="K2" s="388" t="s">
        <v>38</v>
      </c>
    </row>
    <row r="3" spans="1:11" s="328" customFormat="1" ht="22.5" customHeight="1" thickBot="1">
      <c r="A3" s="389" t="s">
        <v>114</v>
      </c>
      <c r="B3" s="552" t="str">
        <f>CONCATENATE('RM_5.1.2.sz.mell'!B3:J3)</f>
        <v>Önként vállalt feladatok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38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CONCATENATE('RM_5.3.1.sz.mell'!K5)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153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154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155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/>
      <c r="E40" s="378"/>
      <c r="F40" s="378"/>
      <c r="G40" s="378"/>
      <c r="H40" s="378"/>
      <c r="I40" s="378"/>
      <c r="J40" s="361">
        <f>D40+E40+F40+G40+H40+I40</f>
        <v>0</v>
      </c>
      <c r="K40" s="355">
        <f>C40+J40</f>
        <v>0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/>
      <c r="D42" s="381"/>
      <c r="E42" s="381"/>
      <c r="F42" s="381"/>
      <c r="G42" s="381"/>
      <c r="H42" s="381"/>
      <c r="I42" s="381"/>
      <c r="J42" s="361">
        <f>D42+E42+F42+G42+H42+I42</f>
        <v>0</v>
      </c>
      <c r="K42" s="356">
        <f>C42+J42</f>
        <v>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0</v>
      </c>
      <c r="D45" s="365">
        <f t="shared" si="9"/>
        <v>0</v>
      </c>
      <c r="E45" s="365">
        <f t="shared" si="9"/>
        <v>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0</v>
      </c>
      <c r="K45" s="333">
        <f>SUM(K46:K50)</f>
        <v>0</v>
      </c>
    </row>
    <row r="46" spans="1:11" ht="12" customHeight="1">
      <c r="A46" s="336" t="s">
        <v>58</v>
      </c>
      <c r="B46" s="6" t="s">
        <v>32</v>
      </c>
      <c r="C46" s="382"/>
      <c r="D46" s="382"/>
      <c r="E46" s="382"/>
      <c r="F46" s="382"/>
      <c r="G46" s="382"/>
      <c r="H46" s="382"/>
      <c r="I46" s="382"/>
      <c r="J46" s="366">
        <f>D46+E46+F46+G46+H46+I46</f>
        <v>0</v>
      </c>
      <c r="K46" s="370">
        <f>C46+J46</f>
        <v>0</v>
      </c>
    </row>
    <row r="47" spans="1:11" ht="12" customHeight="1">
      <c r="A47" s="336" t="s">
        <v>59</v>
      </c>
      <c r="B47" s="5" t="s">
        <v>101</v>
      </c>
      <c r="C47" s="383"/>
      <c r="D47" s="383"/>
      <c r="E47" s="383"/>
      <c r="F47" s="383"/>
      <c r="G47" s="383"/>
      <c r="H47" s="383"/>
      <c r="I47" s="383"/>
      <c r="J47" s="367">
        <f>D47+E47+F47+G47+H47+I47</f>
        <v>0</v>
      </c>
      <c r="K47" s="371">
        <f>C47+J47</f>
        <v>0</v>
      </c>
    </row>
    <row r="48" spans="1:11" ht="12" customHeight="1">
      <c r="A48" s="336" t="s">
        <v>60</v>
      </c>
      <c r="B48" s="5" t="s">
        <v>77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61</v>
      </c>
      <c r="B49" s="5" t="s">
        <v>102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0</v>
      </c>
      <c r="D57" s="368">
        <f t="shared" si="11"/>
        <v>0</v>
      </c>
      <c r="E57" s="368">
        <f t="shared" si="11"/>
        <v>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0</v>
      </c>
      <c r="K57" s="347">
        <f>+K45+K51+K56</f>
        <v>0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/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0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D20" sqref="D20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CONCATENATE("5.3.3. melléklet ",RM_ALAPADATOK!A7," ",RM_ALAPADATOK!B7," ",RM_ALAPADATOK!C7," ",RM_ALAPADATOK!D7," ",RM_ALAPADATOK!E7," ",RM_ALAPADATOK!F7," ",RM_ALAPADATOK!G7," ",RM_ALAPADATOK!H7)</f>
        <v>5.3.3. melléklet a  / 2019 ( … ) önkormányzati rendelethez</v>
      </c>
    </row>
    <row r="2" spans="1:11" s="328" customFormat="1" ht="36">
      <c r="A2" s="387" t="s">
        <v>474</v>
      </c>
      <c r="B2" s="550" t="str">
        <f>CONCATENATE('RM_5.3.2.sz.mell'!B2:J2)</f>
        <v>Tiszaszőlősi Cseperedő Óvoda</v>
      </c>
      <c r="C2" s="551"/>
      <c r="D2" s="551"/>
      <c r="E2" s="551"/>
      <c r="F2" s="551"/>
      <c r="G2" s="551"/>
      <c r="H2" s="551"/>
      <c r="I2" s="551"/>
      <c r="J2" s="551"/>
      <c r="K2" s="388" t="s">
        <v>38</v>
      </c>
    </row>
    <row r="3" spans="1:11" s="328" customFormat="1" ht="22.5" customHeight="1" thickBot="1">
      <c r="A3" s="389" t="s">
        <v>114</v>
      </c>
      <c r="B3" s="552" t="str">
        <f>CONCATENATE('RM_5.1.3.sz.mell'!B3:J3)</f>
        <v>Államigazgatási feladatok 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290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CONCATENATE('RM_5.3.2.sz.mell'!K5)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153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154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155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/>
      <c r="E40" s="378"/>
      <c r="F40" s="378"/>
      <c r="G40" s="378"/>
      <c r="H40" s="378"/>
      <c r="I40" s="378"/>
      <c r="J40" s="361">
        <f>D40+E40+F40+G40+H40+I40</f>
        <v>0</v>
      </c>
      <c r="K40" s="355">
        <f>C40+J40</f>
        <v>0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/>
      <c r="D42" s="381"/>
      <c r="E42" s="381"/>
      <c r="F42" s="381"/>
      <c r="G42" s="381"/>
      <c r="H42" s="381"/>
      <c r="I42" s="381"/>
      <c r="J42" s="361">
        <f>D42+E42+F42+G42+H42+I42</f>
        <v>0</v>
      </c>
      <c r="K42" s="356">
        <f>C42+J42</f>
        <v>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0</v>
      </c>
      <c r="D45" s="365">
        <f t="shared" si="9"/>
        <v>0</v>
      </c>
      <c r="E45" s="365">
        <f t="shared" si="9"/>
        <v>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0</v>
      </c>
      <c r="K45" s="333">
        <f>SUM(K46:K50)</f>
        <v>0</v>
      </c>
    </row>
    <row r="46" spans="1:11" ht="12" customHeight="1">
      <c r="A46" s="336" t="s">
        <v>58</v>
      </c>
      <c r="B46" s="6" t="s">
        <v>32</v>
      </c>
      <c r="C46" s="382"/>
      <c r="D46" s="382"/>
      <c r="E46" s="382"/>
      <c r="F46" s="382"/>
      <c r="G46" s="382"/>
      <c r="H46" s="382"/>
      <c r="I46" s="382"/>
      <c r="J46" s="366">
        <f>D46+E46+F46+G46+H46+I46</f>
        <v>0</v>
      </c>
      <c r="K46" s="370">
        <f>C46+J46</f>
        <v>0</v>
      </c>
    </row>
    <row r="47" spans="1:11" ht="12" customHeight="1">
      <c r="A47" s="336" t="s">
        <v>59</v>
      </c>
      <c r="B47" s="5" t="s">
        <v>101</v>
      </c>
      <c r="C47" s="383"/>
      <c r="D47" s="383"/>
      <c r="E47" s="383"/>
      <c r="F47" s="383"/>
      <c r="G47" s="383"/>
      <c r="H47" s="383"/>
      <c r="I47" s="383"/>
      <c r="J47" s="367">
        <f>D47+E47+F47+G47+H47+I47</f>
        <v>0</v>
      </c>
      <c r="K47" s="371">
        <f>C47+J47</f>
        <v>0</v>
      </c>
    </row>
    <row r="48" spans="1:11" ht="12" customHeight="1">
      <c r="A48" s="336" t="s">
        <v>60</v>
      </c>
      <c r="B48" s="5" t="s">
        <v>77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61</v>
      </c>
      <c r="B49" s="5" t="s">
        <v>102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0</v>
      </c>
      <c r="D57" s="368">
        <f t="shared" si="11"/>
        <v>0</v>
      </c>
      <c r="E57" s="368">
        <f t="shared" si="11"/>
        <v>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0</v>
      </c>
      <c r="K57" s="347">
        <f>+K45+K51+K56</f>
        <v>0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/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0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34">
      <selection activeCell="G54" sqref="G54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CONCATENATE("5.4. melléklet ",RM_ALAPADATOK!A7," ",RM_ALAPADATOK!B7," ",RM_ALAPADATOK!C7," ",RM_ALAPADATOK!D7," ",RM_ALAPADATOK!E7," ",RM_ALAPADATOK!F7," ",RM_ALAPADATOK!G7," ",RM_ALAPADATOK!H7)</f>
        <v>5.4. melléklet a  / 2019 ( … ) önkormányzati rendelethez</v>
      </c>
    </row>
    <row r="2" spans="1:11" s="328" customFormat="1" ht="36">
      <c r="A2" s="387" t="s">
        <v>474</v>
      </c>
      <c r="B2" s="550" t="str">
        <f>CONCATENATE(RM_ALAPADATOK!B15)</f>
        <v>Községi Könyvtár és Szabadidőközpont</v>
      </c>
      <c r="C2" s="551"/>
      <c r="D2" s="551"/>
      <c r="E2" s="551"/>
      <c r="F2" s="551"/>
      <c r="G2" s="551"/>
      <c r="H2" s="551"/>
      <c r="I2" s="551"/>
      <c r="J2" s="551"/>
      <c r="K2" s="388" t="s">
        <v>290</v>
      </c>
    </row>
    <row r="3" spans="1:11" s="328" customFormat="1" ht="22.5" customHeight="1" thickBot="1">
      <c r="A3" s="389" t="s">
        <v>114</v>
      </c>
      <c r="B3" s="552" t="s">
        <v>504</v>
      </c>
      <c r="C3" s="553"/>
      <c r="D3" s="553"/>
      <c r="E3" s="553"/>
      <c r="F3" s="553"/>
      <c r="G3" s="553"/>
      <c r="H3" s="553"/>
      <c r="I3" s="553"/>
      <c r="J3" s="553"/>
      <c r="K3" s="390" t="s">
        <v>34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CONCATENATE('RM_5.3.3.sz.mell'!K5)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152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154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5430740</v>
      </c>
      <c r="D39" s="79">
        <f t="shared" si="7"/>
        <v>890193</v>
      </c>
      <c r="E39" s="79">
        <f t="shared" si="7"/>
        <v>64000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954193</v>
      </c>
      <c r="K39" s="112">
        <f>+K40+K41+K42</f>
        <v>6384933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>
        <v>490193</v>
      </c>
      <c r="E40" s="378"/>
      <c r="F40" s="378"/>
      <c r="G40" s="378"/>
      <c r="H40" s="378"/>
      <c r="I40" s="378"/>
      <c r="J40" s="361">
        <f>D40+E40+F40+G40+H40+I40</f>
        <v>490193</v>
      </c>
      <c r="K40" s="355">
        <f>C40+J40</f>
        <v>490193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>
        <v>5430740</v>
      </c>
      <c r="D42" s="381">
        <v>400000</v>
      </c>
      <c r="E42" s="381">
        <v>64000</v>
      </c>
      <c r="F42" s="381"/>
      <c r="G42" s="381"/>
      <c r="H42" s="381"/>
      <c r="I42" s="381"/>
      <c r="J42" s="361">
        <f>D42+E42+F42+G42+H42+I42</f>
        <v>464000</v>
      </c>
      <c r="K42" s="356">
        <f>C42+J42</f>
        <v>5894740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5430740</v>
      </c>
      <c r="D43" s="79">
        <f t="shared" si="8"/>
        <v>890193</v>
      </c>
      <c r="E43" s="79">
        <f t="shared" si="8"/>
        <v>64000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954193</v>
      </c>
      <c r="K43" s="112">
        <f>+K38+K39</f>
        <v>6384933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5430740</v>
      </c>
      <c r="D45" s="365">
        <f t="shared" si="9"/>
        <v>890193</v>
      </c>
      <c r="E45" s="365">
        <f t="shared" si="9"/>
        <v>64000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954193</v>
      </c>
      <c r="K45" s="333">
        <f>SUM(K46:K50)</f>
        <v>6384933</v>
      </c>
    </row>
    <row r="46" spans="1:11" ht="12" customHeight="1">
      <c r="A46" s="336" t="s">
        <v>58</v>
      </c>
      <c r="B46" s="6" t="s">
        <v>32</v>
      </c>
      <c r="C46" s="470">
        <v>2682000</v>
      </c>
      <c r="D46" s="382"/>
      <c r="E46" s="470">
        <v>54468</v>
      </c>
      <c r="F46" s="382"/>
      <c r="G46" s="382"/>
      <c r="H46" s="382"/>
      <c r="I46" s="382"/>
      <c r="J46" s="366">
        <f>D46+E46+F46+G46+H46+I46</f>
        <v>54468</v>
      </c>
      <c r="K46" s="370">
        <f>C46+J46</f>
        <v>2736468</v>
      </c>
    </row>
    <row r="47" spans="1:11" ht="12" customHeight="1">
      <c r="A47" s="336" t="s">
        <v>59</v>
      </c>
      <c r="B47" s="5" t="s">
        <v>101</v>
      </c>
      <c r="C47" s="471">
        <v>556490</v>
      </c>
      <c r="D47" s="383"/>
      <c r="E47" s="471">
        <v>9532</v>
      </c>
      <c r="F47" s="383"/>
      <c r="G47" s="383"/>
      <c r="H47" s="383"/>
      <c r="I47" s="383"/>
      <c r="J47" s="367">
        <f>D47+E47+F47+G47+H47+I47</f>
        <v>9532</v>
      </c>
      <c r="K47" s="371">
        <f>C47+J47</f>
        <v>566022</v>
      </c>
    </row>
    <row r="48" spans="1:11" ht="12" customHeight="1">
      <c r="A48" s="336" t="s">
        <v>60</v>
      </c>
      <c r="B48" s="5" t="s">
        <v>77</v>
      </c>
      <c r="C48" s="471">
        <v>2192250</v>
      </c>
      <c r="D48" s="383">
        <v>890193</v>
      </c>
      <c r="E48" s="383"/>
      <c r="F48" s="383"/>
      <c r="G48" s="383"/>
      <c r="H48" s="383"/>
      <c r="I48" s="383"/>
      <c r="J48" s="367">
        <f>D48+E48+F48+G48+H48+I48</f>
        <v>890193</v>
      </c>
      <c r="K48" s="371">
        <f>C48+J48</f>
        <v>3082443</v>
      </c>
    </row>
    <row r="49" spans="1:11" ht="12" customHeight="1">
      <c r="A49" s="336" t="s">
        <v>61</v>
      </c>
      <c r="B49" s="5" t="s">
        <v>102</v>
      </c>
      <c r="C49" s="471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5430740</v>
      </c>
      <c r="D57" s="368">
        <f t="shared" si="11"/>
        <v>890193</v>
      </c>
      <c r="E57" s="368">
        <f t="shared" si="11"/>
        <v>64000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954193</v>
      </c>
      <c r="K57" s="347">
        <f>+K45+K51+K56</f>
        <v>6384933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>
        <v>1</v>
      </c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1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31">
      <selection activeCell="E48" sqref="E48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CONCATENATE("5.4.1. melléklet ",RM_ALAPADATOK!A7," ",RM_ALAPADATOK!B7," ",RM_ALAPADATOK!C7," ",RM_ALAPADATOK!D7," ",RM_ALAPADATOK!E7," ",RM_ALAPADATOK!F7," ",RM_ALAPADATOK!G7," ",RM_ALAPADATOK!H7)</f>
        <v>5.4.1. melléklet a  / 2019 ( … ) önkormányzati rendelethez</v>
      </c>
    </row>
    <row r="2" spans="1:11" s="328" customFormat="1" ht="36">
      <c r="A2" s="387" t="s">
        <v>474</v>
      </c>
      <c r="B2" s="550" t="str">
        <f>CONCATENATE('RM_5.4.sz.mell'!B2:J2)</f>
        <v>Községi Könyvtár és Szabadidőközpont</v>
      </c>
      <c r="C2" s="551"/>
      <c r="D2" s="551"/>
      <c r="E2" s="551"/>
      <c r="F2" s="551"/>
      <c r="G2" s="551"/>
      <c r="H2" s="551"/>
      <c r="I2" s="551"/>
      <c r="J2" s="551"/>
      <c r="K2" s="388" t="s">
        <v>290</v>
      </c>
    </row>
    <row r="3" spans="1:11" s="328" customFormat="1" ht="22.5" customHeight="1" thickBot="1">
      <c r="A3" s="389" t="s">
        <v>114</v>
      </c>
      <c r="B3" s="552" t="str">
        <f>CONCATENATE('RM_5.1.1.sz.mell'!B3:J3)</f>
        <v>Kötelező feladtok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37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CONCATENATE('RM_5.4.sz.mell'!K5)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152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153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154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5430740</v>
      </c>
      <c r="D39" s="79">
        <f t="shared" si="7"/>
        <v>890193</v>
      </c>
      <c r="E39" s="79">
        <f t="shared" si="7"/>
        <v>64000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954193</v>
      </c>
      <c r="K39" s="112">
        <f>+K40+K41+K42</f>
        <v>6384933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>
        <v>490193</v>
      </c>
      <c r="E40" s="378"/>
      <c r="F40" s="378"/>
      <c r="G40" s="378"/>
      <c r="H40" s="378"/>
      <c r="I40" s="378"/>
      <c r="J40" s="361">
        <f>D40+E40+F40+G40+H40+I40</f>
        <v>490193</v>
      </c>
      <c r="K40" s="355">
        <f>C40+J40</f>
        <v>490193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>
        <v>5430740</v>
      </c>
      <c r="D42" s="381">
        <v>400000</v>
      </c>
      <c r="E42" s="381">
        <v>64000</v>
      </c>
      <c r="F42" s="381"/>
      <c r="G42" s="381"/>
      <c r="H42" s="381"/>
      <c r="I42" s="381"/>
      <c r="J42" s="361">
        <f>D42+E42+F42+G42+H42+I42</f>
        <v>464000</v>
      </c>
      <c r="K42" s="356">
        <f>C42+J42</f>
        <v>5894740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5430740</v>
      </c>
      <c r="D43" s="79">
        <f t="shared" si="8"/>
        <v>890193</v>
      </c>
      <c r="E43" s="79">
        <f t="shared" si="8"/>
        <v>64000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954193</v>
      </c>
      <c r="K43" s="112">
        <f>+K38+K39</f>
        <v>6384933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5430740</v>
      </c>
      <c r="D45" s="365">
        <f t="shared" si="9"/>
        <v>890193</v>
      </c>
      <c r="E45" s="365">
        <f t="shared" si="9"/>
        <v>64000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954193</v>
      </c>
      <c r="K45" s="333">
        <f>SUM(K46:K50)</f>
        <v>6384933</v>
      </c>
    </row>
    <row r="46" spans="1:11" ht="12" customHeight="1">
      <c r="A46" s="336" t="s">
        <v>58</v>
      </c>
      <c r="B46" s="6" t="s">
        <v>32</v>
      </c>
      <c r="C46" s="470">
        <v>2682000</v>
      </c>
      <c r="D46" s="382"/>
      <c r="E46" s="382">
        <v>54468</v>
      </c>
      <c r="F46" s="382"/>
      <c r="G46" s="382"/>
      <c r="H46" s="382"/>
      <c r="I46" s="382"/>
      <c r="J46" s="366">
        <f>D46+E46+F46+G46+H46+I46</f>
        <v>54468</v>
      </c>
      <c r="K46" s="370">
        <f>C46+J46</f>
        <v>2736468</v>
      </c>
    </row>
    <row r="47" spans="1:11" ht="12" customHeight="1">
      <c r="A47" s="336" t="s">
        <v>59</v>
      </c>
      <c r="B47" s="5" t="s">
        <v>101</v>
      </c>
      <c r="C47" s="471">
        <v>556490</v>
      </c>
      <c r="D47" s="383"/>
      <c r="E47" s="383">
        <v>9532</v>
      </c>
      <c r="F47" s="383"/>
      <c r="G47" s="383"/>
      <c r="H47" s="383"/>
      <c r="I47" s="383"/>
      <c r="J47" s="367">
        <f>D47+E47+F47+G47+H47+I47</f>
        <v>9532</v>
      </c>
      <c r="K47" s="371">
        <f>C47+J47</f>
        <v>566022</v>
      </c>
    </row>
    <row r="48" spans="1:11" ht="12" customHeight="1">
      <c r="A48" s="336" t="s">
        <v>60</v>
      </c>
      <c r="B48" s="5" t="s">
        <v>77</v>
      </c>
      <c r="C48" s="471">
        <v>2192250</v>
      </c>
      <c r="D48" s="383">
        <v>890193</v>
      </c>
      <c r="E48" s="383"/>
      <c r="F48" s="383"/>
      <c r="G48" s="383"/>
      <c r="H48" s="383"/>
      <c r="I48" s="383"/>
      <c r="J48" s="367">
        <f>D48+E48+F48+G48+H48+I48</f>
        <v>890193</v>
      </c>
      <c r="K48" s="371">
        <f>C48+J48</f>
        <v>3082443</v>
      </c>
    </row>
    <row r="49" spans="1:11" ht="12" customHeight="1">
      <c r="A49" s="336" t="s">
        <v>61</v>
      </c>
      <c r="B49" s="5" t="s">
        <v>102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5430740</v>
      </c>
      <c r="D57" s="368">
        <f t="shared" si="11"/>
        <v>890193</v>
      </c>
      <c r="E57" s="368">
        <f t="shared" si="11"/>
        <v>64000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954193</v>
      </c>
      <c r="K57" s="347">
        <f>+K45+K51+K56</f>
        <v>6384933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>
        <v>1</v>
      </c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1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K5" sqref="K5:K7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CONCATENATE("5.4.2. melléklet ",RM_ALAPADATOK!A7," ",RM_ALAPADATOK!B7," ",RM_ALAPADATOK!C7," ",RM_ALAPADATOK!D7," ",RM_ALAPADATOK!E7," ",RM_ALAPADATOK!F7," ",RM_ALAPADATOK!G7," ",RM_ALAPADATOK!H7)</f>
        <v>5.4.2. melléklet a  / 2019 ( … ) önkormányzati rendelethez</v>
      </c>
    </row>
    <row r="2" spans="1:11" s="328" customFormat="1" ht="36">
      <c r="A2" s="387" t="s">
        <v>474</v>
      </c>
      <c r="B2" s="550" t="str">
        <f>CONCATENATE('RM_5.4.1.sz.mell'!B2:J2)</f>
        <v>Községi Könyvtár és Szabadidőközpont</v>
      </c>
      <c r="C2" s="551"/>
      <c r="D2" s="551"/>
      <c r="E2" s="551"/>
      <c r="F2" s="551"/>
      <c r="G2" s="551"/>
      <c r="H2" s="551"/>
      <c r="I2" s="551"/>
      <c r="J2" s="551"/>
      <c r="K2" s="388" t="s">
        <v>290</v>
      </c>
    </row>
    <row r="3" spans="1:11" s="328" customFormat="1" ht="22.5" customHeight="1" thickBot="1">
      <c r="A3" s="389" t="s">
        <v>114</v>
      </c>
      <c r="B3" s="552" t="str">
        <f>CONCATENATE('RM_5.1.2.sz.mell'!B3:J3)</f>
        <v>Önként vállalt feladatok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38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CONCATENATE('RM_5.4.1.sz.mell'!K5)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153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154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155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/>
      <c r="E40" s="378"/>
      <c r="F40" s="378"/>
      <c r="G40" s="378"/>
      <c r="H40" s="378"/>
      <c r="I40" s="378"/>
      <c r="J40" s="361">
        <f>D40+E40+F40+G40+H40+I40</f>
        <v>0</v>
      </c>
      <c r="K40" s="355">
        <f>C40+J40</f>
        <v>0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/>
      <c r="D42" s="381"/>
      <c r="E42" s="381"/>
      <c r="F42" s="381"/>
      <c r="G42" s="381"/>
      <c r="H42" s="381"/>
      <c r="I42" s="381"/>
      <c r="J42" s="361">
        <f>D42+E42+F42+G42+H42+I42</f>
        <v>0</v>
      </c>
      <c r="K42" s="356">
        <f>C42+J42</f>
        <v>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0</v>
      </c>
      <c r="D45" s="365">
        <f t="shared" si="9"/>
        <v>0</v>
      </c>
      <c r="E45" s="365">
        <f t="shared" si="9"/>
        <v>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0</v>
      </c>
      <c r="K45" s="333">
        <f>SUM(K46:K50)</f>
        <v>0</v>
      </c>
    </row>
    <row r="46" spans="1:11" ht="12" customHeight="1">
      <c r="A46" s="336" t="s">
        <v>58</v>
      </c>
      <c r="B46" s="6" t="s">
        <v>32</v>
      </c>
      <c r="C46" s="382"/>
      <c r="D46" s="382"/>
      <c r="E46" s="382"/>
      <c r="F46" s="382"/>
      <c r="G46" s="382"/>
      <c r="H46" s="382"/>
      <c r="I46" s="382"/>
      <c r="J46" s="366">
        <f>D46+E46+F46+G46+H46+I46</f>
        <v>0</v>
      </c>
      <c r="K46" s="370">
        <f>C46+J46</f>
        <v>0</v>
      </c>
    </row>
    <row r="47" spans="1:11" ht="12" customHeight="1">
      <c r="A47" s="336" t="s">
        <v>59</v>
      </c>
      <c r="B47" s="5" t="s">
        <v>101</v>
      </c>
      <c r="C47" s="383"/>
      <c r="D47" s="383"/>
      <c r="E47" s="383"/>
      <c r="F47" s="383"/>
      <c r="G47" s="383"/>
      <c r="H47" s="383"/>
      <c r="I47" s="383"/>
      <c r="J47" s="367">
        <f>D47+E47+F47+G47+H47+I47</f>
        <v>0</v>
      </c>
      <c r="K47" s="371">
        <f>C47+J47</f>
        <v>0</v>
      </c>
    </row>
    <row r="48" spans="1:11" ht="12" customHeight="1">
      <c r="A48" s="336" t="s">
        <v>60</v>
      </c>
      <c r="B48" s="5" t="s">
        <v>77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61</v>
      </c>
      <c r="B49" s="5" t="s">
        <v>102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0</v>
      </c>
      <c r="D57" s="368">
        <f t="shared" si="11"/>
        <v>0</v>
      </c>
      <c r="E57" s="368">
        <f t="shared" si="11"/>
        <v>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0</v>
      </c>
      <c r="K57" s="347">
        <f>+K45+K51+K56</f>
        <v>0</v>
      </c>
    </row>
    <row r="58" spans="3:11" ht="13.5" customHeight="1" thickBot="1">
      <c r="C58" s="425">
        <f>C43-C57</f>
        <v>0</v>
      </c>
      <c r="D58" s="352"/>
      <c r="E58" s="352"/>
      <c r="F58" s="352"/>
      <c r="G58" s="352"/>
      <c r="H58" s="352"/>
      <c r="I58" s="352"/>
      <c r="J58" s="352"/>
      <c r="K58" s="426">
        <f>K43-K57</f>
        <v>0</v>
      </c>
    </row>
    <row r="59" spans="1:11" ht="12.75" customHeight="1" thickBot="1">
      <c r="A59" s="65" t="s">
        <v>367</v>
      </c>
      <c r="B59" s="66"/>
      <c r="C59" s="384"/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0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K5" sqref="K5:K7"/>
    </sheetView>
  </sheetViews>
  <sheetFormatPr defaultColWidth="9.00390625" defaultRowHeight="12.75"/>
  <cols>
    <col min="1" max="1" width="13.875" style="348" customWidth="1"/>
    <col min="2" max="2" width="60.625" style="330" customWidth="1"/>
    <col min="3" max="3" width="15.875" style="330" customWidth="1"/>
    <col min="4" max="10" width="13.875" style="330" customWidth="1"/>
    <col min="11" max="11" width="15.875" style="330" customWidth="1"/>
    <col min="12" max="16384" width="9.375" style="330" customWidth="1"/>
  </cols>
  <sheetData>
    <row r="1" spans="1:11" s="327" customFormat="1" ht="15.75" customHeight="1" thickBot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26" t="str">
        <f>CONCATENATE("5.4.3. melléklet ",RM_ALAPADATOK!A7," ",RM_ALAPADATOK!B7," ",RM_ALAPADATOK!C7," ",RM_ALAPADATOK!D7," ",RM_ALAPADATOK!E7," ",RM_ALAPADATOK!F7," ",RM_ALAPADATOK!G7," ",RM_ALAPADATOK!H7)</f>
        <v>5.4.3. melléklet a  / 2019 ( … ) önkormányzati rendelethez</v>
      </c>
    </row>
    <row r="2" spans="1:11" s="328" customFormat="1" ht="36">
      <c r="A2" s="387" t="s">
        <v>474</v>
      </c>
      <c r="B2" s="550" t="str">
        <f>CONCATENATE('RM_5.4.2.sz.mell'!B2:J2)</f>
        <v>Községi Könyvtár és Szabadidőközpont</v>
      </c>
      <c r="C2" s="551"/>
      <c r="D2" s="551"/>
      <c r="E2" s="551"/>
      <c r="F2" s="551"/>
      <c r="G2" s="551"/>
      <c r="H2" s="551"/>
      <c r="I2" s="551"/>
      <c r="J2" s="551"/>
      <c r="K2" s="388" t="s">
        <v>290</v>
      </c>
    </row>
    <row r="3" spans="1:11" s="328" customFormat="1" ht="22.5" customHeight="1" thickBot="1">
      <c r="A3" s="389" t="s">
        <v>114</v>
      </c>
      <c r="B3" s="552" t="str">
        <f>CONCATENATE('RM_5.1.3.sz.mell'!B3:J3)</f>
        <v>Államigazgatási feladatok  bevételeinek, kiadásainak módosítása</v>
      </c>
      <c r="C3" s="553"/>
      <c r="D3" s="553"/>
      <c r="E3" s="553"/>
      <c r="F3" s="553"/>
      <c r="G3" s="553"/>
      <c r="H3" s="553"/>
      <c r="I3" s="553"/>
      <c r="J3" s="553"/>
      <c r="K3" s="390" t="s">
        <v>290</v>
      </c>
    </row>
    <row r="4" spans="1:11" s="328" customFormat="1" ht="12.75" customHeight="1" thickBot="1">
      <c r="A4" s="391"/>
      <c r="B4" s="392"/>
      <c r="C4" s="393"/>
      <c r="D4" s="393"/>
      <c r="E4" s="393"/>
      <c r="F4" s="393"/>
      <c r="G4" s="393"/>
      <c r="H4" s="393"/>
      <c r="I4" s="393"/>
      <c r="J4" s="393"/>
      <c r="K4" s="394" t="s">
        <v>429</v>
      </c>
    </row>
    <row r="5" spans="1:11" s="329" customFormat="1" ht="13.5" customHeight="1">
      <c r="A5" s="556" t="s">
        <v>46</v>
      </c>
      <c r="B5" s="539" t="s">
        <v>2</v>
      </c>
      <c r="C5" s="539" t="s">
        <v>501</v>
      </c>
      <c r="D5" s="539" t="str">
        <f>CONCATENATE('RM_5.1.sz.mell'!D5:I5)</f>
        <v>1. sz. módosítás </v>
      </c>
      <c r="E5" s="539" t="str">
        <f>CONCATENATE('RM_5.1.sz.mell'!E5)</f>
        <v>2. sz. módosítás </v>
      </c>
      <c r="F5" s="539" t="str">
        <f>CONCATENATE('RM_5.1.sz.mell'!F5)</f>
        <v>3. sz. módosítás </v>
      </c>
      <c r="G5" s="539" t="str">
        <f>CONCATENATE('RM_5.1.sz.mell'!G5)</f>
        <v>4. sz. módosítás </v>
      </c>
      <c r="H5" s="539" t="str">
        <f>CONCATENATE('RM_5.1.sz.mell'!H5)</f>
        <v>5. sz. módosítás </v>
      </c>
      <c r="I5" s="539" t="str">
        <f>CONCATENATE('RM_5.1.sz.mell'!I5)</f>
        <v>6. sz. módosítás </v>
      </c>
      <c r="J5" s="539" t="s">
        <v>502</v>
      </c>
      <c r="K5" s="542" t="str">
        <f>CONCATENATE('RM_5.4.2.sz.mell'!K5)</f>
        <v>1. sz. módosítás utáni előirányzat</v>
      </c>
    </row>
    <row r="6" spans="1:11" ht="12.75" customHeight="1">
      <c r="A6" s="557"/>
      <c r="B6" s="554"/>
      <c r="C6" s="540"/>
      <c r="D6" s="540"/>
      <c r="E6" s="540"/>
      <c r="F6" s="540"/>
      <c r="G6" s="540"/>
      <c r="H6" s="540"/>
      <c r="I6" s="540"/>
      <c r="J6" s="540"/>
      <c r="K6" s="543"/>
    </row>
    <row r="7" spans="1:11" s="331" customFormat="1" ht="9.75" customHeight="1" thickBot="1">
      <c r="A7" s="558"/>
      <c r="B7" s="555"/>
      <c r="C7" s="541"/>
      <c r="D7" s="541"/>
      <c r="E7" s="541"/>
      <c r="F7" s="541"/>
      <c r="G7" s="541"/>
      <c r="H7" s="541"/>
      <c r="I7" s="541"/>
      <c r="J7" s="541"/>
      <c r="K7" s="544"/>
    </row>
    <row r="8" spans="1:11" s="349" customFormat="1" ht="10.5" customHeight="1" thickBot="1">
      <c r="A8" s="396" t="s">
        <v>346</v>
      </c>
      <c r="B8" s="397" t="s">
        <v>347</v>
      </c>
      <c r="C8" s="397" t="s">
        <v>348</v>
      </c>
      <c r="D8" s="397" t="s">
        <v>350</v>
      </c>
      <c r="E8" s="397" t="s">
        <v>349</v>
      </c>
      <c r="F8" s="397" t="s">
        <v>373</v>
      </c>
      <c r="G8" s="397" t="s">
        <v>352</v>
      </c>
      <c r="H8" s="397" t="s">
        <v>353</v>
      </c>
      <c r="I8" s="397" t="s">
        <v>459</v>
      </c>
      <c r="J8" s="398" t="s">
        <v>460</v>
      </c>
      <c r="K8" s="399" t="s">
        <v>461</v>
      </c>
    </row>
    <row r="9" spans="1:11" s="349" customFormat="1" ht="10.5" customHeight="1" thickBot="1">
      <c r="A9" s="547" t="s">
        <v>35</v>
      </c>
      <c r="B9" s="548"/>
      <c r="C9" s="548"/>
      <c r="D9" s="548"/>
      <c r="E9" s="548"/>
      <c r="F9" s="548"/>
      <c r="G9" s="548"/>
      <c r="H9" s="548"/>
      <c r="I9" s="548"/>
      <c r="J9" s="548"/>
      <c r="K9" s="549"/>
    </row>
    <row r="10" spans="1:11" s="334" customFormat="1" ht="12" customHeight="1" thickBot="1">
      <c r="A10" s="59" t="s">
        <v>3</v>
      </c>
      <c r="B10" s="332" t="s">
        <v>475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4" customFormat="1" ht="12" customHeight="1">
      <c r="A11" s="335" t="s">
        <v>58</v>
      </c>
      <c r="B11" s="7" t="s">
        <v>161</v>
      </c>
      <c r="C11" s="373"/>
      <c r="D11" s="373"/>
      <c r="E11" s="373"/>
      <c r="F11" s="373"/>
      <c r="G11" s="373"/>
      <c r="H11" s="373"/>
      <c r="I11" s="373"/>
      <c r="J11" s="357">
        <f>D11+E11+F11+G11+H11+I11</f>
        <v>0</v>
      </c>
      <c r="K11" s="355">
        <f>C11+J11</f>
        <v>0</v>
      </c>
    </row>
    <row r="12" spans="1:11" s="334" customFormat="1" ht="12" customHeight="1">
      <c r="A12" s="336" t="s">
        <v>59</v>
      </c>
      <c r="B12" s="5" t="s">
        <v>162</v>
      </c>
      <c r="C12" s="374"/>
      <c r="D12" s="374"/>
      <c r="E12" s="374"/>
      <c r="F12" s="374"/>
      <c r="G12" s="374"/>
      <c r="H12" s="374"/>
      <c r="I12" s="374"/>
      <c r="J12" s="358">
        <f aca="true" t="shared" si="1" ref="J12:J21">D12+E12+F12+G12+H12+I12</f>
        <v>0</v>
      </c>
      <c r="K12" s="355">
        <f aca="true" t="shared" si="2" ref="K12:K21">C12+J12</f>
        <v>0</v>
      </c>
    </row>
    <row r="13" spans="1:11" s="334" customFormat="1" ht="12" customHeight="1">
      <c r="A13" s="336" t="s">
        <v>60</v>
      </c>
      <c r="B13" s="5" t="s">
        <v>163</v>
      </c>
      <c r="C13" s="374"/>
      <c r="D13" s="374"/>
      <c r="E13" s="374"/>
      <c r="F13" s="374"/>
      <c r="G13" s="374"/>
      <c r="H13" s="374"/>
      <c r="I13" s="374"/>
      <c r="J13" s="358">
        <f t="shared" si="1"/>
        <v>0</v>
      </c>
      <c r="K13" s="355">
        <f t="shared" si="2"/>
        <v>0</v>
      </c>
    </row>
    <row r="14" spans="1:11" s="334" customFormat="1" ht="12" customHeight="1">
      <c r="A14" s="336" t="s">
        <v>61</v>
      </c>
      <c r="B14" s="5" t="s">
        <v>164</v>
      </c>
      <c r="C14" s="374"/>
      <c r="D14" s="374"/>
      <c r="E14" s="374"/>
      <c r="F14" s="374"/>
      <c r="G14" s="374"/>
      <c r="H14" s="374"/>
      <c r="I14" s="374"/>
      <c r="J14" s="358">
        <f t="shared" si="1"/>
        <v>0</v>
      </c>
      <c r="K14" s="355">
        <f t="shared" si="2"/>
        <v>0</v>
      </c>
    </row>
    <row r="15" spans="1:11" s="334" customFormat="1" ht="12" customHeight="1">
      <c r="A15" s="336" t="s">
        <v>78</v>
      </c>
      <c r="B15" s="5" t="s">
        <v>165</v>
      </c>
      <c r="C15" s="374"/>
      <c r="D15" s="374"/>
      <c r="E15" s="374"/>
      <c r="F15" s="374"/>
      <c r="G15" s="374"/>
      <c r="H15" s="374"/>
      <c r="I15" s="374"/>
      <c r="J15" s="358">
        <f t="shared" si="1"/>
        <v>0</v>
      </c>
      <c r="K15" s="355">
        <f t="shared" si="2"/>
        <v>0</v>
      </c>
    </row>
    <row r="16" spans="1:11" s="334" customFormat="1" ht="12" customHeight="1">
      <c r="A16" s="336" t="s">
        <v>62</v>
      </c>
      <c r="B16" s="5" t="s">
        <v>476</v>
      </c>
      <c r="C16" s="374"/>
      <c r="D16" s="374"/>
      <c r="E16" s="374"/>
      <c r="F16" s="374"/>
      <c r="G16" s="374"/>
      <c r="H16" s="374"/>
      <c r="I16" s="374"/>
      <c r="J16" s="358">
        <f t="shared" si="1"/>
        <v>0</v>
      </c>
      <c r="K16" s="355">
        <f t="shared" si="2"/>
        <v>0</v>
      </c>
    </row>
    <row r="17" spans="1:11" s="334" customFormat="1" ht="12" customHeight="1">
      <c r="A17" s="336" t="s">
        <v>63</v>
      </c>
      <c r="B17" s="4" t="s">
        <v>477</v>
      </c>
      <c r="C17" s="374"/>
      <c r="D17" s="374"/>
      <c r="E17" s="374"/>
      <c r="F17" s="374"/>
      <c r="G17" s="374"/>
      <c r="H17" s="374"/>
      <c r="I17" s="374"/>
      <c r="J17" s="358">
        <f t="shared" si="1"/>
        <v>0</v>
      </c>
      <c r="K17" s="355">
        <f t="shared" si="2"/>
        <v>0</v>
      </c>
    </row>
    <row r="18" spans="1:11" s="334" customFormat="1" ht="12" customHeight="1">
      <c r="A18" s="336" t="s">
        <v>70</v>
      </c>
      <c r="B18" s="5" t="s">
        <v>168</v>
      </c>
      <c r="C18" s="374"/>
      <c r="D18" s="374"/>
      <c r="E18" s="374"/>
      <c r="F18" s="374"/>
      <c r="G18" s="374"/>
      <c r="H18" s="374"/>
      <c r="I18" s="374"/>
      <c r="J18" s="358">
        <f t="shared" si="1"/>
        <v>0</v>
      </c>
      <c r="K18" s="355">
        <f t="shared" si="2"/>
        <v>0</v>
      </c>
    </row>
    <row r="19" spans="1:11" s="337" customFormat="1" ht="12" customHeight="1">
      <c r="A19" s="336" t="s">
        <v>71</v>
      </c>
      <c r="B19" s="5" t="s">
        <v>169</v>
      </c>
      <c r="C19" s="374"/>
      <c r="D19" s="374"/>
      <c r="E19" s="374"/>
      <c r="F19" s="374"/>
      <c r="G19" s="374"/>
      <c r="H19" s="374"/>
      <c r="I19" s="374"/>
      <c r="J19" s="358">
        <f t="shared" si="1"/>
        <v>0</v>
      </c>
      <c r="K19" s="355">
        <f t="shared" si="2"/>
        <v>0</v>
      </c>
    </row>
    <row r="20" spans="1:11" s="337" customFormat="1" ht="12" customHeight="1">
      <c r="A20" s="336" t="s">
        <v>72</v>
      </c>
      <c r="B20" s="5" t="s">
        <v>295</v>
      </c>
      <c r="C20" s="374"/>
      <c r="D20" s="374"/>
      <c r="E20" s="374"/>
      <c r="F20" s="374"/>
      <c r="G20" s="374"/>
      <c r="H20" s="374"/>
      <c r="I20" s="374"/>
      <c r="J20" s="358">
        <f t="shared" si="1"/>
        <v>0</v>
      </c>
      <c r="K20" s="355">
        <f t="shared" si="2"/>
        <v>0</v>
      </c>
    </row>
    <row r="21" spans="1:11" s="337" customFormat="1" ht="12" customHeight="1" thickBot="1">
      <c r="A21" s="350" t="s">
        <v>73</v>
      </c>
      <c r="B21" s="4" t="s">
        <v>170</v>
      </c>
      <c r="C21" s="375"/>
      <c r="D21" s="375"/>
      <c r="E21" s="375"/>
      <c r="F21" s="375"/>
      <c r="G21" s="375"/>
      <c r="H21" s="375"/>
      <c r="I21" s="375"/>
      <c r="J21" s="359">
        <f t="shared" si="1"/>
        <v>0</v>
      </c>
      <c r="K21" s="355">
        <f t="shared" si="2"/>
        <v>0</v>
      </c>
    </row>
    <row r="22" spans="1:11" s="334" customFormat="1" ht="12" customHeight="1" thickBot="1">
      <c r="A22" s="59" t="s">
        <v>4</v>
      </c>
      <c r="B22" s="332" t="s">
        <v>478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7" customFormat="1" ht="12" customHeight="1">
      <c r="A23" s="339" t="s">
        <v>64</v>
      </c>
      <c r="B23" s="6" t="s">
        <v>143</v>
      </c>
      <c r="C23" s="376"/>
      <c r="D23" s="376"/>
      <c r="E23" s="376"/>
      <c r="F23" s="376"/>
      <c r="G23" s="376"/>
      <c r="H23" s="376"/>
      <c r="I23" s="376"/>
      <c r="J23" s="361">
        <f>D23+E23+F23+G23+H23+I23</f>
        <v>0</v>
      </c>
      <c r="K23" s="355">
        <f>C23+J23</f>
        <v>0</v>
      </c>
    </row>
    <row r="24" spans="1:11" s="337" customFormat="1" ht="12" customHeight="1">
      <c r="A24" s="336" t="s">
        <v>65</v>
      </c>
      <c r="B24" s="5" t="s">
        <v>479</v>
      </c>
      <c r="C24" s="374"/>
      <c r="D24" s="374"/>
      <c r="E24" s="374"/>
      <c r="F24" s="374"/>
      <c r="G24" s="374"/>
      <c r="H24" s="374"/>
      <c r="I24" s="374"/>
      <c r="J24" s="358">
        <f>D24+E24+F24+G24+H24+I24</f>
        <v>0</v>
      </c>
      <c r="K24" s="354">
        <f>C24+J24</f>
        <v>0</v>
      </c>
    </row>
    <row r="25" spans="1:11" s="337" customFormat="1" ht="12" customHeight="1">
      <c r="A25" s="336" t="s">
        <v>66</v>
      </c>
      <c r="B25" s="5" t="s">
        <v>480</v>
      </c>
      <c r="C25" s="374"/>
      <c r="D25" s="374"/>
      <c r="E25" s="374"/>
      <c r="F25" s="374"/>
      <c r="G25" s="374"/>
      <c r="H25" s="374"/>
      <c r="I25" s="374"/>
      <c r="J25" s="358">
        <f>D25+E25+F25+G25+H25+I25</f>
        <v>0</v>
      </c>
      <c r="K25" s="354">
        <f>C25+J25</f>
        <v>0</v>
      </c>
    </row>
    <row r="26" spans="1:11" s="337" customFormat="1" ht="12" customHeight="1" thickBot="1">
      <c r="A26" s="336" t="s">
        <v>67</v>
      </c>
      <c r="B26" s="9" t="s">
        <v>481</v>
      </c>
      <c r="C26" s="375"/>
      <c r="D26" s="375"/>
      <c r="E26" s="375"/>
      <c r="F26" s="375"/>
      <c r="G26" s="375"/>
      <c r="H26" s="375"/>
      <c r="I26" s="375"/>
      <c r="J26" s="362">
        <f>D26+E26+F26+G26+H26+I26</f>
        <v>0</v>
      </c>
      <c r="K26" s="356">
        <f>C26+J26</f>
        <v>0</v>
      </c>
    </row>
    <row r="27" spans="1:11" s="337" customFormat="1" ht="12" customHeight="1" thickBot="1">
      <c r="A27" s="338" t="s">
        <v>5</v>
      </c>
      <c r="B27" s="47" t="s">
        <v>92</v>
      </c>
      <c r="C27" s="377"/>
      <c r="D27" s="377"/>
      <c r="E27" s="377"/>
      <c r="F27" s="377"/>
      <c r="G27" s="377"/>
      <c r="H27" s="377"/>
      <c r="I27" s="377"/>
      <c r="J27" s="353"/>
      <c r="K27" s="333"/>
    </row>
    <row r="28" spans="1:11" s="337" customFormat="1" ht="12" customHeight="1" thickBot="1">
      <c r="A28" s="338" t="s">
        <v>6</v>
      </c>
      <c r="B28" s="47" t="s">
        <v>482</v>
      </c>
      <c r="C28" s="36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7" customFormat="1" ht="12" customHeight="1">
      <c r="A29" s="339" t="s">
        <v>153</v>
      </c>
      <c r="B29" s="340" t="s">
        <v>479</v>
      </c>
      <c r="C29" s="379"/>
      <c r="D29" s="379"/>
      <c r="E29" s="379"/>
      <c r="F29" s="379"/>
      <c r="G29" s="379"/>
      <c r="H29" s="379"/>
      <c r="I29" s="379"/>
      <c r="J29" s="361">
        <f>D29+E29+F29+G29+H29+I29</f>
        <v>0</v>
      </c>
      <c r="K29" s="355">
        <f>C29+J29</f>
        <v>0</v>
      </c>
    </row>
    <row r="30" spans="1:11" s="337" customFormat="1" ht="12" customHeight="1">
      <c r="A30" s="339" t="s">
        <v>154</v>
      </c>
      <c r="B30" s="341" t="s">
        <v>483</v>
      </c>
      <c r="C30" s="379"/>
      <c r="D30" s="379"/>
      <c r="E30" s="379"/>
      <c r="F30" s="379"/>
      <c r="G30" s="379"/>
      <c r="H30" s="379"/>
      <c r="I30" s="379"/>
      <c r="J30" s="361">
        <f>D30+E30+F30+G30+H30+I30</f>
        <v>0</v>
      </c>
      <c r="K30" s="355">
        <f>C30+J30</f>
        <v>0</v>
      </c>
    </row>
    <row r="31" spans="1:11" s="337" customFormat="1" ht="12" customHeight="1" thickBot="1">
      <c r="A31" s="336" t="s">
        <v>155</v>
      </c>
      <c r="B31" s="351" t="s">
        <v>484</v>
      </c>
      <c r="C31" s="380"/>
      <c r="D31" s="380"/>
      <c r="E31" s="380"/>
      <c r="F31" s="380"/>
      <c r="G31" s="380"/>
      <c r="H31" s="380"/>
      <c r="I31" s="380"/>
      <c r="J31" s="361">
        <f>D31+E31+F31+G31+H31+I31</f>
        <v>0</v>
      </c>
      <c r="K31" s="355">
        <f>C31+J31</f>
        <v>0</v>
      </c>
    </row>
    <row r="32" spans="1:11" s="337" customFormat="1" ht="12" customHeight="1" thickBot="1">
      <c r="A32" s="338" t="s">
        <v>7</v>
      </c>
      <c r="B32" s="47" t="s">
        <v>485</v>
      </c>
      <c r="C32" s="36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7" customFormat="1" ht="12" customHeight="1">
      <c r="A33" s="339" t="s">
        <v>51</v>
      </c>
      <c r="B33" s="340" t="s">
        <v>175</v>
      </c>
      <c r="C33" s="378"/>
      <c r="D33" s="378"/>
      <c r="E33" s="378"/>
      <c r="F33" s="378"/>
      <c r="G33" s="378"/>
      <c r="H33" s="378"/>
      <c r="I33" s="378"/>
      <c r="J33" s="361">
        <f>D33+E33+F33+G33+H33+I33</f>
        <v>0</v>
      </c>
      <c r="K33" s="355">
        <f>C33+J33</f>
        <v>0</v>
      </c>
    </row>
    <row r="34" spans="1:11" s="337" customFormat="1" ht="12" customHeight="1">
      <c r="A34" s="339" t="s">
        <v>52</v>
      </c>
      <c r="B34" s="341" t="s">
        <v>176</v>
      </c>
      <c r="C34" s="379"/>
      <c r="D34" s="379"/>
      <c r="E34" s="379"/>
      <c r="F34" s="379"/>
      <c r="G34" s="379"/>
      <c r="H34" s="379"/>
      <c r="I34" s="379"/>
      <c r="J34" s="361">
        <f>D34+E34+F34+G34+H34+I34</f>
        <v>0</v>
      </c>
      <c r="K34" s="355">
        <f>C34+J34</f>
        <v>0</v>
      </c>
    </row>
    <row r="35" spans="1:11" s="337" customFormat="1" ht="12" customHeight="1" thickBot="1">
      <c r="A35" s="336" t="s">
        <v>53</v>
      </c>
      <c r="B35" s="351" t="s">
        <v>177</v>
      </c>
      <c r="C35" s="380"/>
      <c r="D35" s="380"/>
      <c r="E35" s="380"/>
      <c r="F35" s="380"/>
      <c r="G35" s="380"/>
      <c r="H35" s="380"/>
      <c r="I35" s="380"/>
      <c r="J35" s="361">
        <f>D35+E35+F35+G35+H35+I35</f>
        <v>0</v>
      </c>
      <c r="K35" s="363">
        <f>C35+J35</f>
        <v>0</v>
      </c>
    </row>
    <row r="36" spans="1:11" s="334" customFormat="1" ht="12" customHeight="1" thickBot="1">
      <c r="A36" s="338" t="s">
        <v>8</v>
      </c>
      <c r="B36" s="47" t="s">
        <v>260</v>
      </c>
      <c r="C36" s="377"/>
      <c r="D36" s="377"/>
      <c r="E36" s="377"/>
      <c r="F36" s="377"/>
      <c r="G36" s="377"/>
      <c r="H36" s="377"/>
      <c r="I36" s="377"/>
      <c r="J36" s="79">
        <f>D36+E36+F36+G36+H36+I36</f>
        <v>0</v>
      </c>
      <c r="K36" s="333">
        <f>C36+J36</f>
        <v>0</v>
      </c>
    </row>
    <row r="37" spans="1:11" s="334" customFormat="1" ht="12" customHeight="1" thickBot="1">
      <c r="A37" s="338" t="s">
        <v>9</v>
      </c>
      <c r="B37" s="47" t="s">
        <v>486</v>
      </c>
      <c r="C37" s="377"/>
      <c r="D37" s="377"/>
      <c r="E37" s="377"/>
      <c r="F37" s="377"/>
      <c r="G37" s="377"/>
      <c r="H37" s="377"/>
      <c r="I37" s="377"/>
      <c r="J37" s="364">
        <f>D37+E37+F37+G37+H37+I37</f>
        <v>0</v>
      </c>
      <c r="K37" s="355">
        <f>C37+J37</f>
        <v>0</v>
      </c>
    </row>
    <row r="38" spans="1:11" s="334" customFormat="1" ht="12" customHeight="1" thickBot="1">
      <c r="A38" s="59" t="s">
        <v>10</v>
      </c>
      <c r="B38" s="47" t="s">
        <v>487</v>
      </c>
      <c r="C38" s="36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4" customFormat="1" ht="12" customHeight="1" thickBot="1">
      <c r="A39" s="343" t="s">
        <v>11</v>
      </c>
      <c r="B39" s="47" t="s">
        <v>488</v>
      </c>
      <c r="C39" s="36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4" customFormat="1" ht="12" customHeight="1">
      <c r="A40" s="339" t="s">
        <v>489</v>
      </c>
      <c r="B40" s="340" t="s">
        <v>125</v>
      </c>
      <c r="C40" s="378"/>
      <c r="D40" s="378"/>
      <c r="E40" s="378"/>
      <c r="F40" s="378"/>
      <c r="G40" s="378"/>
      <c r="H40" s="378"/>
      <c r="I40" s="378"/>
      <c r="J40" s="361">
        <f>D40+E40+F40+G40+H40+I40</f>
        <v>0</v>
      </c>
      <c r="K40" s="355">
        <f>C40+J40</f>
        <v>0</v>
      </c>
    </row>
    <row r="41" spans="1:11" s="334" customFormat="1" ht="12" customHeight="1">
      <c r="A41" s="339" t="s">
        <v>490</v>
      </c>
      <c r="B41" s="341" t="s">
        <v>491</v>
      </c>
      <c r="C41" s="379"/>
      <c r="D41" s="379"/>
      <c r="E41" s="379"/>
      <c r="F41" s="379"/>
      <c r="G41" s="379"/>
      <c r="H41" s="379"/>
      <c r="I41" s="379"/>
      <c r="J41" s="361">
        <f>D41+E41+F41+G41+H41+I41</f>
        <v>0</v>
      </c>
      <c r="K41" s="354">
        <f>C41+J41</f>
        <v>0</v>
      </c>
    </row>
    <row r="42" spans="1:11" s="337" customFormat="1" ht="12" customHeight="1" thickBot="1">
      <c r="A42" s="336" t="s">
        <v>492</v>
      </c>
      <c r="B42" s="342" t="s">
        <v>493</v>
      </c>
      <c r="C42" s="381"/>
      <c r="D42" s="381"/>
      <c r="E42" s="381"/>
      <c r="F42" s="381"/>
      <c r="G42" s="381"/>
      <c r="H42" s="381"/>
      <c r="I42" s="381"/>
      <c r="J42" s="361">
        <f>D42+E42+F42+G42+H42+I42</f>
        <v>0</v>
      </c>
      <c r="K42" s="356">
        <f>C42+J42</f>
        <v>0</v>
      </c>
    </row>
    <row r="43" spans="1:11" s="337" customFormat="1" ht="12.75" customHeight="1" thickBot="1">
      <c r="A43" s="343" t="s">
        <v>12</v>
      </c>
      <c r="B43" s="344" t="s">
        <v>494</v>
      </c>
      <c r="C43" s="36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31" customFormat="1" ht="13.5" customHeight="1" thickBot="1">
      <c r="A44" s="528" t="s">
        <v>36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6"/>
    </row>
    <row r="45" spans="1:11" s="345" customFormat="1" ht="12" customHeight="1" thickBot="1">
      <c r="A45" s="338" t="s">
        <v>3</v>
      </c>
      <c r="B45" s="47" t="s">
        <v>495</v>
      </c>
      <c r="C45" s="365">
        <f aca="true" t="shared" si="9" ref="C45:J45">SUM(C46:C50)</f>
        <v>0</v>
      </c>
      <c r="D45" s="365">
        <f t="shared" si="9"/>
        <v>0</v>
      </c>
      <c r="E45" s="365">
        <f t="shared" si="9"/>
        <v>0</v>
      </c>
      <c r="F45" s="365">
        <f t="shared" si="9"/>
        <v>0</v>
      </c>
      <c r="G45" s="365">
        <f t="shared" si="9"/>
        <v>0</v>
      </c>
      <c r="H45" s="365">
        <f t="shared" si="9"/>
        <v>0</v>
      </c>
      <c r="I45" s="365">
        <f t="shared" si="9"/>
        <v>0</v>
      </c>
      <c r="J45" s="365">
        <f t="shared" si="9"/>
        <v>0</v>
      </c>
      <c r="K45" s="333">
        <f>SUM(K46:K50)</f>
        <v>0</v>
      </c>
    </row>
    <row r="46" spans="1:11" ht="12" customHeight="1">
      <c r="A46" s="336" t="s">
        <v>58</v>
      </c>
      <c r="B46" s="6" t="s">
        <v>32</v>
      </c>
      <c r="C46" s="382"/>
      <c r="D46" s="382"/>
      <c r="E46" s="382"/>
      <c r="F46" s="382"/>
      <c r="G46" s="382"/>
      <c r="H46" s="382"/>
      <c r="I46" s="382"/>
      <c r="J46" s="366">
        <f>D46+E46+F46+G46+H46+I46</f>
        <v>0</v>
      </c>
      <c r="K46" s="370">
        <f>C46+J46</f>
        <v>0</v>
      </c>
    </row>
    <row r="47" spans="1:11" ht="12" customHeight="1">
      <c r="A47" s="336" t="s">
        <v>59</v>
      </c>
      <c r="B47" s="5" t="s">
        <v>101</v>
      </c>
      <c r="C47" s="383"/>
      <c r="D47" s="383"/>
      <c r="E47" s="383"/>
      <c r="F47" s="383"/>
      <c r="G47" s="383"/>
      <c r="H47" s="383"/>
      <c r="I47" s="383"/>
      <c r="J47" s="367">
        <f>D47+E47+F47+G47+H47+I47</f>
        <v>0</v>
      </c>
      <c r="K47" s="371">
        <f>C47+J47</f>
        <v>0</v>
      </c>
    </row>
    <row r="48" spans="1:11" ht="12" customHeight="1">
      <c r="A48" s="336" t="s">
        <v>60</v>
      </c>
      <c r="B48" s="5" t="s">
        <v>77</v>
      </c>
      <c r="C48" s="383"/>
      <c r="D48" s="383"/>
      <c r="E48" s="383"/>
      <c r="F48" s="383"/>
      <c r="G48" s="383"/>
      <c r="H48" s="383"/>
      <c r="I48" s="383"/>
      <c r="J48" s="367">
        <f>D48+E48+F48+G48+H48+I48</f>
        <v>0</v>
      </c>
      <c r="K48" s="371">
        <f>C48+J48</f>
        <v>0</v>
      </c>
    </row>
    <row r="49" spans="1:11" ht="12" customHeight="1">
      <c r="A49" s="336" t="s">
        <v>61</v>
      </c>
      <c r="B49" s="5" t="s">
        <v>102</v>
      </c>
      <c r="C49" s="383"/>
      <c r="D49" s="383"/>
      <c r="E49" s="383"/>
      <c r="F49" s="383"/>
      <c r="G49" s="383"/>
      <c r="H49" s="383"/>
      <c r="I49" s="383"/>
      <c r="J49" s="367">
        <f>D49+E49+F49+G49+H49+I49</f>
        <v>0</v>
      </c>
      <c r="K49" s="371">
        <f>C49+J49</f>
        <v>0</v>
      </c>
    </row>
    <row r="50" spans="1:11" ht="12" customHeight="1" thickBot="1">
      <c r="A50" s="336" t="s">
        <v>78</v>
      </c>
      <c r="B50" s="5" t="s">
        <v>103</v>
      </c>
      <c r="C50" s="383"/>
      <c r="D50" s="383"/>
      <c r="E50" s="383"/>
      <c r="F50" s="383"/>
      <c r="G50" s="383"/>
      <c r="H50" s="383"/>
      <c r="I50" s="383"/>
      <c r="J50" s="367">
        <f>D50+E50+F50+G50+H50+I50</f>
        <v>0</v>
      </c>
      <c r="K50" s="371">
        <f>C50+J50</f>
        <v>0</v>
      </c>
    </row>
    <row r="51" spans="1:11" ht="12" customHeight="1" thickBot="1">
      <c r="A51" s="338" t="s">
        <v>4</v>
      </c>
      <c r="B51" s="47" t="s">
        <v>496</v>
      </c>
      <c r="C51" s="365">
        <f aca="true" t="shared" si="10" ref="C51:J51">SUM(C52:C54)</f>
        <v>0</v>
      </c>
      <c r="D51" s="365">
        <f t="shared" si="10"/>
        <v>0</v>
      </c>
      <c r="E51" s="365">
        <f t="shared" si="10"/>
        <v>0</v>
      </c>
      <c r="F51" s="365">
        <f t="shared" si="10"/>
        <v>0</v>
      </c>
      <c r="G51" s="365">
        <f t="shared" si="10"/>
        <v>0</v>
      </c>
      <c r="H51" s="365">
        <f t="shared" si="10"/>
        <v>0</v>
      </c>
      <c r="I51" s="365">
        <f t="shared" si="10"/>
        <v>0</v>
      </c>
      <c r="J51" s="365">
        <f t="shared" si="10"/>
        <v>0</v>
      </c>
      <c r="K51" s="333">
        <f>SUM(K52:K54)</f>
        <v>0</v>
      </c>
    </row>
    <row r="52" spans="1:11" s="345" customFormat="1" ht="12" customHeight="1">
      <c r="A52" s="336" t="s">
        <v>64</v>
      </c>
      <c r="B52" s="6" t="s">
        <v>119</v>
      </c>
      <c r="C52" s="382"/>
      <c r="D52" s="382"/>
      <c r="E52" s="382"/>
      <c r="F52" s="382"/>
      <c r="G52" s="382"/>
      <c r="H52" s="382"/>
      <c r="I52" s="382"/>
      <c r="J52" s="366">
        <f>D52+E52+F52+G52+H52+I52</f>
        <v>0</v>
      </c>
      <c r="K52" s="370">
        <f>C52+J52</f>
        <v>0</v>
      </c>
    </row>
    <row r="53" spans="1:11" ht="12" customHeight="1">
      <c r="A53" s="336" t="s">
        <v>65</v>
      </c>
      <c r="B53" s="5" t="s">
        <v>105</v>
      </c>
      <c r="C53" s="383"/>
      <c r="D53" s="383"/>
      <c r="E53" s="383"/>
      <c r="F53" s="383"/>
      <c r="G53" s="383"/>
      <c r="H53" s="383"/>
      <c r="I53" s="383"/>
      <c r="J53" s="367">
        <f>D53+E53+F53+G53+H53+I53</f>
        <v>0</v>
      </c>
      <c r="K53" s="371">
        <f>C53+J53</f>
        <v>0</v>
      </c>
    </row>
    <row r="54" spans="1:11" ht="12" customHeight="1">
      <c r="A54" s="336" t="s">
        <v>66</v>
      </c>
      <c r="B54" s="5" t="s">
        <v>497</v>
      </c>
      <c r="C54" s="383"/>
      <c r="D54" s="383"/>
      <c r="E54" s="383"/>
      <c r="F54" s="383"/>
      <c r="G54" s="383"/>
      <c r="H54" s="383"/>
      <c r="I54" s="383"/>
      <c r="J54" s="367">
        <f>D54+E54+F54+G54+H54+I54</f>
        <v>0</v>
      </c>
      <c r="K54" s="371">
        <f>C54+J54</f>
        <v>0</v>
      </c>
    </row>
    <row r="55" spans="1:11" ht="12" customHeight="1" thickBot="1">
      <c r="A55" s="336" t="s">
        <v>67</v>
      </c>
      <c r="B55" s="5" t="s">
        <v>498</v>
      </c>
      <c r="C55" s="383"/>
      <c r="D55" s="383"/>
      <c r="E55" s="383"/>
      <c r="F55" s="383"/>
      <c r="G55" s="383"/>
      <c r="H55" s="383"/>
      <c r="I55" s="383"/>
      <c r="J55" s="367">
        <f>D55+E55+F55+G55+H55+I55</f>
        <v>0</v>
      </c>
      <c r="K55" s="371">
        <f>C55+J55</f>
        <v>0</v>
      </c>
    </row>
    <row r="56" spans="1:11" ht="12" customHeight="1" thickBot="1">
      <c r="A56" s="338" t="s">
        <v>5</v>
      </c>
      <c r="B56" s="47" t="s">
        <v>499</v>
      </c>
      <c r="C56" s="411"/>
      <c r="D56" s="411"/>
      <c r="E56" s="411"/>
      <c r="F56" s="411"/>
      <c r="G56" s="411"/>
      <c r="H56" s="411"/>
      <c r="I56" s="411"/>
      <c r="J56" s="365">
        <f>D56+E56+F56+G56+H56+I56</f>
        <v>0</v>
      </c>
      <c r="K56" s="333">
        <f>C56+J56</f>
        <v>0</v>
      </c>
    </row>
    <row r="57" spans="1:11" ht="12.75" customHeight="1" thickBot="1">
      <c r="A57" s="338" t="s">
        <v>6</v>
      </c>
      <c r="B57" s="346" t="s">
        <v>500</v>
      </c>
      <c r="C57" s="368">
        <f aca="true" t="shared" si="11" ref="C57:J57">+C45+C51+C56</f>
        <v>0</v>
      </c>
      <c r="D57" s="368">
        <f t="shared" si="11"/>
        <v>0</v>
      </c>
      <c r="E57" s="368">
        <f t="shared" si="11"/>
        <v>0</v>
      </c>
      <c r="F57" s="368">
        <f t="shared" si="11"/>
        <v>0</v>
      </c>
      <c r="G57" s="368">
        <f t="shared" si="11"/>
        <v>0</v>
      </c>
      <c r="H57" s="368">
        <f t="shared" si="11"/>
        <v>0</v>
      </c>
      <c r="I57" s="368">
        <f t="shared" si="11"/>
        <v>0</v>
      </c>
      <c r="J57" s="368">
        <f t="shared" si="11"/>
        <v>0</v>
      </c>
      <c r="K57" s="347">
        <f>+K45+K51+K56</f>
        <v>0</v>
      </c>
    </row>
    <row r="58" spans="3:11" ht="13.5" customHeight="1" thickBot="1">
      <c r="C58" s="427">
        <f>C43-C57</f>
        <v>0</v>
      </c>
      <c r="D58" s="428"/>
      <c r="E58" s="428"/>
      <c r="F58" s="428"/>
      <c r="G58" s="428"/>
      <c r="H58" s="428"/>
      <c r="I58" s="428"/>
      <c r="J58" s="428"/>
      <c r="K58" s="421">
        <f>K43-K57</f>
        <v>0</v>
      </c>
    </row>
    <row r="59" spans="1:11" ht="12.75" customHeight="1" thickBot="1">
      <c r="A59" s="65" t="s">
        <v>367</v>
      </c>
      <c r="B59" s="66"/>
      <c r="C59" s="384"/>
      <c r="D59" s="384"/>
      <c r="E59" s="384"/>
      <c r="F59" s="384"/>
      <c r="G59" s="384"/>
      <c r="H59" s="384"/>
      <c r="I59" s="384"/>
      <c r="J59" s="369">
        <f>D59+E59+F59+G59+H59+I59</f>
        <v>0</v>
      </c>
      <c r="K59" s="372">
        <f>C59+J59</f>
        <v>0</v>
      </c>
    </row>
    <row r="60" spans="1:11" ht="12.75" customHeight="1" thickBot="1">
      <c r="A60" s="65" t="s">
        <v>116</v>
      </c>
      <c r="B60" s="66"/>
      <c r="C60" s="384"/>
      <c r="D60" s="384"/>
      <c r="E60" s="384"/>
      <c r="F60" s="384"/>
      <c r="G60" s="384"/>
      <c r="H60" s="384"/>
      <c r="I60" s="384"/>
      <c r="J60" s="369">
        <f>D60+E60+F60+G60+H60+I60</f>
        <v>0</v>
      </c>
      <c r="K60" s="372">
        <f>C60+J60</f>
        <v>0</v>
      </c>
    </row>
  </sheetData>
  <sheetProtection sheet="1" formatCells="0"/>
  <mergeCells count="15">
    <mergeCell ref="F5:F7"/>
    <mergeCell ref="H5:H7"/>
    <mergeCell ref="I5:I7"/>
    <mergeCell ref="J5:J7"/>
    <mergeCell ref="G5:G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2"/>
  <sheetViews>
    <sheetView zoomScale="120" zoomScaleNormal="120" zoomScalePageLayoutView="120" workbookViewId="0" topLeftCell="A31">
      <selection activeCell="D6" sqref="D6"/>
    </sheetView>
  </sheetViews>
  <sheetFormatPr defaultColWidth="9.00390625" defaultRowHeight="12.75"/>
  <cols>
    <col min="1" max="1" width="13.875" style="447" customWidth="1"/>
    <col min="2" max="2" width="88.625" style="447" customWidth="1"/>
    <col min="3" max="3" width="15.875" style="447" customWidth="1"/>
    <col min="4" max="4" width="16.875" style="447" customWidth="1"/>
    <col min="5" max="5" width="4.875" style="469" customWidth="1"/>
    <col min="6" max="16384" width="9.375" style="447" customWidth="1"/>
  </cols>
  <sheetData>
    <row r="1" spans="2:5" ht="47.25" customHeight="1">
      <c r="B1" s="559" t="str">
        <f>+CONCATENATE("A ",RM_ALAPADATOK!D7,". évi általános működés és ágazati feladatok támogatásának alakulása jogcímenként")</f>
        <v>A 2019. évi általános működés és ágazati feladatok támogatásának alakulása jogcímenként</v>
      </c>
      <c r="C1" s="559"/>
      <c r="D1" s="559"/>
      <c r="E1" s="560" t="str">
        <f>CONCATENATE("6. melléklet ",RM_ALAPADATOK!A7," ",RM_ALAPADATOK!B7," ",RM_ALAPADATOK!C7," ",RM_ALAPADATOK!D7," ",RM_ALAPADATOK!E7," ",RM_ALAPADATOK!F7," ",RM_ALAPADATOK!G7," ",RM_ALAPADATOK!H7)</f>
        <v>6. melléklet a  / 2019 ( … ) önkormányzati rendelethez</v>
      </c>
    </row>
    <row r="2" spans="2:5" ht="22.5" customHeight="1" thickBot="1">
      <c r="B2" s="448"/>
      <c r="C2" s="448"/>
      <c r="D2" s="449" t="s">
        <v>556</v>
      </c>
      <c r="E2" s="560"/>
    </row>
    <row r="3" spans="1:5" s="453" customFormat="1" ht="54" customHeight="1" thickBot="1">
      <c r="A3" s="450" t="s">
        <v>560</v>
      </c>
      <c r="B3" s="451" t="s">
        <v>557</v>
      </c>
      <c r="C3" s="452" t="str">
        <f>+CONCATENATE(RM_ALAPADATOK!D7,". évi tervezett támogatás összesen")</f>
        <v>2019. évi tervezett támogatás összesen</v>
      </c>
      <c r="D3" s="452" t="s">
        <v>558</v>
      </c>
      <c r="E3" s="560"/>
    </row>
    <row r="4" spans="1:5" s="458" customFormat="1" ht="13.5" thickBot="1">
      <c r="A4" s="454" t="s">
        <v>346</v>
      </c>
      <c r="B4" s="455" t="s">
        <v>347</v>
      </c>
      <c r="C4" s="456"/>
      <c r="D4" s="457" t="s">
        <v>348</v>
      </c>
      <c r="E4" s="560"/>
    </row>
    <row r="5" spans="1:5" ht="12.75">
      <c r="A5" s="473" t="s">
        <v>579</v>
      </c>
      <c r="B5" s="474" t="s">
        <v>580</v>
      </c>
      <c r="C5" s="475">
        <v>39708600</v>
      </c>
      <c r="D5" s="460">
        <f>C5+5202000+30475+1613581</f>
        <v>46554656</v>
      </c>
      <c r="E5" s="560"/>
    </row>
    <row r="6" spans="1:5" ht="12.75" customHeight="1">
      <c r="A6" s="476" t="s">
        <v>581</v>
      </c>
      <c r="B6" s="477" t="s">
        <v>582</v>
      </c>
      <c r="C6" s="478">
        <v>39708600</v>
      </c>
      <c r="D6" s="488">
        <f>D5</f>
        <v>46554656</v>
      </c>
      <c r="E6" s="560"/>
    </row>
    <row r="7" spans="1:5" ht="12.75">
      <c r="A7" s="479" t="s">
        <v>583</v>
      </c>
      <c r="B7" s="480" t="s">
        <v>584</v>
      </c>
      <c r="C7" s="475">
        <v>3657200</v>
      </c>
      <c r="D7" s="460">
        <f>3657200+963500</f>
        <v>4620700</v>
      </c>
      <c r="E7" s="560"/>
    </row>
    <row r="8" spans="1:5" ht="12.75">
      <c r="A8" s="479" t="s">
        <v>585</v>
      </c>
      <c r="B8" s="480" t="s">
        <v>586</v>
      </c>
      <c r="C8" s="475">
        <v>5088000</v>
      </c>
      <c r="D8" s="460">
        <v>5088000</v>
      </c>
      <c r="E8" s="560"/>
    </row>
    <row r="9" spans="1:5" ht="12.75">
      <c r="A9" s="479" t="s">
        <v>587</v>
      </c>
      <c r="B9" s="480" t="s">
        <v>588</v>
      </c>
      <c r="C9" s="475">
        <v>793983</v>
      </c>
      <c r="D9" s="460">
        <v>793983</v>
      </c>
      <c r="E9" s="560"/>
    </row>
    <row r="10" spans="1:5" ht="12.75">
      <c r="A10" s="479" t="s">
        <v>589</v>
      </c>
      <c r="B10" s="480" t="s">
        <v>590</v>
      </c>
      <c r="C10" s="475">
        <v>2985050</v>
      </c>
      <c r="D10" s="460">
        <v>2985050</v>
      </c>
      <c r="E10" s="560"/>
    </row>
    <row r="11" spans="1:5" ht="12.75">
      <c r="A11" s="476" t="s">
        <v>591</v>
      </c>
      <c r="B11" s="481" t="s">
        <v>592</v>
      </c>
      <c r="C11" s="478">
        <f>SUM(C7:C10)</f>
        <v>12524233</v>
      </c>
      <c r="D11" s="478">
        <f>SUM(D7:D10)</f>
        <v>13487733</v>
      </c>
      <c r="E11" s="560"/>
    </row>
    <row r="12" spans="1:5" ht="12.75">
      <c r="A12" s="476" t="s">
        <v>593</v>
      </c>
      <c r="B12" s="481" t="s">
        <v>594</v>
      </c>
      <c r="C12" s="478">
        <v>6000000</v>
      </c>
      <c r="D12" s="488">
        <v>6000000</v>
      </c>
      <c r="E12" s="560"/>
    </row>
    <row r="13" spans="1:5" ht="12.75">
      <c r="A13" s="476" t="s">
        <v>595</v>
      </c>
      <c r="B13" s="481" t="s">
        <v>596</v>
      </c>
      <c r="C13" s="478">
        <v>25500</v>
      </c>
      <c r="D13" s="488">
        <v>25500</v>
      </c>
      <c r="E13" s="560"/>
    </row>
    <row r="14" spans="1:5" ht="12.75">
      <c r="A14" s="476" t="s">
        <v>597</v>
      </c>
      <c r="B14" s="481" t="s">
        <v>598</v>
      </c>
      <c r="C14" s="478">
        <v>1243300</v>
      </c>
      <c r="D14" s="488">
        <v>1243300</v>
      </c>
      <c r="E14" s="560"/>
    </row>
    <row r="15" spans="1:5" ht="12.75">
      <c r="A15" s="476" t="s">
        <v>599</v>
      </c>
      <c r="B15" s="481" t="s">
        <v>600</v>
      </c>
      <c r="C15" s="478">
        <v>12094763</v>
      </c>
      <c r="D15" s="488">
        <v>12094763</v>
      </c>
      <c r="E15" s="560"/>
    </row>
    <row r="16" spans="1:5" ht="12.75">
      <c r="A16" s="476" t="s">
        <v>632</v>
      </c>
      <c r="B16" s="481" t="s">
        <v>637</v>
      </c>
      <c r="C16" s="478">
        <v>19239</v>
      </c>
      <c r="D16" s="488">
        <v>19239</v>
      </c>
      <c r="E16" s="560"/>
    </row>
    <row r="17" spans="1:5" ht="12.75">
      <c r="A17" s="476" t="s">
        <v>601</v>
      </c>
      <c r="B17" s="481" t="s">
        <v>602</v>
      </c>
      <c r="C17" s="478">
        <v>261900</v>
      </c>
      <c r="D17" s="488">
        <v>261900</v>
      </c>
      <c r="E17" s="560"/>
    </row>
    <row r="18" spans="1:5" ht="15.75">
      <c r="A18" s="482" t="s">
        <v>603</v>
      </c>
      <c r="B18" s="483" t="s">
        <v>604</v>
      </c>
      <c r="C18" s="484">
        <f>C6+C11+C12+C13+C14+C15+C17+C16</f>
        <v>71877535</v>
      </c>
      <c r="D18" s="484">
        <f>D6+D11+D12+D13+D14+D15+D17+D16</f>
        <v>79687091</v>
      </c>
      <c r="E18" s="560"/>
    </row>
    <row r="19" spans="1:5" ht="12.75">
      <c r="A19" s="485" t="s">
        <v>605</v>
      </c>
      <c r="B19" s="480" t="s">
        <v>606</v>
      </c>
      <c r="C19" s="475">
        <v>17486000</v>
      </c>
      <c r="D19" s="460">
        <v>17486000</v>
      </c>
      <c r="E19" s="560"/>
    </row>
    <row r="20" spans="1:5" ht="12.75">
      <c r="A20" s="485" t="s">
        <v>607</v>
      </c>
      <c r="B20" s="480" t="s">
        <v>608</v>
      </c>
      <c r="C20" s="475">
        <v>5880000</v>
      </c>
      <c r="D20" s="460">
        <f>5880000+780000</f>
        <v>6660000</v>
      </c>
      <c r="E20" s="560"/>
    </row>
    <row r="21" spans="1:5" ht="12.75">
      <c r="A21" s="485" t="s">
        <v>609</v>
      </c>
      <c r="B21" s="480" t="s">
        <v>606</v>
      </c>
      <c r="C21" s="475">
        <v>8743000</v>
      </c>
      <c r="D21" s="460">
        <v>8743000</v>
      </c>
      <c r="E21" s="560"/>
    </row>
    <row r="22" spans="1:5" ht="12.75">
      <c r="A22" s="485" t="s">
        <v>610</v>
      </c>
      <c r="B22" s="480" t="s">
        <v>608</v>
      </c>
      <c r="C22" s="475">
        <v>2940000</v>
      </c>
      <c r="D22" s="460">
        <v>2940000</v>
      </c>
      <c r="E22" s="560"/>
    </row>
    <row r="23" spans="1:5" ht="12.75">
      <c r="A23" s="485" t="s">
        <v>611</v>
      </c>
      <c r="B23" s="480" t="s">
        <v>612</v>
      </c>
      <c r="C23" s="475">
        <v>3766133</v>
      </c>
      <c r="D23" s="460">
        <v>3766133</v>
      </c>
      <c r="E23" s="560"/>
    </row>
    <row r="24" spans="1:5" ht="12.75">
      <c r="A24" s="485" t="s">
        <v>613</v>
      </c>
      <c r="B24" s="480" t="s">
        <v>612</v>
      </c>
      <c r="C24" s="475">
        <v>1850600</v>
      </c>
      <c r="D24" s="460">
        <v>1850600</v>
      </c>
      <c r="E24" s="560"/>
    </row>
    <row r="25" spans="1:5" ht="22.5">
      <c r="A25" s="486" t="s">
        <v>614</v>
      </c>
      <c r="B25" s="480" t="s">
        <v>615</v>
      </c>
      <c r="C25" s="475">
        <v>396700</v>
      </c>
      <c r="D25" s="460">
        <v>396700</v>
      </c>
      <c r="E25" s="560"/>
    </row>
    <row r="26" spans="1:5" ht="15.75">
      <c r="A26" s="482" t="s">
        <v>616</v>
      </c>
      <c r="B26" s="483" t="s">
        <v>617</v>
      </c>
      <c r="C26" s="484">
        <f>SUM(C19:C25)</f>
        <v>41062433</v>
      </c>
      <c r="D26" s="484">
        <f>SUM(D19:D25)</f>
        <v>41842433</v>
      </c>
      <c r="E26" s="560"/>
    </row>
    <row r="27" spans="1:5" ht="12.75">
      <c r="A27" s="485" t="s">
        <v>618</v>
      </c>
      <c r="B27" s="480" t="s">
        <v>619</v>
      </c>
      <c r="C27" s="475">
        <v>23659000</v>
      </c>
      <c r="D27" s="460">
        <v>23659000</v>
      </c>
      <c r="E27" s="560"/>
    </row>
    <row r="28" spans="1:5" ht="12.75">
      <c r="A28" s="485" t="s">
        <v>620</v>
      </c>
      <c r="B28" s="480" t="s">
        <v>621</v>
      </c>
      <c r="C28" s="475">
        <v>3400000</v>
      </c>
      <c r="D28" s="460">
        <f>3400000+380000</f>
        <v>3780000</v>
      </c>
      <c r="E28" s="560"/>
    </row>
    <row r="29" spans="1:5" ht="12.75">
      <c r="A29" s="485" t="s">
        <v>622</v>
      </c>
      <c r="B29" s="480" t="s">
        <v>623</v>
      </c>
      <c r="C29" s="475">
        <v>9443000</v>
      </c>
      <c r="D29" s="460">
        <f>9443000+994000</f>
        <v>10437000</v>
      </c>
      <c r="E29" s="560"/>
    </row>
    <row r="30" spans="1:5" ht="12.75">
      <c r="A30" s="485" t="s">
        <v>624</v>
      </c>
      <c r="B30" s="480" t="s">
        <v>625</v>
      </c>
      <c r="C30" s="475">
        <v>13474334</v>
      </c>
      <c r="D30" s="460">
        <v>13474334</v>
      </c>
      <c r="E30" s="560"/>
    </row>
    <row r="31" spans="1:5" ht="12.75">
      <c r="A31" s="485" t="s">
        <v>626</v>
      </c>
      <c r="B31" s="480" t="s">
        <v>627</v>
      </c>
      <c r="C31" s="475">
        <v>2489760</v>
      </c>
      <c r="D31" s="460">
        <v>2489760</v>
      </c>
      <c r="E31" s="560"/>
    </row>
    <row r="32" spans="1:5" ht="31.5">
      <c r="A32" s="482" t="s">
        <v>628</v>
      </c>
      <c r="B32" s="483" t="s">
        <v>629</v>
      </c>
      <c r="C32" s="484">
        <f>SUM(C27:C31)</f>
        <v>52466094</v>
      </c>
      <c r="D32" s="484">
        <f>SUM(D27:D31)</f>
        <v>53840094</v>
      </c>
      <c r="E32" s="560"/>
    </row>
    <row r="33" spans="1:5" ht="15.75">
      <c r="A33" s="482" t="s">
        <v>630</v>
      </c>
      <c r="B33" s="483" t="s">
        <v>631</v>
      </c>
      <c r="C33" s="484">
        <v>1882760</v>
      </c>
      <c r="D33" s="489">
        <f>2282760+64000</f>
        <v>2346760</v>
      </c>
      <c r="E33" s="560"/>
    </row>
    <row r="34" spans="1:5" ht="12.75">
      <c r="A34" s="461"/>
      <c r="B34" s="462"/>
      <c r="C34" s="459"/>
      <c r="D34" s="460"/>
      <c r="E34" s="560"/>
    </row>
    <row r="35" spans="1:5" ht="12.75">
      <c r="A35" s="461"/>
      <c r="B35" s="462"/>
      <c r="C35" s="459"/>
      <c r="D35" s="460"/>
      <c r="E35" s="560"/>
    </row>
    <row r="36" spans="1:5" ht="12.75">
      <c r="A36" s="461"/>
      <c r="B36" s="462"/>
      <c r="C36" s="459"/>
      <c r="D36" s="460"/>
      <c r="E36" s="560"/>
    </row>
    <row r="37" spans="1:5" ht="12.75">
      <c r="A37" s="461"/>
      <c r="B37" s="462"/>
      <c r="C37" s="459"/>
      <c r="D37" s="460"/>
      <c r="E37" s="560"/>
    </row>
    <row r="38" spans="1:5" ht="12.75">
      <c r="A38" s="461"/>
      <c r="B38" s="462"/>
      <c r="C38" s="459"/>
      <c r="D38" s="460"/>
      <c r="E38" s="560"/>
    </row>
    <row r="39" spans="1:5" ht="12.75">
      <c r="A39" s="461"/>
      <c r="B39" s="462"/>
      <c r="C39" s="459"/>
      <c r="D39" s="460"/>
      <c r="E39" s="560"/>
    </row>
    <row r="40" spans="1:5" ht="12.75">
      <c r="A40" s="461"/>
      <c r="B40" s="462"/>
      <c r="C40" s="459"/>
      <c r="D40" s="460"/>
      <c r="E40" s="560"/>
    </row>
    <row r="41" spans="1:5" ht="12.75">
      <c r="A41" s="461"/>
      <c r="B41" s="462"/>
      <c r="C41" s="459"/>
      <c r="D41" s="460"/>
      <c r="E41" s="560"/>
    </row>
    <row r="42" spans="1:5" ht="12.75">
      <c r="A42" s="461"/>
      <c r="B42" s="462"/>
      <c r="C42" s="459"/>
      <c r="D42" s="460"/>
      <c r="E42" s="560"/>
    </row>
    <row r="43" spans="1:5" ht="12.75">
      <c r="A43" s="461"/>
      <c r="B43" s="462"/>
      <c r="C43" s="459"/>
      <c r="D43" s="460"/>
      <c r="E43" s="560"/>
    </row>
    <row r="44" spans="1:5" ht="12.75">
      <c r="A44" s="461"/>
      <c r="B44" s="462"/>
      <c r="C44" s="459"/>
      <c r="D44" s="460"/>
      <c r="E44" s="560"/>
    </row>
    <row r="45" spans="1:5" ht="12.75">
      <c r="A45" s="461"/>
      <c r="B45" s="462"/>
      <c r="C45" s="459"/>
      <c r="D45" s="460"/>
      <c r="E45" s="560"/>
    </row>
    <row r="46" spans="1:5" ht="12.75">
      <c r="A46" s="461"/>
      <c r="B46" s="462"/>
      <c r="C46" s="459"/>
      <c r="D46" s="460"/>
      <c r="E46" s="560"/>
    </row>
    <row r="47" spans="1:5" ht="12.75">
      <c r="A47" s="461"/>
      <c r="B47" s="462"/>
      <c r="C47" s="459"/>
      <c r="D47" s="460"/>
      <c r="E47" s="560"/>
    </row>
    <row r="48" spans="1:5" ht="12.75">
      <c r="A48" s="461"/>
      <c r="B48" s="462"/>
      <c r="C48" s="459"/>
      <c r="D48" s="460"/>
      <c r="E48" s="560"/>
    </row>
    <row r="49" spans="1:5" ht="12.75">
      <c r="A49" s="461"/>
      <c r="B49" s="462"/>
      <c r="C49" s="459"/>
      <c r="D49" s="460"/>
      <c r="E49" s="560"/>
    </row>
    <row r="50" spans="1:5" ht="13.5" thickBot="1">
      <c r="A50" s="463"/>
      <c r="B50" s="464"/>
      <c r="C50" s="465"/>
      <c r="D50" s="460"/>
      <c r="E50" s="560"/>
    </row>
    <row r="51" spans="1:5" s="468" customFormat="1" ht="19.5" customHeight="1" thickBot="1">
      <c r="A51" s="466"/>
      <c r="B51" s="467" t="s">
        <v>559</v>
      </c>
      <c r="C51" s="487">
        <f>C33+C32+C26+C18</f>
        <v>167288822</v>
      </c>
      <c r="D51" s="487">
        <f>D33+D32+D26+D18</f>
        <v>177716378</v>
      </c>
      <c r="E51" s="560"/>
    </row>
    <row r="52" spans="1:2" ht="12.75">
      <c r="A52" s="561" t="s">
        <v>563</v>
      </c>
      <c r="B52" s="561"/>
    </row>
  </sheetData>
  <sheetProtection/>
  <mergeCells count="3">
    <mergeCell ref="B1:D1"/>
    <mergeCell ref="E1:E51"/>
    <mergeCell ref="A52:B5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9" t="s">
        <v>423</v>
      </c>
      <c r="B1" s="60"/>
    </row>
    <row r="2" spans="1:2" ht="12.75">
      <c r="A2" s="60"/>
      <c r="B2" s="60"/>
    </row>
    <row r="3" spans="1:2" ht="12.75">
      <c r="A3" s="211"/>
      <c r="B3" s="211"/>
    </row>
    <row r="4" spans="1:2" ht="15.75">
      <c r="A4" s="62"/>
      <c r="B4" s="215"/>
    </row>
    <row r="5" spans="1:2" ht="15.75">
      <c r="A5" s="62"/>
      <c r="B5" s="215"/>
    </row>
    <row r="6" spans="1:2" s="54" customFormat="1" ht="15.75">
      <c r="A6" s="62" t="s">
        <v>458</v>
      </c>
      <c r="B6" s="211"/>
    </row>
    <row r="7" spans="1:2" s="54" customFormat="1" ht="12.75">
      <c r="A7" s="211"/>
      <c r="B7" s="211"/>
    </row>
    <row r="8" spans="1:2" s="54" customFormat="1" ht="12.75">
      <c r="A8" s="211"/>
      <c r="B8" s="211"/>
    </row>
    <row r="9" spans="1:2" ht="12.75">
      <c r="A9" s="211" t="s">
        <v>394</v>
      </c>
      <c r="B9" s="211" t="s">
        <v>374</v>
      </c>
    </row>
    <row r="10" spans="1:2" ht="12.75">
      <c r="A10" s="211" t="s">
        <v>392</v>
      </c>
      <c r="B10" s="211" t="s">
        <v>380</v>
      </c>
    </row>
    <row r="11" spans="1:2" ht="12.75">
      <c r="A11" s="211" t="s">
        <v>393</v>
      </c>
      <c r="B11" s="211" t="s">
        <v>381</v>
      </c>
    </row>
    <row r="12" spans="1:2" ht="12.75">
      <c r="A12" s="211"/>
      <c r="B12" s="211"/>
    </row>
    <row r="13" spans="1:2" ht="15.75">
      <c r="A13" s="62" t="str">
        <f>+CONCATENATE(LEFT(A6,4),". évi előirányzat módosítások BEVÉTELEK")</f>
        <v>2019. évi előirányzat módosítások BEVÉTELEK</v>
      </c>
      <c r="B13" s="215"/>
    </row>
    <row r="14" spans="1:2" ht="12.75">
      <c r="A14" s="211"/>
      <c r="B14" s="211"/>
    </row>
    <row r="15" spans="1:2" s="54" customFormat="1" ht="12.75">
      <c r="A15" s="211" t="s">
        <v>395</v>
      </c>
      <c r="B15" s="211" t="s">
        <v>375</v>
      </c>
    </row>
    <row r="16" spans="1:2" ht="12.75">
      <c r="A16" s="211" t="s">
        <v>396</v>
      </c>
      <c r="B16" s="211" t="s">
        <v>382</v>
      </c>
    </row>
    <row r="17" spans="1:2" ht="12.75">
      <c r="A17" s="211" t="s">
        <v>397</v>
      </c>
      <c r="B17" s="211" t="s">
        <v>383</v>
      </c>
    </row>
    <row r="18" spans="1:2" ht="12.75">
      <c r="A18" s="211"/>
      <c r="B18" s="211"/>
    </row>
    <row r="19" spans="1:2" ht="14.25">
      <c r="A19" s="218" t="str">
        <f>+CONCATENATE(LEFT(A6,4),". módosítás utáni módosított előrirányzatok BEVÉTELEK")</f>
        <v>2019. módosítás utáni módosított előrirányzatok BEVÉTELEK</v>
      </c>
      <c r="B19" s="215"/>
    </row>
    <row r="20" spans="1:2" ht="12.75">
      <c r="A20" s="211"/>
      <c r="B20" s="211"/>
    </row>
    <row r="21" spans="1:2" ht="12.75">
      <c r="A21" s="211" t="s">
        <v>398</v>
      </c>
      <c r="B21" s="211" t="s">
        <v>376</v>
      </c>
    </row>
    <row r="22" spans="1:2" ht="12.75">
      <c r="A22" s="211" t="s">
        <v>399</v>
      </c>
      <c r="B22" s="211" t="s">
        <v>384</v>
      </c>
    </row>
    <row r="23" spans="1:2" ht="12.75">
      <c r="A23" s="211" t="s">
        <v>400</v>
      </c>
      <c r="B23" s="211" t="s">
        <v>385</v>
      </c>
    </row>
    <row r="24" spans="1:2" ht="12.75">
      <c r="A24" s="211"/>
      <c r="B24" s="211"/>
    </row>
    <row r="25" spans="1:2" ht="15.75">
      <c r="A25" s="62" t="str">
        <f>+CONCATENATE(LEFT(A6,4),". évi eredeti előirányzat KIADÁSOK")</f>
        <v>2019. évi eredeti előirányzat KIADÁSOK</v>
      </c>
      <c r="B25" s="215"/>
    </row>
    <row r="26" spans="1:2" ht="12.75">
      <c r="A26" s="211"/>
      <c r="B26" s="211"/>
    </row>
    <row r="27" spans="1:2" ht="12.75">
      <c r="A27" s="211" t="s">
        <v>401</v>
      </c>
      <c r="B27" s="211" t="s">
        <v>377</v>
      </c>
    </row>
    <row r="28" spans="1:2" ht="12.75">
      <c r="A28" s="211" t="s">
        <v>402</v>
      </c>
      <c r="B28" s="211" t="s">
        <v>386</v>
      </c>
    </row>
    <row r="29" spans="1:2" ht="12.75">
      <c r="A29" s="211" t="s">
        <v>403</v>
      </c>
      <c r="B29" s="211" t="s">
        <v>387</v>
      </c>
    </row>
    <row r="30" spans="1:2" ht="12.75">
      <c r="A30" s="211"/>
      <c r="B30" s="211"/>
    </row>
    <row r="31" spans="1:2" ht="15.75">
      <c r="A31" s="62" t="str">
        <f>+CONCATENATE(LEFT(A6,4),". évi előirányzat módosítások KIADÁSOK")</f>
        <v>2019. évi előirányzat módosítások KIADÁSOK</v>
      </c>
      <c r="B31" s="215"/>
    </row>
    <row r="32" spans="1:2" ht="12.75">
      <c r="A32" s="211"/>
      <c r="B32" s="211"/>
    </row>
    <row r="33" spans="1:2" ht="12.75">
      <c r="A33" s="211" t="s">
        <v>404</v>
      </c>
      <c r="B33" s="211" t="s">
        <v>378</v>
      </c>
    </row>
    <row r="34" spans="1:2" ht="12.75">
      <c r="A34" s="211" t="s">
        <v>405</v>
      </c>
      <c r="B34" s="211" t="s">
        <v>388</v>
      </c>
    </row>
    <row r="35" spans="1:2" ht="12.75">
      <c r="A35" s="211" t="s">
        <v>406</v>
      </c>
      <c r="B35" s="211" t="s">
        <v>389</v>
      </c>
    </row>
    <row r="36" spans="1:2" ht="12.75">
      <c r="A36" s="211"/>
      <c r="B36" s="211"/>
    </row>
    <row r="37" spans="1:2" ht="15.75">
      <c r="A37" s="217" t="str">
        <f>+CONCATENATE(LEFT(A6,4),". módosítás utáni módosított előirányzatok KIADÁSOK")</f>
        <v>2019. módosítás utáni módosított előirányzatok KIADÁSOK</v>
      </c>
      <c r="B37" s="215"/>
    </row>
    <row r="38" spans="1:2" ht="12.75">
      <c r="A38" s="211"/>
      <c r="B38" s="211"/>
    </row>
    <row r="39" spans="1:2" ht="12.75">
      <c r="A39" s="211" t="s">
        <v>407</v>
      </c>
      <c r="B39" s="211" t="s">
        <v>379</v>
      </c>
    </row>
    <row r="40" spans="1:2" ht="12.75">
      <c r="A40" s="211" t="s">
        <v>408</v>
      </c>
      <c r="B40" s="211" t="s">
        <v>390</v>
      </c>
    </row>
    <row r="41" spans="1:2" ht="12.75">
      <c r="A41" s="211" t="s">
        <v>409</v>
      </c>
      <c r="B41" s="211" t="s">
        <v>391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5" sqref="T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SheetLayoutView="100" workbookViewId="0" topLeftCell="A97">
      <selection activeCell="J103" sqref="J103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7"/>
      <c r="B1" s="501" t="str">
        <f>CONCATENATE("1.1. melléklet ",RM_ALAPADATOK!A7," ",RM_ALAPADATOK!B7," ",RM_ALAPADATOK!C7," ",RM_ALAPADATOK!D7," ",RM_ALAPADATOK!E7," ",RM_ALAPADATOK!F7," ",RM_ALAPADATOK!G7," ",RM_ALAPADATOK!H7)</f>
        <v>1.1. melléklet a  / 2019 ( … ) önkormányzati rendelethez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ht="15.75">
      <c r="A2" s="307"/>
      <c r="B2" s="307"/>
      <c r="C2" s="308"/>
      <c r="D2" s="309"/>
      <c r="E2" s="309"/>
      <c r="F2" s="309"/>
      <c r="G2" s="309"/>
      <c r="H2" s="309"/>
      <c r="I2" s="309"/>
      <c r="J2" s="309"/>
      <c r="K2" s="309"/>
    </row>
    <row r="3" spans="1:11" ht="15.75">
      <c r="A3" s="503">
        <f>CONCATENATE(RM_ALAPADATOK!A4)</f>
      </c>
      <c r="B3" s="503"/>
      <c r="C3" s="504"/>
      <c r="D3" s="503"/>
      <c r="E3" s="503"/>
      <c r="F3" s="503"/>
      <c r="G3" s="503"/>
      <c r="H3" s="503"/>
      <c r="I3" s="503"/>
      <c r="J3" s="503"/>
      <c r="K3" s="503"/>
    </row>
    <row r="4" spans="1:11" ht="15.75">
      <c r="A4" s="503" t="s">
        <v>457</v>
      </c>
      <c r="B4" s="503"/>
      <c r="C4" s="504"/>
      <c r="D4" s="503"/>
      <c r="E4" s="503"/>
      <c r="F4" s="503"/>
      <c r="G4" s="503"/>
      <c r="H4" s="503"/>
      <c r="I4" s="503"/>
      <c r="J4" s="503"/>
      <c r="K4" s="503"/>
    </row>
    <row r="5" spans="1:11" ht="15.75">
      <c r="A5" s="307"/>
      <c r="B5" s="307"/>
      <c r="C5" s="308"/>
      <c r="D5" s="309"/>
      <c r="E5" s="309"/>
      <c r="F5" s="309"/>
      <c r="G5" s="309"/>
      <c r="H5" s="309"/>
      <c r="I5" s="309"/>
      <c r="J5" s="309"/>
      <c r="K5" s="309"/>
    </row>
    <row r="6" spans="1:11" ht="15.75" customHeight="1">
      <c r="A6" s="505" t="s">
        <v>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 thickBot="1">
      <c r="A7" s="515" t="s">
        <v>81</v>
      </c>
      <c r="B7" s="515"/>
      <c r="C7" s="310"/>
      <c r="D7" s="309"/>
      <c r="E7" s="309"/>
      <c r="F7" s="309"/>
      <c r="G7" s="309"/>
      <c r="H7" s="309"/>
      <c r="I7" s="309"/>
      <c r="J7" s="309"/>
      <c r="K7" s="310" t="s">
        <v>429</v>
      </c>
    </row>
    <row r="8" spans="1:11" ht="15.75">
      <c r="A8" s="510" t="s">
        <v>46</v>
      </c>
      <c r="B8" s="512" t="s">
        <v>2</v>
      </c>
      <c r="C8" s="506" t="str">
        <f>+CONCATENATE(LEFT(RM_ÖSSZEFÜGGÉSEK!A6,4),". évi")</f>
        <v>2019. évi</v>
      </c>
      <c r="D8" s="507"/>
      <c r="E8" s="508"/>
      <c r="F8" s="508"/>
      <c r="G8" s="508"/>
      <c r="H8" s="508"/>
      <c r="I8" s="508"/>
      <c r="J8" s="508"/>
      <c r="K8" s="509"/>
    </row>
    <row r="9" spans="1:11" ht="48.75" thickBot="1">
      <c r="A9" s="511"/>
      <c r="B9" s="513"/>
      <c r="C9" s="284" t="s">
        <v>370</v>
      </c>
      <c r="D9" s="304" t="s">
        <v>555</v>
      </c>
      <c r="E9" s="304" t="s">
        <v>568</v>
      </c>
      <c r="F9" s="304" t="s">
        <v>505</v>
      </c>
      <c r="G9" s="304" t="s">
        <v>506</v>
      </c>
      <c r="H9" s="304" t="s">
        <v>569</v>
      </c>
      <c r="I9" s="304" t="s">
        <v>507</v>
      </c>
      <c r="J9" s="305" t="s">
        <v>435</v>
      </c>
      <c r="K9" s="306" t="s">
        <v>570</v>
      </c>
    </row>
    <row r="10" spans="1:11" s="137" customFormat="1" ht="12" customHeight="1" thickBot="1">
      <c r="A10" s="133" t="s">
        <v>346</v>
      </c>
      <c r="B10" s="134" t="s">
        <v>347</v>
      </c>
      <c r="C10" s="285" t="s">
        <v>348</v>
      </c>
      <c r="D10" s="285" t="s">
        <v>350</v>
      </c>
      <c r="E10" s="286" t="s">
        <v>349</v>
      </c>
      <c r="F10" s="286" t="s">
        <v>351</v>
      </c>
      <c r="G10" s="286" t="s">
        <v>352</v>
      </c>
      <c r="H10" s="286" t="s">
        <v>353</v>
      </c>
      <c r="I10" s="286" t="s">
        <v>459</v>
      </c>
      <c r="J10" s="286" t="s">
        <v>460</v>
      </c>
      <c r="K10" s="303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210669075</v>
      </c>
      <c r="D11" s="126">
        <f aca="true" t="shared" si="0" ref="D11:K11">+D12+D13+D14+D15+D16+D17</f>
        <v>5665115</v>
      </c>
      <c r="E11" s="126">
        <f t="shared" si="0"/>
        <v>7436681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13101796</v>
      </c>
      <c r="K11" s="68">
        <f t="shared" si="0"/>
        <v>223770871</v>
      </c>
    </row>
    <row r="12" spans="1:11" s="138" customFormat="1" ht="12" customHeight="1">
      <c r="A12" s="12" t="s">
        <v>58</v>
      </c>
      <c r="B12" s="139" t="s">
        <v>138</v>
      </c>
      <c r="C12" s="128">
        <v>71877535</v>
      </c>
      <c r="D12" s="128">
        <v>5232475</v>
      </c>
      <c r="E12" s="128">
        <v>2577081</v>
      </c>
      <c r="F12" s="128"/>
      <c r="G12" s="128"/>
      <c r="H12" s="128"/>
      <c r="I12" s="128"/>
      <c r="J12" s="167">
        <f aca="true" t="shared" si="1" ref="J12:J17">D12+E12+F12+G12+H12+I12</f>
        <v>7809556</v>
      </c>
      <c r="K12" s="166">
        <f aca="true" t="shared" si="2" ref="K12:K17">C12+J12</f>
        <v>79687091</v>
      </c>
    </row>
    <row r="13" spans="1:11" s="138" customFormat="1" ht="12" customHeight="1">
      <c r="A13" s="11" t="s">
        <v>59</v>
      </c>
      <c r="B13" s="140" t="s">
        <v>139</v>
      </c>
      <c r="C13" s="127">
        <v>41062433</v>
      </c>
      <c r="D13" s="127"/>
      <c r="E13" s="128">
        <v>780000</v>
      </c>
      <c r="F13" s="128"/>
      <c r="G13" s="128"/>
      <c r="H13" s="128"/>
      <c r="I13" s="128"/>
      <c r="J13" s="167">
        <f t="shared" si="1"/>
        <v>780000</v>
      </c>
      <c r="K13" s="166">
        <f t="shared" si="2"/>
        <v>41842433</v>
      </c>
    </row>
    <row r="14" spans="1:11" s="138" customFormat="1" ht="12" customHeight="1">
      <c r="A14" s="11" t="s">
        <v>60</v>
      </c>
      <c r="B14" s="140" t="s">
        <v>140</v>
      </c>
      <c r="C14" s="127">
        <v>52466094</v>
      </c>
      <c r="D14" s="127"/>
      <c r="E14" s="128">
        <v>1374000</v>
      </c>
      <c r="F14" s="128"/>
      <c r="G14" s="128"/>
      <c r="H14" s="128"/>
      <c r="I14" s="128"/>
      <c r="J14" s="167">
        <f t="shared" si="1"/>
        <v>1374000</v>
      </c>
      <c r="K14" s="166">
        <f t="shared" si="2"/>
        <v>53840094</v>
      </c>
    </row>
    <row r="15" spans="1:11" s="138" customFormat="1" ht="12" customHeight="1">
      <c r="A15" s="11" t="s">
        <v>61</v>
      </c>
      <c r="B15" s="140" t="s">
        <v>141</v>
      </c>
      <c r="C15" s="127">
        <v>1882760</v>
      </c>
      <c r="D15" s="127">
        <v>400000</v>
      </c>
      <c r="E15" s="128">
        <v>64000</v>
      </c>
      <c r="F15" s="128"/>
      <c r="G15" s="128"/>
      <c r="H15" s="128"/>
      <c r="I15" s="128"/>
      <c r="J15" s="167">
        <f t="shared" si="1"/>
        <v>464000</v>
      </c>
      <c r="K15" s="166">
        <f t="shared" si="2"/>
        <v>2346760</v>
      </c>
    </row>
    <row r="16" spans="1:11" s="138" customFormat="1" ht="12" customHeight="1">
      <c r="A16" s="11" t="s">
        <v>78</v>
      </c>
      <c r="B16" s="70" t="s">
        <v>291</v>
      </c>
      <c r="C16" s="127">
        <v>43380253</v>
      </c>
      <c r="D16" s="127"/>
      <c r="E16" s="128">
        <v>2641600</v>
      </c>
      <c r="F16" s="128"/>
      <c r="G16" s="128"/>
      <c r="H16" s="128"/>
      <c r="I16" s="128"/>
      <c r="J16" s="167">
        <f t="shared" si="1"/>
        <v>2641600</v>
      </c>
      <c r="K16" s="166">
        <f t="shared" si="2"/>
        <v>46021853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>
        <v>32640</v>
      </c>
      <c r="E17" s="128"/>
      <c r="F17" s="128"/>
      <c r="G17" s="128"/>
      <c r="H17" s="128"/>
      <c r="I17" s="128"/>
      <c r="J17" s="167">
        <f t="shared" si="1"/>
        <v>32640</v>
      </c>
      <c r="K17" s="166">
        <f t="shared" si="2"/>
        <v>32640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43238118</v>
      </c>
      <c r="D18" s="126">
        <f aca="true" t="shared" si="3" ref="D18:K18">+D19+D20+D21+D22+D23</f>
        <v>81594174</v>
      </c>
      <c r="E18" s="126">
        <f t="shared" si="3"/>
        <v>5270495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86864669</v>
      </c>
      <c r="K18" s="68">
        <f t="shared" si="3"/>
        <v>130102787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43238118</v>
      </c>
      <c r="D23" s="127">
        <v>81594174</v>
      </c>
      <c r="E23" s="128">
        <v>5270495</v>
      </c>
      <c r="F23" s="128"/>
      <c r="G23" s="128"/>
      <c r="H23" s="128"/>
      <c r="I23" s="128"/>
      <c r="J23" s="167">
        <f t="shared" si="4"/>
        <v>86864669</v>
      </c>
      <c r="K23" s="166">
        <f t="shared" si="5"/>
        <v>130102787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>
        <v>15269036</v>
      </c>
      <c r="E24" s="248"/>
      <c r="F24" s="248"/>
      <c r="G24" s="248"/>
      <c r="H24" s="248"/>
      <c r="I24" s="248"/>
      <c r="J24" s="167">
        <f t="shared" si="4"/>
        <v>15269036</v>
      </c>
      <c r="K24" s="166">
        <f t="shared" si="5"/>
        <v>15269036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38775529</v>
      </c>
      <c r="E25" s="126">
        <f t="shared" si="6"/>
        <v>42996269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81771798</v>
      </c>
      <c r="K25" s="68">
        <f t="shared" si="6"/>
        <v>81771798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>
        <v>40000000</v>
      </c>
      <c r="F26" s="128"/>
      <c r="G26" s="128"/>
      <c r="H26" s="128"/>
      <c r="I26" s="128"/>
      <c r="J26" s="167">
        <f aca="true" t="shared" si="7" ref="J26:J31">D26+E26+F26+G26+H26+I26</f>
        <v>40000000</v>
      </c>
      <c r="K26" s="166">
        <f aca="true" t="shared" si="8" ref="K26:K31">C26+J26</f>
        <v>40000000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>
        <v>38775529</v>
      </c>
      <c r="E30" s="128">
        <v>2996269</v>
      </c>
      <c r="F30" s="128"/>
      <c r="G30" s="128"/>
      <c r="H30" s="128"/>
      <c r="I30" s="128"/>
      <c r="J30" s="167">
        <f t="shared" si="7"/>
        <v>41771798</v>
      </c>
      <c r="K30" s="166">
        <f t="shared" si="8"/>
        <v>41771798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>
        <v>159659</v>
      </c>
      <c r="E31" s="248"/>
      <c r="F31" s="248"/>
      <c r="G31" s="248"/>
      <c r="H31" s="248"/>
      <c r="I31" s="248"/>
      <c r="J31" s="272">
        <f t="shared" si="7"/>
        <v>159659</v>
      </c>
      <c r="K31" s="166">
        <f t="shared" si="8"/>
        <v>159659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23670000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23670000</v>
      </c>
    </row>
    <row r="33" spans="1:11" s="138" customFormat="1" ht="12" customHeight="1">
      <c r="A33" s="12" t="s">
        <v>152</v>
      </c>
      <c r="B33" s="139" t="s">
        <v>414</v>
      </c>
      <c r="C33" s="167">
        <v>480000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480000</v>
      </c>
    </row>
    <row r="34" spans="1:11" s="138" customFormat="1" ht="12" customHeight="1">
      <c r="A34" s="11" t="s">
        <v>153</v>
      </c>
      <c r="B34" s="140" t="s">
        <v>415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>
      <c r="A35" s="11" t="s">
        <v>154</v>
      </c>
      <c r="B35" s="140" t="s">
        <v>416</v>
      </c>
      <c r="C35" s="127">
        <v>19500000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19500000</v>
      </c>
    </row>
    <row r="36" spans="1:11" s="138" customFormat="1" ht="12" customHeight="1">
      <c r="A36" s="11" t="s">
        <v>155</v>
      </c>
      <c r="B36" s="140" t="s">
        <v>417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>
      <c r="A37" s="11" t="s">
        <v>418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170000</v>
      </c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170000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23476172</v>
      </c>
      <c r="D40" s="126">
        <f aca="true" t="shared" si="12" ref="D40:K40">SUM(D41:D51)</f>
        <v>710256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710256</v>
      </c>
      <c r="K40" s="68">
        <f t="shared" si="12"/>
        <v>24186428</v>
      </c>
    </row>
    <row r="41" spans="1:11" s="138" customFormat="1" ht="12" customHeight="1">
      <c r="A41" s="12" t="s">
        <v>51</v>
      </c>
      <c r="B41" s="139" t="s">
        <v>161</v>
      </c>
      <c r="C41" s="128">
        <v>2000000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2000000</v>
      </c>
    </row>
    <row r="42" spans="1:11" s="138" customFormat="1" ht="12" customHeight="1">
      <c r="A42" s="11" t="s">
        <v>52</v>
      </c>
      <c r="B42" s="140" t="s">
        <v>162</v>
      </c>
      <c r="C42" s="127">
        <v>8115000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8115000</v>
      </c>
    </row>
    <row r="43" spans="1:11" s="138" customFormat="1" ht="12" customHeight="1">
      <c r="A43" s="11" t="s">
        <v>53</v>
      </c>
      <c r="B43" s="140" t="s">
        <v>163</v>
      </c>
      <c r="C43" s="127">
        <v>8170000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8170000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>
        <v>1128398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1128398</v>
      </c>
    </row>
    <row r="46" spans="1:11" s="138" customFormat="1" ht="12" customHeight="1">
      <c r="A46" s="11" t="s">
        <v>95</v>
      </c>
      <c r="B46" s="140" t="s">
        <v>166</v>
      </c>
      <c r="C46" s="127">
        <v>2738547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2738547</v>
      </c>
    </row>
    <row r="47" spans="1:11" s="138" customFormat="1" ht="12" customHeight="1">
      <c r="A47" s="11" t="s">
        <v>96</v>
      </c>
      <c r="B47" s="140" t="s">
        <v>167</v>
      </c>
      <c r="C47" s="127">
        <v>1324227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1324227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>
        <v>610256</v>
      </c>
      <c r="E50" s="249"/>
      <c r="F50" s="249"/>
      <c r="G50" s="249"/>
      <c r="H50" s="249"/>
      <c r="I50" s="249"/>
      <c r="J50" s="274">
        <f t="shared" si="13"/>
        <v>610256</v>
      </c>
      <c r="K50" s="166">
        <f t="shared" si="14"/>
        <v>610256</v>
      </c>
    </row>
    <row r="51" spans="1:11" s="138" customFormat="1" ht="12" customHeight="1" thickBot="1">
      <c r="A51" s="15" t="s">
        <v>294</v>
      </c>
      <c r="B51" s="302" t="s">
        <v>170</v>
      </c>
      <c r="C51" s="252"/>
      <c r="D51" s="252">
        <v>100000</v>
      </c>
      <c r="E51" s="252"/>
      <c r="F51" s="252"/>
      <c r="G51" s="252"/>
      <c r="H51" s="252"/>
      <c r="I51" s="252"/>
      <c r="J51" s="275">
        <f t="shared" si="13"/>
        <v>100000</v>
      </c>
      <c r="K51" s="229">
        <f t="shared" si="14"/>
        <v>100000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280000</v>
      </c>
      <c r="D58" s="126">
        <f aca="true" t="shared" si="16" ref="D58:K58">SUM(D59:D61)</f>
        <v>1510000</v>
      </c>
      <c r="E58" s="126">
        <f t="shared" si="16"/>
        <v>275000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1785000</v>
      </c>
      <c r="K58" s="68">
        <f t="shared" si="16"/>
        <v>2065000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>
        <v>280000</v>
      </c>
      <c r="D61" s="127">
        <v>1510000</v>
      </c>
      <c r="E61" s="128">
        <v>275000</v>
      </c>
      <c r="F61" s="128"/>
      <c r="G61" s="128"/>
      <c r="H61" s="128"/>
      <c r="I61" s="128"/>
      <c r="J61" s="167">
        <f>D61+E61+F61+G61+H61+I61</f>
        <v>1785000</v>
      </c>
      <c r="K61" s="166">
        <f>C61+J61</f>
        <v>2065000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301333365</v>
      </c>
      <c r="D68" s="132">
        <f aca="true" t="shared" si="18" ref="D68:K68">+D11+D18+D25+D32+D40+D52+D58+D63</f>
        <v>128255074</v>
      </c>
      <c r="E68" s="132">
        <f t="shared" si="18"/>
        <v>55978445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184233519</v>
      </c>
      <c r="K68" s="165">
        <f t="shared" si="18"/>
        <v>485566884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87" t="s">
        <v>320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5" t="s">
        <v>199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45" t="s">
        <v>432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45" t="s">
        <v>200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46" t="s">
        <v>433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644050438</v>
      </c>
      <c r="D78" s="126">
        <f aca="true" t="shared" si="21" ref="D78:K78">SUM(D79:D80)</f>
        <v>-50385019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-50385019</v>
      </c>
      <c r="K78" s="68">
        <f t="shared" si="21"/>
        <v>593665419</v>
      </c>
    </row>
    <row r="79" spans="1:11" s="138" customFormat="1" ht="12" customHeight="1">
      <c r="A79" s="12" t="s">
        <v>224</v>
      </c>
      <c r="B79" s="139" t="s">
        <v>203</v>
      </c>
      <c r="C79" s="130">
        <v>644050438</v>
      </c>
      <c r="D79" s="130">
        <v>-50385019</v>
      </c>
      <c r="E79" s="130"/>
      <c r="F79" s="130"/>
      <c r="G79" s="130"/>
      <c r="H79" s="130"/>
      <c r="I79" s="130"/>
      <c r="J79" s="276">
        <f>D79+E79+F79+G79+H79+I79</f>
        <v>-50385019</v>
      </c>
      <c r="K79" s="226">
        <f>C79+J79</f>
        <v>593665419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6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644050438</v>
      </c>
      <c r="D92" s="132">
        <f aca="true" t="shared" si="26" ref="D92:K92">+D69+D73+D78+D81+D85+D91+D90</f>
        <v>-50385019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-50385019</v>
      </c>
      <c r="K92" s="165">
        <f t="shared" si="26"/>
        <v>593665419</v>
      </c>
    </row>
    <row r="93" spans="1:11" s="138" customFormat="1" ht="25.5" customHeight="1" thickBot="1">
      <c r="A93" s="170" t="s">
        <v>336</v>
      </c>
      <c r="B93" s="322" t="s">
        <v>338</v>
      </c>
      <c r="C93" s="132">
        <f>+C68+C92</f>
        <v>945383803</v>
      </c>
      <c r="D93" s="132">
        <f aca="true" t="shared" si="27" ref="D93:K93">+D68+D92</f>
        <v>77870055</v>
      </c>
      <c r="E93" s="132">
        <f t="shared" si="27"/>
        <v>55978445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133848500</v>
      </c>
      <c r="K93" s="165">
        <f t="shared" si="27"/>
        <v>1079232303</v>
      </c>
    </row>
    <row r="94" spans="1:3" s="138" customFormat="1" ht="30.75" customHeight="1">
      <c r="A94" s="2"/>
      <c r="B94" s="3"/>
      <c r="C94" s="73"/>
    </row>
    <row r="95" spans="1:11" ht="16.5" customHeight="1">
      <c r="A95" s="514" t="s">
        <v>31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</row>
    <row r="96" spans="1:11" s="145" customFormat="1" ht="16.5" customHeight="1" thickBot="1">
      <c r="A96" s="516" t="s">
        <v>82</v>
      </c>
      <c r="B96" s="516"/>
      <c r="C96" s="49"/>
      <c r="K96" s="49" t="str">
        <f>K7</f>
        <v>Forintban!</v>
      </c>
    </row>
    <row r="97" spans="1:11" ht="15.75">
      <c r="A97" s="510" t="s">
        <v>46</v>
      </c>
      <c r="B97" s="512" t="s">
        <v>371</v>
      </c>
      <c r="C97" s="506" t="str">
        <f>+CONCATENATE(LEFT(RM_ÖSSZEFÜGGÉSEK!A6,4),". évi")</f>
        <v>2019. évi</v>
      </c>
      <c r="D97" s="507"/>
      <c r="E97" s="508"/>
      <c r="F97" s="508"/>
      <c r="G97" s="508"/>
      <c r="H97" s="508"/>
      <c r="I97" s="508"/>
      <c r="J97" s="508"/>
      <c r="K97" s="509"/>
    </row>
    <row r="98" spans="1:11" ht="48.75" thickBot="1">
      <c r="A98" s="511"/>
      <c r="B98" s="513"/>
      <c r="C98" s="443" t="s">
        <v>370</v>
      </c>
      <c r="D98" s="444" t="str">
        <f aca="true" t="shared" si="28" ref="D98:I98">D9</f>
        <v>1. sz. módosítás </v>
      </c>
      <c r="E98" s="444" t="str">
        <f t="shared" si="28"/>
        <v>2. sz. módosítás </v>
      </c>
      <c r="F98" s="444" t="str">
        <f t="shared" si="28"/>
        <v>3. sz. módosítás </v>
      </c>
      <c r="G98" s="444" t="str">
        <f t="shared" si="28"/>
        <v>4. sz. módosítás </v>
      </c>
      <c r="H98" s="444" t="str">
        <f t="shared" si="28"/>
        <v>5. sz. módosítás </v>
      </c>
      <c r="I98" s="444" t="str">
        <f t="shared" si="28"/>
        <v>6. sz. módosítás </v>
      </c>
      <c r="J98" s="445" t="s">
        <v>435</v>
      </c>
      <c r="K98" s="446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5" t="s">
        <v>348</v>
      </c>
      <c r="D99" s="285" t="s">
        <v>350</v>
      </c>
      <c r="E99" s="286" t="s">
        <v>349</v>
      </c>
      <c r="F99" s="286" t="s">
        <v>351</v>
      </c>
      <c r="G99" s="286" t="s">
        <v>352</v>
      </c>
      <c r="H99" s="286" t="s">
        <v>353</v>
      </c>
      <c r="I99" s="286" t="s">
        <v>459</v>
      </c>
      <c r="J99" s="286" t="s">
        <v>460</v>
      </c>
      <c r="K99" s="303" t="s">
        <v>461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329111028</v>
      </c>
      <c r="D100" s="125">
        <f aca="true" t="shared" si="29" ref="D100:K100">D101+D102+D103+D104+D105+D118</f>
        <v>84555177</v>
      </c>
      <c r="E100" s="125">
        <f t="shared" si="29"/>
        <v>12982176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97537353</v>
      </c>
      <c r="K100" s="182">
        <f t="shared" si="29"/>
        <v>426648381</v>
      </c>
    </row>
    <row r="101" spans="1:11" ht="12" customHeight="1">
      <c r="A101" s="14" t="s">
        <v>58</v>
      </c>
      <c r="B101" s="7" t="s">
        <v>32</v>
      </c>
      <c r="C101" s="269">
        <v>150090571</v>
      </c>
      <c r="D101" s="186">
        <v>57003789</v>
      </c>
      <c r="E101" s="127">
        <f>'RM_5.1.sz.mell'!E94+'RM_5.2.sz.mell'!E47+'RM_5.3.sz.mell'!E46+'RM_5.4.sz.mell'!E46</f>
        <v>7110463</v>
      </c>
      <c r="F101" s="186"/>
      <c r="G101" s="186"/>
      <c r="H101" s="186"/>
      <c r="I101" s="186"/>
      <c r="J101" s="277">
        <f aca="true" t="shared" si="30" ref="J101:J120">D101+E101+F101+G101+H101+I101</f>
        <v>64114252</v>
      </c>
      <c r="K101" s="228">
        <f aca="true" t="shared" si="31" ref="K101:K120">C101+J101</f>
        <v>214204823</v>
      </c>
    </row>
    <row r="102" spans="1:11" ht="12" customHeight="1">
      <c r="A102" s="11" t="s">
        <v>59</v>
      </c>
      <c r="B102" s="5" t="s">
        <v>101</v>
      </c>
      <c r="C102" s="127">
        <v>27625911</v>
      </c>
      <c r="D102" s="127">
        <v>6741617</v>
      </c>
      <c r="E102" s="127">
        <f>'RM_5.1.sz.mell'!E95+'RM_5.2.sz.mell'!E48+'RM_5.3.sz.mell'!E47+'RM_5.4.sz.mell'!E47</f>
        <v>1233284</v>
      </c>
      <c r="F102" s="127"/>
      <c r="G102" s="127"/>
      <c r="H102" s="127"/>
      <c r="I102" s="127"/>
      <c r="J102" s="278">
        <f t="shared" si="30"/>
        <v>7974901</v>
      </c>
      <c r="K102" s="224">
        <f t="shared" si="31"/>
        <v>35600812</v>
      </c>
    </row>
    <row r="103" spans="1:11" ht="12" customHeight="1">
      <c r="A103" s="11" t="s">
        <v>60</v>
      </c>
      <c r="B103" s="5" t="s">
        <v>77</v>
      </c>
      <c r="C103" s="129">
        <v>122935546</v>
      </c>
      <c r="D103" s="129">
        <v>20809771</v>
      </c>
      <c r="E103" s="127">
        <f>'RM_5.1.sz.mell'!E96+'RM_5.2.sz.mell'!E49+'RM_5.3.sz.mell'!E48+'RM_5.4.sz.mell'!E48</f>
        <v>453829</v>
      </c>
      <c r="F103" s="129"/>
      <c r="G103" s="129"/>
      <c r="H103" s="129"/>
      <c r="I103" s="129"/>
      <c r="J103" s="279">
        <f t="shared" si="30"/>
        <v>21263600</v>
      </c>
      <c r="K103" s="225">
        <f t="shared" si="31"/>
        <v>144199146</v>
      </c>
    </row>
    <row r="104" spans="1:11" ht="12" customHeight="1">
      <c r="A104" s="11" t="s">
        <v>61</v>
      </c>
      <c r="B104" s="8" t="s">
        <v>102</v>
      </c>
      <c r="C104" s="129">
        <v>19308000</v>
      </c>
      <c r="D104" s="129"/>
      <c r="E104" s="127">
        <f>'RM_5.1.sz.mell'!E97+'RM_5.2.sz.mell'!E50+'RM_5.3.sz.mell'!E49+'RM_5.4.sz.mell'!E49</f>
        <v>3804600</v>
      </c>
      <c r="F104" s="129"/>
      <c r="G104" s="129"/>
      <c r="H104" s="129"/>
      <c r="I104" s="129"/>
      <c r="J104" s="279">
        <f t="shared" si="30"/>
        <v>3804600</v>
      </c>
      <c r="K104" s="225">
        <f t="shared" si="31"/>
        <v>23112600</v>
      </c>
    </row>
    <row r="105" spans="1:11" ht="12" customHeight="1">
      <c r="A105" s="11" t="s">
        <v>69</v>
      </c>
      <c r="B105" s="16" t="s">
        <v>103</v>
      </c>
      <c r="C105" s="129">
        <f>SUM(C106:C117)</f>
        <v>8751000</v>
      </c>
      <c r="D105" s="129"/>
      <c r="E105" s="127">
        <f>'RM_5.1.sz.mell'!E98+'RM_5.2.sz.mell'!E51+'RM_5.3.sz.mell'!E50+'RM_5.4.sz.mell'!E50</f>
        <v>380000</v>
      </c>
      <c r="F105" s="129"/>
      <c r="G105" s="129"/>
      <c r="H105" s="129"/>
      <c r="I105" s="129"/>
      <c r="J105" s="279">
        <f t="shared" si="30"/>
        <v>380000</v>
      </c>
      <c r="K105" s="225">
        <f t="shared" si="31"/>
        <v>9131000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1300000</v>
      </c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1300000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7451000</v>
      </c>
      <c r="D117" s="129"/>
      <c r="E117" s="129">
        <v>380000</v>
      </c>
      <c r="F117" s="129"/>
      <c r="G117" s="129"/>
      <c r="H117" s="129"/>
      <c r="I117" s="129"/>
      <c r="J117" s="279">
        <f t="shared" si="30"/>
        <v>380000</v>
      </c>
      <c r="K117" s="225">
        <f t="shared" si="31"/>
        <v>7831000</v>
      </c>
    </row>
    <row r="118" spans="1:11" ht="12" customHeight="1">
      <c r="A118" s="11" t="s">
        <v>302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400000</v>
      </c>
    </row>
    <row r="119" spans="1:11" ht="12" customHeight="1">
      <c r="A119" s="11" t="s">
        <v>303</v>
      </c>
      <c r="B119" s="5" t="s">
        <v>305</v>
      </c>
      <c r="C119" s="127">
        <v>400000</v>
      </c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400000</v>
      </c>
    </row>
    <row r="120" spans="1:11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616272775</v>
      </c>
      <c r="D121" s="126">
        <f aca="true" t="shared" si="32" ref="D121:K121">+D122+D124+D126</f>
        <v>-6685122</v>
      </c>
      <c r="E121" s="188">
        <f t="shared" si="32"/>
        <v>42996269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36311147</v>
      </c>
      <c r="K121" s="183">
        <f t="shared" si="32"/>
        <v>652583922</v>
      </c>
    </row>
    <row r="122" spans="1:11" ht="12" customHeight="1">
      <c r="A122" s="12" t="s">
        <v>64</v>
      </c>
      <c r="B122" s="5" t="s">
        <v>119</v>
      </c>
      <c r="C122" s="128">
        <v>615214441</v>
      </c>
      <c r="D122" s="194">
        <v>-33475063</v>
      </c>
      <c r="E122" s="194">
        <v>42996269</v>
      </c>
      <c r="F122" s="194"/>
      <c r="G122" s="194"/>
      <c r="H122" s="194"/>
      <c r="I122" s="128"/>
      <c r="J122" s="167">
        <f aca="true" t="shared" si="33" ref="J122:J134">D122+E122+F122+G122+H122+I122</f>
        <v>9521206</v>
      </c>
      <c r="K122" s="166">
        <f aca="true" t="shared" si="34" ref="K122:K134">C122+J122</f>
        <v>624735647</v>
      </c>
    </row>
    <row r="123" spans="1:11" ht="12" customHeight="1">
      <c r="A123" s="12" t="s">
        <v>65</v>
      </c>
      <c r="B123" s="9" t="s">
        <v>248</v>
      </c>
      <c r="C123" s="128">
        <v>553020728</v>
      </c>
      <c r="D123" s="194">
        <v>159659</v>
      </c>
      <c r="E123" s="194"/>
      <c r="F123" s="194"/>
      <c r="G123" s="194"/>
      <c r="H123" s="194"/>
      <c r="I123" s="128"/>
      <c r="J123" s="167">
        <f t="shared" si="33"/>
        <v>159659</v>
      </c>
      <c r="K123" s="166">
        <f t="shared" si="34"/>
        <v>553180387</v>
      </c>
    </row>
    <row r="124" spans="1:11" ht="12" customHeight="1">
      <c r="A124" s="12" t="s">
        <v>66</v>
      </c>
      <c r="B124" s="9" t="s">
        <v>105</v>
      </c>
      <c r="C124" s="127">
        <v>1058334</v>
      </c>
      <c r="D124" s="195">
        <v>26789941</v>
      </c>
      <c r="E124" s="195"/>
      <c r="F124" s="195"/>
      <c r="G124" s="195"/>
      <c r="H124" s="195"/>
      <c r="I124" s="127"/>
      <c r="J124" s="278">
        <f t="shared" si="33"/>
        <v>26789941</v>
      </c>
      <c r="K124" s="224">
        <f t="shared" si="34"/>
        <v>27848275</v>
      </c>
    </row>
    <row r="125" spans="1:11" ht="12" customHeight="1">
      <c r="A125" s="12" t="s">
        <v>67</v>
      </c>
      <c r="B125" s="9" t="s">
        <v>249</v>
      </c>
      <c r="C125" s="127"/>
      <c r="D125" s="195">
        <v>1789941</v>
      </c>
      <c r="E125" s="195"/>
      <c r="F125" s="195"/>
      <c r="G125" s="195"/>
      <c r="H125" s="195"/>
      <c r="I125" s="127"/>
      <c r="J125" s="278">
        <f t="shared" si="33"/>
        <v>1789941</v>
      </c>
      <c r="K125" s="224">
        <f t="shared" si="34"/>
        <v>1789941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945383803</v>
      </c>
      <c r="D135" s="193">
        <f aca="true" t="shared" si="35" ref="D135:K135">+D100+D121</f>
        <v>77870055</v>
      </c>
      <c r="E135" s="193">
        <f t="shared" si="35"/>
        <v>55978445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133848500</v>
      </c>
      <c r="K135" s="68">
        <f t="shared" si="35"/>
        <v>1079232303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78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78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301"/>
      <c r="F159" s="301"/>
      <c r="G159" s="301"/>
      <c r="H159" s="301"/>
      <c r="I159" s="251"/>
      <c r="J159" s="281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945383803</v>
      </c>
      <c r="D161" s="200">
        <f aca="true" t="shared" si="45" ref="D161:K161">+D135+D160</f>
        <v>77870055</v>
      </c>
      <c r="E161" s="200">
        <f t="shared" si="45"/>
        <v>55978445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133848500</v>
      </c>
      <c r="K161" s="185">
        <f t="shared" si="45"/>
        <v>1079232303</v>
      </c>
    </row>
    <row r="162" spans="3:11" ht="13.5" customHeight="1">
      <c r="C162" s="418">
        <f>C93-C161</f>
        <v>0</v>
      </c>
      <c r="D162" s="419"/>
      <c r="E162" s="419"/>
      <c r="F162" s="419"/>
      <c r="G162" s="419"/>
      <c r="H162" s="419"/>
      <c r="I162" s="419"/>
      <c r="J162" s="419"/>
      <c r="K162" s="420">
        <f>K93-K161</f>
        <v>0</v>
      </c>
    </row>
    <row r="163" spans="1:11" ht="15.75">
      <c r="A163" s="518" t="s">
        <v>257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</row>
    <row r="164" spans="1:11" ht="15" customHeight="1" thickBot="1">
      <c r="A164" s="517" t="s">
        <v>83</v>
      </c>
      <c r="B164" s="51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-644050438</v>
      </c>
      <c r="D165" s="126">
        <f aca="true" t="shared" si="46" ref="D165:K165">+D68-D135</f>
        <v>50385019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50385019</v>
      </c>
      <c r="K165" s="68">
        <f t="shared" si="46"/>
        <v>-593665419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644050438</v>
      </c>
      <c r="D166" s="126">
        <f aca="true" t="shared" si="47" ref="D166:K166">+D92-D160</f>
        <v>-50385019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-50385019</v>
      </c>
      <c r="K166" s="68">
        <f t="shared" si="47"/>
        <v>593665419</v>
      </c>
    </row>
  </sheetData>
  <sheetProtection/>
  <mergeCells count="15">
    <mergeCell ref="A7:B7"/>
    <mergeCell ref="A96:B96"/>
    <mergeCell ref="A164:B164"/>
    <mergeCell ref="A8:A9"/>
    <mergeCell ref="B8:B9"/>
    <mergeCell ref="A163:K163"/>
    <mergeCell ref="C8:K8"/>
    <mergeCell ref="A97:A98"/>
    <mergeCell ref="B97:B98"/>
    <mergeCell ref="C97:K97"/>
    <mergeCell ref="A95:K95"/>
    <mergeCell ref="B1:K1"/>
    <mergeCell ref="A3:K3"/>
    <mergeCell ref="A4:K4"/>
    <mergeCell ref="A6:K6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82">
      <selection activeCell="E123" sqref="E123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7"/>
      <c r="B1" s="501" t="str">
        <f>CONCATENATE("1.2. melléklet ",RM_ALAPADATOK!A7," ",RM_ALAPADATOK!B7," ",RM_ALAPADATOK!C7," ",RM_ALAPADATOK!D7," ",RM_ALAPADATOK!E7," ",RM_ALAPADATOK!F7," ",RM_ALAPADATOK!G7," ",RM_ALAPADATOK!H7)</f>
        <v>1.2. melléklet a  / 2019 ( … ) önkormányzati rendelethez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ht="15.75">
      <c r="A2" s="307"/>
      <c r="B2" s="307"/>
      <c r="C2" s="308"/>
      <c r="D2" s="309"/>
      <c r="E2" s="309"/>
      <c r="F2" s="309"/>
      <c r="G2" s="309"/>
      <c r="H2" s="309"/>
      <c r="I2" s="309"/>
      <c r="J2" s="309"/>
      <c r="K2" s="309"/>
    </row>
    <row r="3" spans="1:11" ht="15.75">
      <c r="A3" s="503">
        <f>CONCATENATE(RM_ALAPADATOK!A4)</f>
      </c>
      <c r="B3" s="503"/>
      <c r="C3" s="504"/>
      <c r="D3" s="503"/>
      <c r="E3" s="503"/>
      <c r="F3" s="503"/>
      <c r="G3" s="503"/>
      <c r="H3" s="503"/>
      <c r="I3" s="503"/>
      <c r="J3" s="503"/>
      <c r="K3" s="503"/>
    </row>
    <row r="4" spans="1:11" ht="15.75">
      <c r="A4" s="503" t="s">
        <v>462</v>
      </c>
      <c r="B4" s="503"/>
      <c r="C4" s="504"/>
      <c r="D4" s="503"/>
      <c r="E4" s="503"/>
      <c r="F4" s="503"/>
      <c r="G4" s="503"/>
      <c r="H4" s="503"/>
      <c r="I4" s="503"/>
      <c r="J4" s="503"/>
      <c r="K4" s="503"/>
    </row>
    <row r="5" spans="1:11" ht="15.75">
      <c r="A5" s="307"/>
      <c r="B5" s="307"/>
      <c r="C5" s="308"/>
      <c r="D5" s="309"/>
      <c r="E5" s="309"/>
      <c r="F5" s="309"/>
      <c r="G5" s="309"/>
      <c r="H5" s="309"/>
      <c r="I5" s="309"/>
      <c r="J5" s="309"/>
      <c r="K5" s="309"/>
    </row>
    <row r="6" spans="1:11" ht="15.75" customHeight="1">
      <c r="A6" s="505" t="s">
        <v>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 thickBot="1">
      <c r="A7" s="515" t="s">
        <v>81</v>
      </c>
      <c r="B7" s="515"/>
      <c r="C7" s="310"/>
      <c r="D7" s="309"/>
      <c r="E7" s="309"/>
      <c r="F7" s="309"/>
      <c r="G7" s="309"/>
      <c r="H7" s="309"/>
      <c r="I7" s="309"/>
      <c r="J7" s="309"/>
      <c r="K7" s="310" t="s">
        <v>429</v>
      </c>
    </row>
    <row r="8" spans="1:11" ht="15.75">
      <c r="A8" s="510" t="s">
        <v>46</v>
      </c>
      <c r="B8" s="512" t="s">
        <v>2</v>
      </c>
      <c r="C8" s="506" t="str">
        <f>+CONCATENATE(LEFT(RM_ÖSSZEFÜGGÉSEK!A6,4),". évi")</f>
        <v>2019. évi</v>
      </c>
      <c r="D8" s="507"/>
      <c r="E8" s="508"/>
      <c r="F8" s="508"/>
      <c r="G8" s="508"/>
      <c r="H8" s="508"/>
      <c r="I8" s="508"/>
      <c r="J8" s="508"/>
      <c r="K8" s="509"/>
    </row>
    <row r="9" spans="1:11" ht="39" customHeight="1" thickBot="1">
      <c r="A9" s="511"/>
      <c r="B9" s="513"/>
      <c r="C9" s="284" t="s">
        <v>370</v>
      </c>
      <c r="D9" s="304" t="str">
        <f>CONCATENATE('RM_1.1.sz.mell.'!D9)</f>
        <v>1. sz. módosítás </v>
      </c>
      <c r="E9" s="304" t="str">
        <f>CONCATENATE('RM_1.1.sz.mell.'!E9)</f>
        <v>2. sz. módosítás </v>
      </c>
      <c r="F9" s="304" t="str">
        <f>CONCATENATE('RM_1.1.sz.mell.'!F9)</f>
        <v>3. sz. módosítás </v>
      </c>
      <c r="G9" s="304" t="str">
        <f>CONCATENATE('RM_1.1.sz.mell.'!G9)</f>
        <v>4. sz. módosítás </v>
      </c>
      <c r="H9" s="304" t="str">
        <f>CONCATENATE('RM_1.1.sz.mell.'!H9)</f>
        <v>5. sz. módosítás </v>
      </c>
      <c r="I9" s="304" t="str">
        <f>CONCATENATE('RM_1.1.sz.mell.'!I9)</f>
        <v>6. sz. módosítás </v>
      </c>
      <c r="J9" s="305" t="s">
        <v>435</v>
      </c>
      <c r="K9" s="306" t="str">
        <f>CONCATENATE('RM_1.1.sz.mell.'!K9)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5" t="s">
        <v>348</v>
      </c>
      <c r="D10" s="285" t="s">
        <v>350</v>
      </c>
      <c r="E10" s="286" t="s">
        <v>349</v>
      </c>
      <c r="F10" s="286" t="s">
        <v>351</v>
      </c>
      <c r="G10" s="286" t="s">
        <v>352</v>
      </c>
      <c r="H10" s="286" t="s">
        <v>353</v>
      </c>
      <c r="I10" s="286" t="s">
        <v>459</v>
      </c>
      <c r="J10" s="286" t="s">
        <v>460</v>
      </c>
      <c r="K10" s="303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210669075</v>
      </c>
      <c r="D11" s="126">
        <f aca="true" t="shared" si="0" ref="D11:K11">+D12+D13+D14+D15+D16+D17</f>
        <v>5665115</v>
      </c>
      <c r="E11" s="126">
        <f t="shared" si="0"/>
        <v>7436681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13101796</v>
      </c>
      <c r="K11" s="68">
        <f t="shared" si="0"/>
        <v>223770871</v>
      </c>
    </row>
    <row r="12" spans="1:11" s="138" customFormat="1" ht="12" customHeight="1">
      <c r="A12" s="12" t="s">
        <v>58</v>
      </c>
      <c r="B12" s="139" t="s">
        <v>138</v>
      </c>
      <c r="C12" s="128">
        <v>71877535</v>
      </c>
      <c r="D12" s="128">
        <v>5232475</v>
      </c>
      <c r="E12" s="128">
        <v>2577081</v>
      </c>
      <c r="F12" s="128"/>
      <c r="G12" s="128"/>
      <c r="H12" s="128"/>
      <c r="I12" s="128"/>
      <c r="J12" s="167">
        <f aca="true" t="shared" si="1" ref="J12:J17">D12+E12+F12+G12+H12+I12</f>
        <v>7809556</v>
      </c>
      <c r="K12" s="166">
        <f aca="true" t="shared" si="2" ref="K12:K17">C12+J12</f>
        <v>79687091</v>
      </c>
    </row>
    <row r="13" spans="1:11" s="138" customFormat="1" ht="12" customHeight="1">
      <c r="A13" s="11" t="s">
        <v>59</v>
      </c>
      <c r="B13" s="140" t="s">
        <v>139</v>
      </c>
      <c r="C13" s="127">
        <v>41062433</v>
      </c>
      <c r="D13" s="127"/>
      <c r="E13" s="128">
        <v>780000</v>
      </c>
      <c r="F13" s="128"/>
      <c r="G13" s="128"/>
      <c r="H13" s="128"/>
      <c r="I13" s="128"/>
      <c r="J13" s="167">
        <f t="shared" si="1"/>
        <v>780000</v>
      </c>
      <c r="K13" s="166">
        <f t="shared" si="2"/>
        <v>41842433</v>
      </c>
    </row>
    <row r="14" spans="1:11" s="138" customFormat="1" ht="12" customHeight="1">
      <c r="A14" s="11" t="s">
        <v>60</v>
      </c>
      <c r="B14" s="140" t="s">
        <v>140</v>
      </c>
      <c r="C14" s="127">
        <v>52466094</v>
      </c>
      <c r="D14" s="127"/>
      <c r="E14" s="128">
        <v>1374000</v>
      </c>
      <c r="F14" s="128"/>
      <c r="G14" s="128"/>
      <c r="H14" s="128"/>
      <c r="I14" s="128"/>
      <c r="J14" s="167">
        <f t="shared" si="1"/>
        <v>1374000</v>
      </c>
      <c r="K14" s="166">
        <f t="shared" si="2"/>
        <v>53840094</v>
      </c>
    </row>
    <row r="15" spans="1:11" s="138" customFormat="1" ht="12" customHeight="1">
      <c r="A15" s="11" t="s">
        <v>61</v>
      </c>
      <c r="B15" s="140" t="s">
        <v>141</v>
      </c>
      <c r="C15" s="127">
        <v>1882760</v>
      </c>
      <c r="D15" s="127">
        <v>400000</v>
      </c>
      <c r="E15" s="128">
        <v>64000</v>
      </c>
      <c r="F15" s="128"/>
      <c r="G15" s="128"/>
      <c r="H15" s="128"/>
      <c r="I15" s="128"/>
      <c r="J15" s="167">
        <f t="shared" si="1"/>
        <v>464000</v>
      </c>
      <c r="K15" s="166">
        <f t="shared" si="2"/>
        <v>2346760</v>
      </c>
    </row>
    <row r="16" spans="1:11" s="138" customFormat="1" ht="12" customHeight="1">
      <c r="A16" s="11" t="s">
        <v>78</v>
      </c>
      <c r="B16" s="70" t="s">
        <v>291</v>
      </c>
      <c r="C16" s="127">
        <v>43380253</v>
      </c>
      <c r="D16" s="127"/>
      <c r="E16" s="128">
        <v>2641600</v>
      </c>
      <c r="F16" s="128"/>
      <c r="G16" s="128"/>
      <c r="H16" s="128"/>
      <c r="I16" s="128"/>
      <c r="J16" s="167">
        <f t="shared" si="1"/>
        <v>2641600</v>
      </c>
      <c r="K16" s="166">
        <f t="shared" si="2"/>
        <v>46021853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>
        <v>32640</v>
      </c>
      <c r="E17" s="128"/>
      <c r="F17" s="128"/>
      <c r="G17" s="128"/>
      <c r="H17" s="128"/>
      <c r="I17" s="128"/>
      <c r="J17" s="167">
        <f t="shared" si="1"/>
        <v>32640</v>
      </c>
      <c r="K17" s="166">
        <f t="shared" si="2"/>
        <v>32640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29395637</v>
      </c>
      <c r="D18" s="126">
        <f aca="true" t="shared" si="3" ref="D18:K18">+D19+D20+D21+D22+D23</f>
        <v>75499199</v>
      </c>
      <c r="E18" s="126">
        <f t="shared" si="3"/>
        <v>3324523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78823722</v>
      </c>
      <c r="K18" s="68">
        <f t="shared" si="3"/>
        <v>108219359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29395637</v>
      </c>
      <c r="D23" s="127">
        <v>75499199</v>
      </c>
      <c r="E23" s="128">
        <v>3324523</v>
      </c>
      <c r="F23" s="128"/>
      <c r="G23" s="128"/>
      <c r="H23" s="128"/>
      <c r="I23" s="128"/>
      <c r="J23" s="167">
        <f t="shared" si="4"/>
        <v>78823722</v>
      </c>
      <c r="K23" s="166">
        <f t="shared" si="5"/>
        <v>108219359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>
        <v>10279045</v>
      </c>
      <c r="E24" s="248"/>
      <c r="F24" s="248"/>
      <c r="G24" s="248"/>
      <c r="H24" s="248"/>
      <c r="I24" s="248"/>
      <c r="J24" s="167">
        <f t="shared" si="4"/>
        <v>10279045</v>
      </c>
      <c r="K24" s="166">
        <f t="shared" si="5"/>
        <v>10279045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38005614</v>
      </c>
      <c r="E25" s="126">
        <f t="shared" si="6"/>
        <v>42996269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81001883</v>
      </c>
      <c r="K25" s="68">
        <f t="shared" si="6"/>
        <v>81001883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>
        <v>40000000</v>
      </c>
      <c r="F26" s="128"/>
      <c r="G26" s="128"/>
      <c r="H26" s="128"/>
      <c r="I26" s="128"/>
      <c r="J26" s="167">
        <f aca="true" t="shared" si="7" ref="J26:J31">D26+E26+F26+G26+H26+I26</f>
        <v>40000000</v>
      </c>
      <c r="K26" s="166">
        <f aca="true" t="shared" si="8" ref="K26:K31">C26+J26</f>
        <v>40000000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>
        <v>38005614</v>
      </c>
      <c r="E30" s="128">
        <v>2996269</v>
      </c>
      <c r="F30" s="128"/>
      <c r="G30" s="128"/>
      <c r="H30" s="128"/>
      <c r="I30" s="128"/>
      <c r="J30" s="167">
        <f t="shared" si="7"/>
        <v>41001883</v>
      </c>
      <c r="K30" s="166">
        <f t="shared" si="8"/>
        <v>41001883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>
        <v>-610256</v>
      </c>
      <c r="E31" s="248"/>
      <c r="F31" s="248"/>
      <c r="G31" s="248"/>
      <c r="H31" s="248"/>
      <c r="I31" s="248"/>
      <c r="J31" s="272">
        <f t="shared" si="7"/>
        <v>-610256</v>
      </c>
      <c r="K31" s="166">
        <f t="shared" si="8"/>
        <v>-610256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23670000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23670000</v>
      </c>
    </row>
    <row r="33" spans="1:11" s="138" customFormat="1" ht="12" customHeight="1">
      <c r="A33" s="12" t="s">
        <v>152</v>
      </c>
      <c r="B33" s="139" t="s">
        <v>414</v>
      </c>
      <c r="C33" s="167">
        <v>480000</v>
      </c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480000</v>
      </c>
    </row>
    <row r="34" spans="1:11" s="138" customFormat="1" ht="12" customHeight="1">
      <c r="A34" s="11" t="s">
        <v>153</v>
      </c>
      <c r="B34" s="140" t="s">
        <v>415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>
      <c r="A35" s="11" t="s">
        <v>154</v>
      </c>
      <c r="B35" s="140" t="s">
        <v>416</v>
      </c>
      <c r="C35" s="127">
        <v>19500000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19500000</v>
      </c>
    </row>
    <row r="36" spans="1:11" s="138" customFormat="1" ht="12" customHeight="1">
      <c r="A36" s="11" t="s">
        <v>155</v>
      </c>
      <c r="B36" s="140" t="s">
        <v>417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>
      <c r="A37" s="11" t="s">
        <v>418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>
        <v>170000</v>
      </c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170000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15572172</v>
      </c>
      <c r="D40" s="126">
        <f aca="true" t="shared" si="12" ref="D40:K40">SUM(D41:D51)</f>
        <v>710256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710256</v>
      </c>
      <c r="K40" s="68">
        <f t="shared" si="12"/>
        <v>16282428</v>
      </c>
    </row>
    <row r="41" spans="1:11" s="138" customFormat="1" ht="12" customHeight="1">
      <c r="A41" s="12" t="s">
        <v>51</v>
      </c>
      <c r="B41" s="139" t="s">
        <v>161</v>
      </c>
      <c r="C41" s="128">
        <v>2000000</v>
      </c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2000000</v>
      </c>
    </row>
    <row r="42" spans="1:11" s="138" customFormat="1" ht="12" customHeight="1">
      <c r="A42" s="11" t="s">
        <v>52</v>
      </c>
      <c r="B42" s="140" t="s">
        <v>162</v>
      </c>
      <c r="C42" s="127">
        <v>7015000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7015000</v>
      </c>
    </row>
    <row r="43" spans="1:11" s="138" customFormat="1" ht="12" customHeight="1">
      <c r="A43" s="11" t="s">
        <v>53</v>
      </c>
      <c r="B43" s="140" t="s">
        <v>163</v>
      </c>
      <c r="C43" s="127">
        <v>1366000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1366000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>
        <v>1128398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1128398</v>
      </c>
    </row>
    <row r="46" spans="1:11" s="138" customFormat="1" ht="12" customHeight="1">
      <c r="A46" s="11" t="s">
        <v>95</v>
      </c>
      <c r="B46" s="140" t="s">
        <v>166</v>
      </c>
      <c r="C46" s="127">
        <v>2738547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2738547</v>
      </c>
    </row>
    <row r="47" spans="1:11" s="138" customFormat="1" ht="12" customHeight="1">
      <c r="A47" s="11" t="s">
        <v>96</v>
      </c>
      <c r="B47" s="140" t="s">
        <v>167</v>
      </c>
      <c r="C47" s="127">
        <v>1324227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1324227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>
        <v>610256</v>
      </c>
      <c r="E50" s="249"/>
      <c r="F50" s="249"/>
      <c r="G50" s="249"/>
      <c r="H50" s="249"/>
      <c r="I50" s="249"/>
      <c r="J50" s="274">
        <f t="shared" si="13"/>
        <v>610256</v>
      </c>
      <c r="K50" s="166">
        <f t="shared" si="14"/>
        <v>610256</v>
      </c>
    </row>
    <row r="51" spans="1:11" s="138" customFormat="1" ht="12" customHeight="1" thickBot="1">
      <c r="A51" s="15" t="s">
        <v>294</v>
      </c>
      <c r="B51" s="302" t="s">
        <v>170</v>
      </c>
      <c r="C51" s="252"/>
      <c r="D51" s="252">
        <v>100000</v>
      </c>
      <c r="E51" s="252"/>
      <c r="F51" s="252"/>
      <c r="G51" s="252"/>
      <c r="H51" s="252"/>
      <c r="I51" s="252"/>
      <c r="J51" s="275">
        <f t="shared" si="13"/>
        <v>100000</v>
      </c>
      <c r="K51" s="229">
        <f t="shared" si="14"/>
        <v>100000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1510000</v>
      </c>
      <c r="E58" s="126">
        <f t="shared" si="16"/>
        <v>275000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1785000</v>
      </c>
      <c r="K58" s="68">
        <f t="shared" si="16"/>
        <v>1785000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>
        <v>1510000</v>
      </c>
      <c r="E61" s="128">
        <v>275000</v>
      </c>
      <c r="F61" s="128"/>
      <c r="G61" s="128"/>
      <c r="H61" s="128"/>
      <c r="I61" s="128"/>
      <c r="J61" s="167">
        <f>D61+E61+F61+G61+H61+I61</f>
        <v>1785000</v>
      </c>
      <c r="K61" s="166">
        <f>C61+J61</f>
        <v>1785000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>
        <v>0</v>
      </c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279306884</v>
      </c>
      <c r="D68" s="132">
        <f aca="true" t="shared" si="18" ref="D68:K68">+D11+D18+D25+D32+D40+D52+D58+D63</f>
        <v>121390184</v>
      </c>
      <c r="E68" s="132">
        <f t="shared" si="18"/>
        <v>54032473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175422657</v>
      </c>
      <c r="K68" s="165">
        <f t="shared" si="18"/>
        <v>454729541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87" t="s">
        <v>320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5" t="s">
        <v>199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45" t="s">
        <v>432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45" t="s">
        <v>200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46" t="s">
        <v>433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630571015</v>
      </c>
      <c r="D78" s="126">
        <f aca="true" t="shared" si="21" ref="D78:K78">SUM(D79:D80)</f>
        <v>-46637475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-46637475</v>
      </c>
      <c r="K78" s="68">
        <f t="shared" si="21"/>
        <v>583933540</v>
      </c>
    </row>
    <row r="79" spans="1:11" s="138" customFormat="1" ht="12" customHeight="1">
      <c r="A79" s="12" t="s">
        <v>224</v>
      </c>
      <c r="B79" s="139" t="s">
        <v>203</v>
      </c>
      <c r="C79" s="130">
        <v>630571015</v>
      </c>
      <c r="D79" s="130">
        <v>-46637475</v>
      </c>
      <c r="E79" s="130"/>
      <c r="F79" s="130"/>
      <c r="G79" s="130"/>
      <c r="H79" s="130"/>
      <c r="I79" s="130"/>
      <c r="J79" s="276">
        <f>D79+E79+F79+G79+H79+I79</f>
        <v>-46637475</v>
      </c>
      <c r="K79" s="226">
        <f>C79+J79</f>
        <v>583933540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6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630571015</v>
      </c>
      <c r="D92" s="132">
        <f aca="true" t="shared" si="26" ref="D92:K92">+D69+D73+D78+D81+D85+D91+D90</f>
        <v>-46637475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-46637475</v>
      </c>
      <c r="K92" s="165">
        <f t="shared" si="26"/>
        <v>583933540</v>
      </c>
    </row>
    <row r="93" spans="1:11" s="138" customFormat="1" ht="25.5" customHeight="1" thickBot="1">
      <c r="A93" s="170" t="s">
        <v>336</v>
      </c>
      <c r="B93" s="322" t="s">
        <v>338</v>
      </c>
      <c r="C93" s="132">
        <f>+C68+C92</f>
        <v>909877899</v>
      </c>
      <c r="D93" s="132">
        <f aca="true" t="shared" si="27" ref="D93:K93">+D68+D92</f>
        <v>74752709</v>
      </c>
      <c r="E93" s="132">
        <f t="shared" si="27"/>
        <v>54032473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128785182</v>
      </c>
      <c r="K93" s="165">
        <f t="shared" si="27"/>
        <v>1038663081</v>
      </c>
    </row>
    <row r="94" spans="1:3" s="138" customFormat="1" ht="30.75" customHeight="1">
      <c r="A94" s="2"/>
      <c r="B94" s="3"/>
      <c r="C94" s="73"/>
    </row>
    <row r="95" spans="1:11" ht="16.5" customHeight="1">
      <c r="A95" s="514" t="s">
        <v>31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</row>
    <row r="96" spans="1:11" s="145" customFormat="1" ht="16.5" customHeight="1" thickBot="1">
      <c r="A96" s="516" t="s">
        <v>82</v>
      </c>
      <c r="B96" s="516"/>
      <c r="C96" s="49"/>
      <c r="K96" s="49" t="str">
        <f>K7</f>
        <v>Forintban!</v>
      </c>
    </row>
    <row r="97" spans="1:11" ht="15.75">
      <c r="A97" s="510" t="s">
        <v>46</v>
      </c>
      <c r="B97" s="512" t="s">
        <v>371</v>
      </c>
      <c r="C97" s="506" t="str">
        <f>+CONCATENATE(LEFT(RM_ÖSSZEFÜGGÉSEK!A6,4),". évi")</f>
        <v>2019. évi</v>
      </c>
      <c r="D97" s="507"/>
      <c r="E97" s="508"/>
      <c r="F97" s="508"/>
      <c r="G97" s="508"/>
      <c r="H97" s="508"/>
      <c r="I97" s="508"/>
      <c r="J97" s="508"/>
      <c r="K97" s="509"/>
    </row>
    <row r="98" spans="1:11" ht="39" customHeight="1" thickBot="1">
      <c r="A98" s="511"/>
      <c r="B98" s="513"/>
      <c r="C98" s="284" t="s">
        <v>370</v>
      </c>
      <c r="D98" s="304" t="str">
        <f aca="true" t="shared" si="28" ref="D98:I98">D9</f>
        <v>1. sz. módosítás </v>
      </c>
      <c r="E98" s="304" t="str">
        <f t="shared" si="28"/>
        <v>2. sz. módosítás </v>
      </c>
      <c r="F98" s="304" t="str">
        <f t="shared" si="28"/>
        <v>3. sz. módosítás </v>
      </c>
      <c r="G98" s="304" t="str">
        <f t="shared" si="28"/>
        <v>4. sz. módosítás </v>
      </c>
      <c r="H98" s="304" t="str">
        <f t="shared" si="28"/>
        <v>5. sz. módosítás </v>
      </c>
      <c r="I98" s="304" t="str">
        <f t="shared" si="28"/>
        <v>6. sz. módosítás </v>
      </c>
      <c r="J98" s="305" t="s">
        <v>435</v>
      </c>
      <c r="K98" s="306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5" t="s">
        <v>348</v>
      </c>
      <c r="D99" s="285" t="s">
        <v>350</v>
      </c>
      <c r="E99" s="286" t="s">
        <v>349</v>
      </c>
      <c r="F99" s="286" t="s">
        <v>351</v>
      </c>
      <c r="G99" s="286" t="s">
        <v>352</v>
      </c>
      <c r="H99" s="286" t="s">
        <v>353</v>
      </c>
      <c r="I99" s="286" t="s">
        <v>459</v>
      </c>
      <c r="J99" s="286" t="s">
        <v>460</v>
      </c>
      <c r="K99" s="303" t="s">
        <v>461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230121538</v>
      </c>
      <c r="D100" s="125">
        <f aca="true" t="shared" si="29" ref="D100:K100">D101+D102+D103+D104+D105+D118</f>
        <v>76975271</v>
      </c>
      <c r="E100" s="125">
        <f t="shared" si="29"/>
        <v>9422623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86397894</v>
      </c>
      <c r="K100" s="182">
        <f t="shared" si="29"/>
        <v>316519432</v>
      </c>
    </row>
    <row r="101" spans="1:11" ht="12" customHeight="1">
      <c r="A101" s="14" t="s">
        <v>58</v>
      </c>
      <c r="B101" s="7" t="s">
        <v>32</v>
      </c>
      <c r="C101" s="269">
        <v>95876148</v>
      </c>
      <c r="D101" s="186">
        <v>50564346</v>
      </c>
      <c r="E101" s="186">
        <v>4257491</v>
      </c>
      <c r="F101" s="186"/>
      <c r="G101" s="186"/>
      <c r="H101" s="186"/>
      <c r="I101" s="186"/>
      <c r="J101" s="277">
        <f aca="true" t="shared" si="30" ref="J101:J120">D101+E101+F101+G101+H101+I101</f>
        <v>54821837</v>
      </c>
      <c r="K101" s="228">
        <f aca="true" t="shared" si="31" ref="K101:K120">C101+J101</f>
        <v>150697985</v>
      </c>
    </row>
    <row r="102" spans="1:11" ht="12" customHeight="1">
      <c r="A102" s="11" t="s">
        <v>59</v>
      </c>
      <c r="B102" s="5" t="s">
        <v>101</v>
      </c>
      <c r="C102" s="127">
        <v>16380887</v>
      </c>
      <c r="D102" s="127">
        <v>5315818</v>
      </c>
      <c r="E102" s="127">
        <v>705532</v>
      </c>
      <c r="F102" s="127"/>
      <c r="G102" s="127"/>
      <c r="H102" s="127"/>
      <c r="I102" s="127"/>
      <c r="J102" s="278">
        <f t="shared" si="30"/>
        <v>6021350</v>
      </c>
      <c r="K102" s="224">
        <f t="shared" si="31"/>
        <v>22402237</v>
      </c>
    </row>
    <row r="103" spans="1:11" ht="12" customHeight="1">
      <c r="A103" s="11" t="s">
        <v>60</v>
      </c>
      <c r="B103" s="5" t="s">
        <v>77</v>
      </c>
      <c r="C103" s="129">
        <v>92053503</v>
      </c>
      <c r="D103" s="129">
        <v>21095107</v>
      </c>
      <c r="E103" s="129">
        <v>275000</v>
      </c>
      <c r="F103" s="129"/>
      <c r="G103" s="129"/>
      <c r="H103" s="129"/>
      <c r="I103" s="129"/>
      <c r="J103" s="279">
        <f t="shared" si="30"/>
        <v>21370107</v>
      </c>
      <c r="K103" s="225">
        <f t="shared" si="31"/>
        <v>113423610</v>
      </c>
    </row>
    <row r="104" spans="1:11" ht="12" customHeight="1">
      <c r="A104" s="11" t="s">
        <v>61</v>
      </c>
      <c r="B104" s="8" t="s">
        <v>102</v>
      </c>
      <c r="C104" s="129">
        <v>19308000</v>
      </c>
      <c r="D104" s="129"/>
      <c r="E104" s="129">
        <v>3804600</v>
      </c>
      <c r="F104" s="129"/>
      <c r="G104" s="129"/>
      <c r="H104" s="129"/>
      <c r="I104" s="129"/>
      <c r="J104" s="279">
        <f t="shared" si="30"/>
        <v>3804600</v>
      </c>
      <c r="K104" s="225">
        <f t="shared" si="31"/>
        <v>23112600</v>
      </c>
    </row>
    <row r="105" spans="1:11" ht="12" customHeight="1">
      <c r="A105" s="11" t="s">
        <v>69</v>
      </c>
      <c r="B105" s="16" t="s">
        <v>103</v>
      </c>
      <c r="C105" s="129">
        <f>SUM(C106:C117)</f>
        <v>6103000</v>
      </c>
      <c r="D105" s="129">
        <f>SUM(D106:D117)</f>
        <v>0</v>
      </c>
      <c r="E105" s="129">
        <f>SUM(E106:E117)</f>
        <v>380000</v>
      </c>
      <c r="F105" s="129"/>
      <c r="G105" s="129"/>
      <c r="H105" s="129"/>
      <c r="I105" s="129"/>
      <c r="J105" s="279">
        <f t="shared" si="30"/>
        <v>380000</v>
      </c>
      <c r="K105" s="225">
        <f t="shared" si="31"/>
        <v>6483000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1150000</v>
      </c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1150000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4953000</v>
      </c>
      <c r="D117" s="129"/>
      <c r="E117" s="129">
        <v>380000</v>
      </c>
      <c r="F117" s="129"/>
      <c r="G117" s="129"/>
      <c r="H117" s="129"/>
      <c r="I117" s="129"/>
      <c r="J117" s="279">
        <f t="shared" si="30"/>
        <v>380000</v>
      </c>
      <c r="K117" s="225">
        <f t="shared" si="31"/>
        <v>5333000</v>
      </c>
    </row>
    <row r="118" spans="1:11" ht="12" customHeight="1">
      <c r="A118" s="11" t="s">
        <v>302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400000</v>
      </c>
    </row>
    <row r="119" spans="1:11" ht="12" customHeight="1">
      <c r="A119" s="11" t="s">
        <v>303</v>
      </c>
      <c r="B119" s="5" t="s">
        <v>305</v>
      </c>
      <c r="C119" s="127">
        <v>400000</v>
      </c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400000</v>
      </c>
    </row>
    <row r="120" spans="1:11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615510775</v>
      </c>
      <c r="D121" s="126">
        <f aca="true" t="shared" si="32" ref="D121:K121">+D122+D124+D126</f>
        <v>-7455037</v>
      </c>
      <c r="E121" s="188">
        <f t="shared" si="32"/>
        <v>42996269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35541232</v>
      </c>
      <c r="K121" s="183">
        <f t="shared" si="32"/>
        <v>651052007</v>
      </c>
    </row>
    <row r="122" spans="1:11" ht="12" customHeight="1">
      <c r="A122" s="12" t="s">
        <v>64</v>
      </c>
      <c r="B122" s="5" t="s">
        <v>119</v>
      </c>
      <c r="C122" s="128">
        <v>614452441</v>
      </c>
      <c r="D122" s="194">
        <v>-34244978</v>
      </c>
      <c r="E122" s="194">
        <v>42996269</v>
      </c>
      <c r="F122" s="194"/>
      <c r="G122" s="194"/>
      <c r="H122" s="194"/>
      <c r="I122" s="128"/>
      <c r="J122" s="167">
        <f aca="true" t="shared" si="33" ref="J122:J134">D122+E122+F122+G122+H122+I122</f>
        <v>8751291</v>
      </c>
      <c r="K122" s="166">
        <f aca="true" t="shared" si="34" ref="K122:K134">C122+J122</f>
        <v>623203732</v>
      </c>
    </row>
    <row r="123" spans="1:11" ht="12" customHeight="1">
      <c r="A123" s="12" t="s">
        <v>65</v>
      </c>
      <c r="B123" s="9" t="s">
        <v>248</v>
      </c>
      <c r="C123" s="128">
        <v>553020728</v>
      </c>
      <c r="D123" s="194">
        <v>-610256</v>
      </c>
      <c r="E123" s="194"/>
      <c r="F123" s="194"/>
      <c r="G123" s="194"/>
      <c r="H123" s="194"/>
      <c r="I123" s="128"/>
      <c r="J123" s="167">
        <f t="shared" si="33"/>
        <v>-610256</v>
      </c>
      <c r="K123" s="166">
        <f t="shared" si="34"/>
        <v>552410472</v>
      </c>
    </row>
    <row r="124" spans="1:11" ht="12" customHeight="1">
      <c r="A124" s="12" t="s">
        <v>66</v>
      </c>
      <c r="B124" s="9" t="s">
        <v>105</v>
      </c>
      <c r="C124" s="127">
        <v>1058334</v>
      </c>
      <c r="D124" s="195">
        <v>26789941</v>
      </c>
      <c r="E124" s="195"/>
      <c r="F124" s="195"/>
      <c r="G124" s="195"/>
      <c r="H124" s="195"/>
      <c r="I124" s="127"/>
      <c r="J124" s="278">
        <f t="shared" si="33"/>
        <v>26789941</v>
      </c>
      <c r="K124" s="224">
        <f t="shared" si="34"/>
        <v>27848275</v>
      </c>
    </row>
    <row r="125" spans="1:11" ht="12" customHeight="1">
      <c r="A125" s="12" t="s">
        <v>67</v>
      </c>
      <c r="B125" s="9" t="s">
        <v>249</v>
      </c>
      <c r="C125" s="127"/>
      <c r="D125" s="195">
        <v>1789941</v>
      </c>
      <c r="E125" s="195"/>
      <c r="F125" s="195"/>
      <c r="G125" s="195"/>
      <c r="H125" s="195"/>
      <c r="I125" s="127"/>
      <c r="J125" s="278">
        <f t="shared" si="33"/>
        <v>1789941</v>
      </c>
      <c r="K125" s="224">
        <f t="shared" si="34"/>
        <v>1789941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845632313</v>
      </c>
      <c r="D135" s="193">
        <f aca="true" t="shared" si="35" ref="D135:K135">+D100+D121</f>
        <v>69520234</v>
      </c>
      <c r="E135" s="193">
        <f t="shared" si="35"/>
        <v>52418892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121939126</v>
      </c>
      <c r="K135" s="68">
        <f t="shared" si="35"/>
        <v>967571439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78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78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301"/>
      <c r="F159" s="301"/>
      <c r="G159" s="301"/>
      <c r="H159" s="301"/>
      <c r="I159" s="251"/>
      <c r="J159" s="281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845632313</v>
      </c>
      <c r="D161" s="200">
        <f aca="true" t="shared" si="45" ref="D161:K161">+D135+D160</f>
        <v>69520234</v>
      </c>
      <c r="E161" s="200">
        <f t="shared" si="45"/>
        <v>52418892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121939126</v>
      </c>
      <c r="K161" s="185">
        <f t="shared" si="45"/>
        <v>967571439</v>
      </c>
    </row>
    <row r="162" spans="3:11" ht="13.5" customHeight="1">
      <c r="C162" s="418">
        <f>C93-C161</f>
        <v>64245586</v>
      </c>
      <c r="D162" s="419"/>
      <c r="E162" s="419"/>
      <c r="F162" s="419"/>
      <c r="G162" s="419"/>
      <c r="H162" s="419"/>
      <c r="I162" s="419"/>
      <c r="J162" s="419"/>
      <c r="K162" s="420">
        <f>K93-K161</f>
        <v>71091642</v>
      </c>
    </row>
    <row r="163" spans="1:11" ht="15.75">
      <c r="A163" s="518" t="s">
        <v>257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</row>
    <row r="164" spans="1:11" ht="15" customHeight="1" thickBot="1">
      <c r="A164" s="517" t="s">
        <v>83</v>
      </c>
      <c r="B164" s="51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-566325429</v>
      </c>
      <c r="D165" s="126">
        <f aca="true" t="shared" si="46" ref="D165:K165">+D68-D135</f>
        <v>51869950</v>
      </c>
      <c r="E165" s="126">
        <f t="shared" si="46"/>
        <v>1613581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53483531</v>
      </c>
      <c r="K165" s="68">
        <f t="shared" si="46"/>
        <v>-512841898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630571015</v>
      </c>
      <c r="D166" s="126">
        <f aca="true" t="shared" si="47" ref="D166:K166">+D92-D160</f>
        <v>-46637475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-46637475</v>
      </c>
      <c r="K166" s="68">
        <f t="shared" si="47"/>
        <v>583933540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7:B7"/>
    <mergeCell ref="A8:A9"/>
    <mergeCell ref="B8:B9"/>
    <mergeCell ref="C8:K8"/>
    <mergeCell ref="B1:K1"/>
    <mergeCell ref="A3:K3"/>
    <mergeCell ref="A4:K4"/>
    <mergeCell ref="A6:K6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C106" sqref="C106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7"/>
      <c r="B1" s="501" t="str">
        <f>CONCATENATE("1.3. melléklet ",RM_ALAPADATOK!A7," ",RM_ALAPADATOK!B7," ",RM_ALAPADATOK!C7," ",RM_ALAPADATOK!D7," ",RM_ALAPADATOK!E7," ",RM_ALAPADATOK!F7," ",RM_ALAPADATOK!G7," ",RM_ALAPADATOK!H7)</f>
        <v>1.3. melléklet a  / 2019 ( … ) önkormányzati rendelethez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ht="15.75">
      <c r="A2" s="307"/>
      <c r="B2" s="307"/>
      <c r="C2" s="308"/>
      <c r="D2" s="309"/>
      <c r="E2" s="309"/>
      <c r="F2" s="309"/>
      <c r="G2" s="309"/>
      <c r="H2" s="309"/>
      <c r="I2" s="309"/>
      <c r="J2" s="309"/>
      <c r="K2" s="309"/>
    </row>
    <row r="3" spans="1:11" ht="15.75">
      <c r="A3" s="503">
        <f>CONCATENATE(RM_ALAPADATOK!A4)</f>
      </c>
      <c r="B3" s="503"/>
      <c r="C3" s="504"/>
      <c r="D3" s="503"/>
      <c r="E3" s="503"/>
      <c r="F3" s="503"/>
      <c r="G3" s="503"/>
      <c r="H3" s="503"/>
      <c r="I3" s="503"/>
      <c r="J3" s="503"/>
      <c r="K3" s="503"/>
    </row>
    <row r="4" spans="1:11" ht="15.75">
      <c r="A4" s="503" t="s">
        <v>463</v>
      </c>
      <c r="B4" s="503"/>
      <c r="C4" s="504"/>
      <c r="D4" s="503"/>
      <c r="E4" s="503"/>
      <c r="F4" s="503"/>
      <c r="G4" s="503"/>
      <c r="H4" s="503"/>
      <c r="I4" s="503"/>
      <c r="J4" s="503"/>
      <c r="K4" s="503"/>
    </row>
    <row r="5" spans="1:11" ht="15.75">
      <c r="A5" s="307"/>
      <c r="B5" s="307"/>
      <c r="C5" s="308"/>
      <c r="D5" s="309"/>
      <c r="E5" s="309"/>
      <c r="F5" s="309"/>
      <c r="G5" s="309"/>
      <c r="H5" s="309"/>
      <c r="I5" s="309"/>
      <c r="J5" s="309"/>
      <c r="K5" s="309"/>
    </row>
    <row r="6" spans="1:11" ht="15.75" customHeight="1">
      <c r="A6" s="505" t="s">
        <v>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 thickBot="1">
      <c r="A7" s="515" t="s">
        <v>81</v>
      </c>
      <c r="B7" s="515"/>
      <c r="C7" s="310"/>
      <c r="D7" s="309"/>
      <c r="E7" s="309"/>
      <c r="F7" s="309"/>
      <c r="G7" s="309"/>
      <c r="H7" s="309"/>
      <c r="I7" s="309"/>
      <c r="J7" s="309"/>
      <c r="K7" s="310" t="s">
        <v>429</v>
      </c>
    </row>
    <row r="8" spans="1:11" ht="15.75">
      <c r="A8" s="510" t="s">
        <v>46</v>
      </c>
      <c r="B8" s="512" t="s">
        <v>2</v>
      </c>
      <c r="C8" s="506" t="str">
        <f>+CONCATENATE(LEFT(RM_ÖSSZEFÜGGÉSEK!A6,4),". évi")</f>
        <v>2019. évi</v>
      </c>
      <c r="D8" s="507"/>
      <c r="E8" s="508"/>
      <c r="F8" s="508"/>
      <c r="G8" s="508"/>
      <c r="H8" s="508"/>
      <c r="I8" s="508"/>
      <c r="J8" s="508"/>
      <c r="K8" s="509"/>
    </row>
    <row r="9" spans="1:11" ht="38.25" customHeight="1" thickBot="1">
      <c r="A9" s="511"/>
      <c r="B9" s="513"/>
      <c r="C9" s="284" t="s">
        <v>370</v>
      </c>
      <c r="D9" s="304" t="str">
        <f>CONCATENATE('RM_1.2.sz.mell'!D9)</f>
        <v>1. sz. módosítás </v>
      </c>
      <c r="E9" s="304" t="str">
        <f>CONCATENATE('RM_1.2.sz.mell'!E9)</f>
        <v>2. sz. módosítás </v>
      </c>
      <c r="F9" s="304" t="str">
        <f>CONCATENATE('RM_1.2.sz.mell'!F9)</f>
        <v>3. sz. módosítás </v>
      </c>
      <c r="G9" s="304" t="str">
        <f>CONCATENATE('RM_1.2.sz.mell'!G9)</f>
        <v>4. sz. módosítás </v>
      </c>
      <c r="H9" s="304" t="str">
        <f>CONCATENATE('RM_1.2.sz.mell'!H9)</f>
        <v>5. sz. módosítás </v>
      </c>
      <c r="I9" s="304" t="str">
        <f>CONCATENATE('RM_1.2.sz.mell'!I9)</f>
        <v>6. sz. módosítás </v>
      </c>
      <c r="J9" s="305" t="s">
        <v>435</v>
      </c>
      <c r="K9" s="306" t="str">
        <f>CONCATENATE('RM_1.2.sz.mell'!K9)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5" t="s">
        <v>348</v>
      </c>
      <c r="D10" s="285" t="s">
        <v>350</v>
      </c>
      <c r="E10" s="286" t="s">
        <v>349</v>
      </c>
      <c r="F10" s="286" t="s">
        <v>351</v>
      </c>
      <c r="G10" s="286" t="s">
        <v>352</v>
      </c>
      <c r="H10" s="286" t="s">
        <v>353</v>
      </c>
      <c r="I10" s="286" t="s">
        <v>459</v>
      </c>
      <c r="J10" s="286" t="s">
        <v>460</v>
      </c>
      <c r="K10" s="303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8"/>
      <c r="F24" s="248"/>
      <c r="G24" s="248"/>
      <c r="H24" s="248"/>
      <c r="I24" s="248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8"/>
      <c r="F31" s="248"/>
      <c r="G31" s="248"/>
      <c r="H31" s="248"/>
      <c r="I31" s="248"/>
      <c r="J31" s="272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7904000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7904000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>
      <c r="A43" s="11" t="s">
        <v>53</v>
      </c>
      <c r="B43" s="140" t="s">
        <v>163</v>
      </c>
      <c r="C43" s="127">
        <v>6804000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6804000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2" t="s">
        <v>170</v>
      </c>
      <c r="C51" s="252"/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280000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8184000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8184000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87" t="s">
        <v>320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5" t="s">
        <v>199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45" t="s">
        <v>432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45" t="s">
        <v>200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46" t="s">
        <v>433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76">
        <f>D79+E79+F79+G79+H79+I79</f>
        <v>0</v>
      </c>
      <c r="K79" s="226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6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23" t="s">
        <v>232</v>
      </c>
      <c r="B92" s="324" t="s">
        <v>337</v>
      </c>
      <c r="C92" s="325">
        <f>+C69+C73+C78+C81+C85+C91+C90</f>
        <v>0</v>
      </c>
      <c r="D92" s="325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69" t="s">
        <v>336</v>
      </c>
      <c r="B93" s="69" t="s">
        <v>338</v>
      </c>
      <c r="C93" s="132">
        <f>+C68+C92</f>
        <v>8184000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8184000</v>
      </c>
    </row>
    <row r="94" spans="1:3" s="138" customFormat="1" ht="30.75" customHeight="1">
      <c r="A94" s="2"/>
      <c r="B94" s="3"/>
      <c r="C94" s="73"/>
    </row>
    <row r="95" spans="1:11" ht="16.5" customHeight="1">
      <c r="A95" s="514" t="s">
        <v>31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</row>
    <row r="96" spans="1:11" s="145" customFormat="1" ht="16.5" customHeight="1" thickBot="1">
      <c r="A96" s="516" t="s">
        <v>82</v>
      </c>
      <c r="B96" s="516"/>
      <c r="C96" s="49"/>
      <c r="K96" s="49" t="str">
        <f>K7</f>
        <v>Forintban!</v>
      </c>
    </row>
    <row r="97" spans="1:11" ht="15.75">
      <c r="A97" s="510" t="s">
        <v>46</v>
      </c>
      <c r="B97" s="512" t="s">
        <v>371</v>
      </c>
      <c r="C97" s="506" t="str">
        <f>+CONCATENATE(LEFT(RM_ÖSSZEFÜGGÉSEK!A6,4),". évi")</f>
        <v>2019. évi</v>
      </c>
      <c r="D97" s="507"/>
      <c r="E97" s="508"/>
      <c r="F97" s="508"/>
      <c r="G97" s="508"/>
      <c r="H97" s="508"/>
      <c r="I97" s="508"/>
      <c r="J97" s="508"/>
      <c r="K97" s="509"/>
    </row>
    <row r="98" spans="1:11" ht="48.75" thickBot="1">
      <c r="A98" s="511"/>
      <c r="B98" s="513"/>
      <c r="C98" s="284" t="s">
        <v>370</v>
      </c>
      <c r="D98" s="304" t="str">
        <f aca="true" t="shared" si="28" ref="D98:I98">D9</f>
        <v>1. sz. módosítás </v>
      </c>
      <c r="E98" s="304" t="str">
        <f t="shared" si="28"/>
        <v>2. sz. módosítás </v>
      </c>
      <c r="F98" s="304" t="str">
        <f t="shared" si="28"/>
        <v>3. sz. módosítás </v>
      </c>
      <c r="G98" s="304" t="str">
        <f t="shared" si="28"/>
        <v>4. sz. módosítás </v>
      </c>
      <c r="H98" s="304" t="str">
        <f t="shared" si="28"/>
        <v>5. sz. módosítás </v>
      </c>
      <c r="I98" s="304" t="str">
        <f t="shared" si="28"/>
        <v>6. sz. módosítás </v>
      </c>
      <c r="J98" s="305" t="s">
        <v>435</v>
      </c>
      <c r="K98" s="306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5" t="s">
        <v>348</v>
      </c>
      <c r="D99" s="285" t="s">
        <v>350</v>
      </c>
      <c r="E99" s="286" t="s">
        <v>349</v>
      </c>
      <c r="F99" s="286" t="s">
        <v>351</v>
      </c>
      <c r="G99" s="286" t="s">
        <v>352</v>
      </c>
      <c r="H99" s="286" t="s">
        <v>353</v>
      </c>
      <c r="I99" s="286" t="s">
        <v>459</v>
      </c>
      <c r="J99" s="286" t="s">
        <v>460</v>
      </c>
      <c r="K99" s="303" t="s">
        <v>461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12279900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12279900</v>
      </c>
    </row>
    <row r="101" spans="1:11" ht="12" customHeight="1">
      <c r="A101" s="14" t="s">
        <v>58</v>
      </c>
      <c r="B101" s="7" t="s">
        <v>32</v>
      </c>
      <c r="C101" s="269">
        <v>234310</v>
      </c>
      <c r="D101" s="186"/>
      <c r="E101" s="186"/>
      <c r="F101" s="186"/>
      <c r="G101" s="186"/>
      <c r="H101" s="186"/>
      <c r="I101" s="186"/>
      <c r="J101" s="277">
        <f aca="true" t="shared" si="30" ref="J101:J120">D101+E101+F101+G101+H101+I101</f>
        <v>0</v>
      </c>
      <c r="K101" s="228">
        <f aca="true" t="shared" si="31" ref="K101:K120">C101+J101</f>
        <v>234310</v>
      </c>
    </row>
    <row r="102" spans="1:11" ht="12" customHeight="1">
      <c r="A102" s="11" t="s">
        <v>59</v>
      </c>
      <c r="B102" s="5" t="s">
        <v>101</v>
      </c>
      <c r="C102" s="127">
        <v>45690</v>
      </c>
      <c r="D102" s="127"/>
      <c r="E102" s="127"/>
      <c r="F102" s="127"/>
      <c r="G102" s="127"/>
      <c r="H102" s="127"/>
      <c r="I102" s="127"/>
      <c r="J102" s="278">
        <f t="shared" si="30"/>
        <v>0</v>
      </c>
      <c r="K102" s="224">
        <f t="shared" si="31"/>
        <v>45690</v>
      </c>
    </row>
    <row r="103" spans="1:11" ht="12" customHeight="1">
      <c r="A103" s="11" t="s">
        <v>60</v>
      </c>
      <c r="B103" s="5" t="s">
        <v>77</v>
      </c>
      <c r="C103" s="129">
        <v>9351900</v>
      </c>
      <c r="D103" s="129"/>
      <c r="E103" s="129"/>
      <c r="F103" s="129"/>
      <c r="G103" s="129"/>
      <c r="H103" s="129"/>
      <c r="I103" s="129"/>
      <c r="J103" s="279">
        <f t="shared" si="30"/>
        <v>0</v>
      </c>
      <c r="K103" s="225">
        <f t="shared" si="31"/>
        <v>9351900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f>SUM(C106:C117)</f>
        <v>2648000</v>
      </c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2648000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150000</v>
      </c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150000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2498000</v>
      </c>
      <c r="D117" s="129"/>
      <c r="E117" s="129"/>
      <c r="F117" s="129"/>
      <c r="G117" s="129"/>
      <c r="H117" s="129"/>
      <c r="I117" s="129"/>
      <c r="J117" s="279">
        <f t="shared" si="30"/>
        <v>0</v>
      </c>
      <c r="K117" s="225">
        <f t="shared" si="31"/>
        <v>2498000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0</v>
      </c>
      <c r="D121" s="126">
        <f aca="true" t="shared" si="32" ref="D121:K121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8">
        <f t="shared" si="33"/>
        <v>0</v>
      </c>
      <c r="K124" s="224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12279900</v>
      </c>
      <c r="D135" s="193">
        <f aca="true" t="shared" si="35" ref="D135:K1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12279900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78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78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301"/>
      <c r="F159" s="301"/>
      <c r="G159" s="301"/>
      <c r="H159" s="301"/>
      <c r="I159" s="251"/>
      <c r="J159" s="281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12279900</v>
      </c>
      <c r="D161" s="200">
        <f aca="true" t="shared" si="45" ref="D161:K161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12279900</v>
      </c>
    </row>
    <row r="162" spans="3:11" ht="13.5" customHeight="1">
      <c r="C162" s="418">
        <f>C93-C161</f>
        <v>-4095900</v>
      </c>
      <c r="D162" s="419"/>
      <c r="E162" s="419"/>
      <c r="F162" s="419"/>
      <c r="G162" s="419"/>
      <c r="H162" s="419"/>
      <c r="I162" s="419"/>
      <c r="J162" s="419"/>
      <c r="K162" s="420">
        <f>K93-K161</f>
        <v>-4095900</v>
      </c>
    </row>
    <row r="163" spans="1:11" ht="15.75">
      <c r="A163" s="518" t="s">
        <v>257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</row>
    <row r="164" spans="1:11" ht="15" customHeight="1" thickBot="1">
      <c r="A164" s="517" t="s">
        <v>83</v>
      </c>
      <c r="B164" s="51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-4095900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-4095900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7:B7"/>
    <mergeCell ref="A8:A9"/>
    <mergeCell ref="B8:B9"/>
    <mergeCell ref="C8:K8"/>
    <mergeCell ref="B1:K1"/>
    <mergeCell ref="A3:K3"/>
    <mergeCell ref="A4:K4"/>
    <mergeCell ref="A6:K6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57">
      <selection activeCell="C162" sqref="C162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307"/>
      <c r="B1" s="501" t="str">
        <f>CONCATENATE("1.4. melléklet ",RM_ALAPADATOK!A7," ",RM_ALAPADATOK!B7," ",RM_ALAPADATOK!C7," ",RM_ALAPADATOK!D7," ",RM_ALAPADATOK!E7," ",RM_ALAPADATOK!F7," ",RM_ALAPADATOK!G7," ",RM_ALAPADATOK!H7)</f>
        <v>1.4. melléklet a  / 2019 ( … ) önkormányzati rendelethez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ht="15.75">
      <c r="A2" s="307"/>
      <c r="B2" s="307"/>
      <c r="C2" s="308"/>
      <c r="D2" s="309"/>
      <c r="E2" s="309"/>
      <c r="F2" s="309"/>
      <c r="G2" s="309"/>
      <c r="H2" s="309"/>
      <c r="I2" s="309"/>
      <c r="J2" s="309"/>
      <c r="K2" s="309"/>
    </row>
    <row r="3" spans="1:11" ht="15.75">
      <c r="A3" s="503">
        <f>CONCATENATE(RM_ALAPADATOK!A4)</f>
      </c>
      <c r="B3" s="503"/>
      <c r="C3" s="504"/>
      <c r="D3" s="503"/>
      <c r="E3" s="503"/>
      <c r="F3" s="503"/>
      <c r="G3" s="503"/>
      <c r="H3" s="503"/>
      <c r="I3" s="503"/>
      <c r="J3" s="503"/>
      <c r="K3" s="503"/>
    </row>
    <row r="4" spans="1:11" ht="15.75">
      <c r="A4" s="503" t="s">
        <v>464</v>
      </c>
      <c r="B4" s="503"/>
      <c r="C4" s="504"/>
      <c r="D4" s="503"/>
      <c r="E4" s="503"/>
      <c r="F4" s="503"/>
      <c r="G4" s="503"/>
      <c r="H4" s="503"/>
      <c r="I4" s="503"/>
      <c r="J4" s="503"/>
      <c r="K4" s="503"/>
    </row>
    <row r="5" spans="1:11" ht="15.75">
      <c r="A5" s="307"/>
      <c r="B5" s="307"/>
      <c r="C5" s="308"/>
      <c r="D5" s="309"/>
      <c r="E5" s="309"/>
      <c r="F5" s="309"/>
      <c r="G5" s="309"/>
      <c r="H5" s="309"/>
      <c r="I5" s="309"/>
      <c r="J5" s="309"/>
      <c r="K5" s="309"/>
    </row>
    <row r="6" spans="1:11" ht="15.75" customHeight="1">
      <c r="A6" s="505" t="s">
        <v>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 thickBot="1">
      <c r="A7" s="515" t="s">
        <v>81</v>
      </c>
      <c r="B7" s="515"/>
      <c r="C7" s="310"/>
      <c r="D7" s="309"/>
      <c r="E7" s="309"/>
      <c r="F7" s="309"/>
      <c r="G7" s="309"/>
      <c r="H7" s="309"/>
      <c r="I7" s="309"/>
      <c r="J7" s="309"/>
      <c r="K7" s="310" t="s">
        <v>429</v>
      </c>
    </row>
    <row r="8" spans="1:11" ht="15.75">
      <c r="A8" s="510" t="s">
        <v>46</v>
      </c>
      <c r="B8" s="512" t="s">
        <v>2</v>
      </c>
      <c r="C8" s="506" t="str">
        <f>+CONCATENATE(LEFT(RM_ÖSSZEFÜGGÉSEK!A6,4),". évi")</f>
        <v>2019. évi</v>
      </c>
      <c r="D8" s="507"/>
      <c r="E8" s="508"/>
      <c r="F8" s="508"/>
      <c r="G8" s="508"/>
      <c r="H8" s="508"/>
      <c r="I8" s="508"/>
      <c r="J8" s="508"/>
      <c r="K8" s="509"/>
    </row>
    <row r="9" spans="1:11" ht="36" customHeight="1" thickBot="1">
      <c r="A9" s="511"/>
      <c r="B9" s="513"/>
      <c r="C9" s="284" t="s">
        <v>370</v>
      </c>
      <c r="D9" s="304" t="str">
        <f>CONCATENATE('RM_1.3.sz.mell.'!D98)</f>
        <v>1. sz. módosítás </v>
      </c>
      <c r="E9" s="304" t="str">
        <f>CONCATENATE('RM_1.3.sz.mell.'!E98)</f>
        <v>2. sz. módosítás </v>
      </c>
      <c r="F9" s="304" t="str">
        <f>CONCATENATE('RM_1.3.sz.mell.'!F98)</f>
        <v>3. sz. módosítás </v>
      </c>
      <c r="G9" s="304" t="str">
        <f>CONCATENATE('RM_1.3.sz.mell.'!G98)</f>
        <v>4. sz. módosítás </v>
      </c>
      <c r="H9" s="304" t="str">
        <f>CONCATENATE('RM_1.3.sz.mell.'!H98)</f>
        <v>5. sz. módosítás </v>
      </c>
      <c r="I9" s="304" t="str">
        <f>CONCATENATE('RM_1.3.sz.mell.'!I98)</f>
        <v>6. sz. módosítás </v>
      </c>
      <c r="J9" s="305" t="s">
        <v>435</v>
      </c>
      <c r="K9" s="306" t="str">
        <f>CONCATENATE('RM_1.3.sz.mell.'!K98)</f>
        <v>1. 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85" t="s">
        <v>348</v>
      </c>
      <c r="D10" s="285" t="s">
        <v>350</v>
      </c>
      <c r="E10" s="286" t="s">
        <v>349</v>
      </c>
      <c r="F10" s="286" t="s">
        <v>351</v>
      </c>
      <c r="G10" s="286" t="s">
        <v>352</v>
      </c>
      <c r="H10" s="286" t="s">
        <v>353</v>
      </c>
      <c r="I10" s="286" t="s">
        <v>459</v>
      </c>
      <c r="J10" s="286" t="s">
        <v>460</v>
      </c>
      <c r="K10" s="303" t="s">
        <v>461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13842481</v>
      </c>
      <c r="D18" s="126">
        <f aca="true" t="shared" si="3" ref="D18:K18">+D19+D20+D21+D22+D23</f>
        <v>6094975</v>
      </c>
      <c r="E18" s="126">
        <f t="shared" si="3"/>
        <v>1945972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8040947</v>
      </c>
      <c r="K18" s="68">
        <f t="shared" si="3"/>
        <v>21883428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13842481</v>
      </c>
      <c r="D23" s="127">
        <v>6094975</v>
      </c>
      <c r="E23" s="128">
        <v>1945972</v>
      </c>
      <c r="F23" s="128"/>
      <c r="G23" s="128"/>
      <c r="H23" s="128"/>
      <c r="I23" s="128"/>
      <c r="J23" s="167">
        <f t="shared" si="4"/>
        <v>8040947</v>
      </c>
      <c r="K23" s="166">
        <f t="shared" si="5"/>
        <v>21883428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>
        <v>4989991</v>
      </c>
      <c r="E24" s="248"/>
      <c r="F24" s="248"/>
      <c r="G24" s="248"/>
      <c r="H24" s="248"/>
      <c r="I24" s="248"/>
      <c r="J24" s="167">
        <f t="shared" si="4"/>
        <v>4989991</v>
      </c>
      <c r="K24" s="166">
        <f t="shared" si="5"/>
        <v>4989991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769915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769915</v>
      </c>
      <c r="K25" s="68">
        <f t="shared" si="6"/>
        <v>769915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>
        <v>769915</v>
      </c>
      <c r="E30" s="128"/>
      <c r="F30" s="128"/>
      <c r="G30" s="128"/>
      <c r="H30" s="128"/>
      <c r="I30" s="128"/>
      <c r="J30" s="167">
        <f t="shared" si="7"/>
        <v>769915</v>
      </c>
      <c r="K30" s="166">
        <f t="shared" si="8"/>
        <v>769915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>
        <v>769915</v>
      </c>
      <c r="E31" s="248"/>
      <c r="F31" s="248"/>
      <c r="G31" s="248"/>
      <c r="H31" s="248"/>
      <c r="I31" s="248"/>
      <c r="J31" s="272">
        <f t="shared" si="7"/>
        <v>769915</v>
      </c>
      <c r="K31" s="166">
        <f t="shared" si="8"/>
        <v>769915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48"/>
      <c r="F39" s="248"/>
      <c r="G39" s="248"/>
      <c r="H39" s="248"/>
      <c r="I39" s="248"/>
      <c r="J39" s="272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73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9"/>
      <c r="F50" s="249"/>
      <c r="G50" s="249"/>
      <c r="H50" s="249"/>
      <c r="I50" s="249"/>
      <c r="J50" s="274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302" t="s">
        <v>170</v>
      </c>
      <c r="C51" s="252"/>
      <c r="D51" s="252"/>
      <c r="E51" s="252"/>
      <c r="F51" s="252"/>
      <c r="G51" s="252"/>
      <c r="H51" s="252"/>
      <c r="I51" s="252"/>
      <c r="J51" s="275">
        <f t="shared" si="13"/>
        <v>0</v>
      </c>
      <c r="K51" s="229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73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73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73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73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9"/>
      <c r="F57" s="249"/>
      <c r="G57" s="249"/>
      <c r="H57" s="249"/>
      <c r="I57" s="249"/>
      <c r="J57" s="274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48"/>
      <c r="F62" s="248"/>
      <c r="G62" s="248"/>
      <c r="H62" s="248"/>
      <c r="I62" s="248"/>
      <c r="J62" s="272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76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76">
        <f>D65+E65+F65+G65+H65+I65</f>
        <v>0</v>
      </c>
      <c r="K65" s="226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76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76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13842481</v>
      </c>
      <c r="D68" s="132">
        <f aca="true" t="shared" si="18" ref="D68:K68">+D11+D18+D25+D32+D40+D52+D58+D63</f>
        <v>6864890</v>
      </c>
      <c r="E68" s="132">
        <f t="shared" si="18"/>
        <v>1945972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8810862</v>
      </c>
      <c r="K68" s="165">
        <f t="shared" si="18"/>
        <v>22653343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76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76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87" t="s">
        <v>320</v>
      </c>
      <c r="C72" s="252"/>
      <c r="D72" s="252"/>
      <c r="E72" s="252"/>
      <c r="F72" s="252"/>
      <c r="G72" s="252"/>
      <c r="H72" s="252"/>
      <c r="I72" s="252"/>
      <c r="J72" s="275">
        <f>D72+E72+F72+G72+H72+I72</f>
        <v>0</v>
      </c>
      <c r="K72" s="288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5" t="s">
        <v>199</v>
      </c>
      <c r="C74" s="130"/>
      <c r="D74" s="130"/>
      <c r="E74" s="130"/>
      <c r="F74" s="130"/>
      <c r="G74" s="130"/>
      <c r="H74" s="130"/>
      <c r="I74" s="130"/>
      <c r="J74" s="276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45" t="s">
        <v>432</v>
      </c>
      <c r="C75" s="130"/>
      <c r="D75" s="130"/>
      <c r="E75" s="130"/>
      <c r="F75" s="130"/>
      <c r="G75" s="130"/>
      <c r="H75" s="130"/>
      <c r="I75" s="130"/>
      <c r="J75" s="276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45" t="s">
        <v>200</v>
      </c>
      <c r="C76" s="130"/>
      <c r="D76" s="130"/>
      <c r="E76" s="130"/>
      <c r="F76" s="130"/>
      <c r="G76" s="130"/>
      <c r="H76" s="130"/>
      <c r="I76" s="130"/>
      <c r="J76" s="276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46" t="s">
        <v>433</v>
      </c>
      <c r="C77" s="130"/>
      <c r="D77" s="130"/>
      <c r="E77" s="130"/>
      <c r="F77" s="130"/>
      <c r="G77" s="130"/>
      <c r="H77" s="130"/>
      <c r="I77" s="130"/>
      <c r="J77" s="276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13479423</v>
      </c>
      <c r="D78" s="126">
        <f aca="true" t="shared" si="21" ref="D78:K78">SUM(D79:D80)</f>
        <v>-3747544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-3747544</v>
      </c>
      <c r="K78" s="68">
        <f t="shared" si="21"/>
        <v>9731879</v>
      </c>
    </row>
    <row r="79" spans="1:11" s="138" customFormat="1" ht="12" customHeight="1">
      <c r="A79" s="12" t="s">
        <v>224</v>
      </c>
      <c r="B79" s="139" t="s">
        <v>203</v>
      </c>
      <c r="C79" s="130">
        <v>13479423</v>
      </c>
      <c r="D79" s="130">
        <v>-3747544</v>
      </c>
      <c r="E79" s="130"/>
      <c r="F79" s="130"/>
      <c r="G79" s="130"/>
      <c r="H79" s="130"/>
      <c r="I79" s="130"/>
      <c r="J79" s="276">
        <f>D79+E79+F79+G79+H79+I79</f>
        <v>-3747544</v>
      </c>
      <c r="K79" s="226">
        <f>C79+J79</f>
        <v>9731879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76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76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76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76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76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76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76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76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13479423</v>
      </c>
      <c r="D92" s="132">
        <f aca="true" t="shared" si="26" ref="D92:K92">+D69+D73+D78+D81+D85+D91+D90</f>
        <v>-3747544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-3747544</v>
      </c>
      <c r="K92" s="165">
        <f t="shared" si="26"/>
        <v>9731879</v>
      </c>
    </row>
    <row r="93" spans="1:11" s="138" customFormat="1" ht="25.5" customHeight="1" thickBot="1">
      <c r="A93" s="170" t="s">
        <v>336</v>
      </c>
      <c r="B93" s="322" t="s">
        <v>338</v>
      </c>
      <c r="C93" s="132">
        <f>+C68+C92</f>
        <v>27321904</v>
      </c>
      <c r="D93" s="132">
        <f aca="true" t="shared" si="27" ref="D93:K93">+D68+D92</f>
        <v>3117346</v>
      </c>
      <c r="E93" s="132">
        <f t="shared" si="27"/>
        <v>1945972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5063318</v>
      </c>
      <c r="K93" s="165">
        <f t="shared" si="27"/>
        <v>32385222</v>
      </c>
    </row>
    <row r="94" spans="1:3" s="138" customFormat="1" ht="30.75" customHeight="1">
      <c r="A94" s="2"/>
      <c r="B94" s="3"/>
      <c r="C94" s="73"/>
    </row>
    <row r="95" spans="1:11" ht="16.5" customHeight="1">
      <c r="A95" s="514" t="s">
        <v>31</v>
      </c>
      <c r="B95" s="514"/>
      <c r="C95" s="514"/>
      <c r="D95" s="514"/>
      <c r="E95" s="514"/>
      <c r="F95" s="514"/>
      <c r="G95" s="514"/>
      <c r="H95" s="514"/>
      <c r="I95" s="514"/>
      <c r="J95" s="514"/>
      <c r="K95" s="514"/>
    </row>
    <row r="96" spans="1:11" s="145" customFormat="1" ht="16.5" customHeight="1" thickBot="1">
      <c r="A96" s="516" t="s">
        <v>82</v>
      </c>
      <c r="B96" s="516"/>
      <c r="C96" s="49"/>
      <c r="K96" s="49" t="str">
        <f>K7</f>
        <v>Forintban!</v>
      </c>
    </row>
    <row r="97" spans="1:11" ht="15.75">
      <c r="A97" s="510" t="s">
        <v>46</v>
      </c>
      <c r="B97" s="512" t="s">
        <v>371</v>
      </c>
      <c r="C97" s="506" t="str">
        <f>+CONCATENATE(LEFT(RM_ÖSSZEFÜGGÉSEK!A6,4),". évi")</f>
        <v>2019. évi</v>
      </c>
      <c r="D97" s="507"/>
      <c r="E97" s="508"/>
      <c r="F97" s="508"/>
      <c r="G97" s="508"/>
      <c r="H97" s="508"/>
      <c r="I97" s="508"/>
      <c r="J97" s="508"/>
      <c r="K97" s="509"/>
    </row>
    <row r="98" spans="1:11" ht="48.75" thickBot="1">
      <c r="A98" s="511"/>
      <c r="B98" s="513"/>
      <c r="C98" s="284" t="s">
        <v>370</v>
      </c>
      <c r="D98" s="304" t="str">
        <f aca="true" t="shared" si="28" ref="D98:I98">D9</f>
        <v>1. sz. módosítás </v>
      </c>
      <c r="E98" s="304" t="str">
        <f t="shared" si="28"/>
        <v>2. sz. módosítás </v>
      </c>
      <c r="F98" s="304" t="str">
        <f t="shared" si="28"/>
        <v>3. sz. módosítás </v>
      </c>
      <c r="G98" s="304" t="str">
        <f t="shared" si="28"/>
        <v>4. sz. módosítás </v>
      </c>
      <c r="H98" s="304" t="str">
        <f t="shared" si="28"/>
        <v>5. sz. módosítás </v>
      </c>
      <c r="I98" s="304" t="str">
        <f t="shared" si="28"/>
        <v>6. sz. módosítás </v>
      </c>
      <c r="J98" s="305" t="s">
        <v>435</v>
      </c>
      <c r="K98" s="306" t="str">
        <f>K9</f>
        <v>1. 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85" t="s">
        <v>348</v>
      </c>
      <c r="D99" s="285" t="s">
        <v>350</v>
      </c>
      <c r="E99" s="286" t="s">
        <v>349</v>
      </c>
      <c r="F99" s="286" t="s">
        <v>351</v>
      </c>
      <c r="G99" s="286" t="s">
        <v>352</v>
      </c>
      <c r="H99" s="286" t="s">
        <v>353</v>
      </c>
      <c r="I99" s="286" t="s">
        <v>459</v>
      </c>
      <c r="J99" s="286" t="s">
        <v>460</v>
      </c>
      <c r="K99" s="303" t="s">
        <v>461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86709590</v>
      </c>
      <c r="D100" s="125">
        <f aca="true" t="shared" si="29" ref="D100:K100">D101+D102+D103+D104+D105+D118</f>
        <v>7579906</v>
      </c>
      <c r="E100" s="125">
        <f t="shared" si="29"/>
        <v>3559553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11139459</v>
      </c>
      <c r="K100" s="182">
        <f t="shared" si="29"/>
        <v>97849049</v>
      </c>
    </row>
    <row r="101" spans="1:11" ht="12" customHeight="1">
      <c r="A101" s="14" t="s">
        <v>58</v>
      </c>
      <c r="B101" s="7" t="s">
        <v>32</v>
      </c>
      <c r="C101" s="269">
        <v>53980113</v>
      </c>
      <c r="D101" s="186">
        <v>6439443</v>
      </c>
      <c r="E101" s="186">
        <v>2852972</v>
      </c>
      <c r="F101" s="186"/>
      <c r="G101" s="186"/>
      <c r="H101" s="186"/>
      <c r="I101" s="186"/>
      <c r="J101" s="277">
        <f aca="true" t="shared" si="30" ref="J101:J120">D101+E101+F101+G101+H101+I101</f>
        <v>9292415</v>
      </c>
      <c r="K101" s="228">
        <f aca="true" t="shared" si="31" ref="K101:K120">C101+J101</f>
        <v>63272528</v>
      </c>
    </row>
    <row r="102" spans="1:11" ht="12" customHeight="1">
      <c r="A102" s="11" t="s">
        <v>59</v>
      </c>
      <c r="B102" s="5" t="s">
        <v>101</v>
      </c>
      <c r="C102" s="127">
        <v>11199334</v>
      </c>
      <c r="D102" s="127">
        <v>1425799</v>
      </c>
      <c r="E102" s="127">
        <v>527752</v>
      </c>
      <c r="F102" s="127"/>
      <c r="G102" s="127"/>
      <c r="H102" s="127"/>
      <c r="I102" s="127"/>
      <c r="J102" s="278">
        <f t="shared" si="30"/>
        <v>1953551</v>
      </c>
      <c r="K102" s="224">
        <f t="shared" si="31"/>
        <v>13152885</v>
      </c>
    </row>
    <row r="103" spans="1:11" ht="12" customHeight="1">
      <c r="A103" s="11" t="s">
        <v>60</v>
      </c>
      <c r="B103" s="5" t="s">
        <v>77</v>
      </c>
      <c r="C103" s="129">
        <v>21530143</v>
      </c>
      <c r="D103" s="129">
        <v>-285336</v>
      </c>
      <c r="E103" s="129">
        <v>178829</v>
      </c>
      <c r="F103" s="129"/>
      <c r="G103" s="129"/>
      <c r="H103" s="129"/>
      <c r="I103" s="129"/>
      <c r="J103" s="279">
        <f t="shared" si="30"/>
        <v>-106507</v>
      </c>
      <c r="K103" s="225">
        <f t="shared" si="31"/>
        <v>21423636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9">
        <f t="shared" si="30"/>
        <v>0</v>
      </c>
      <c r="K104" s="225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9">
        <f t="shared" si="30"/>
        <v>0</v>
      </c>
      <c r="K105" s="225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9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9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9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9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9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9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9">
        <f t="shared" si="30"/>
        <v>0</v>
      </c>
      <c r="K112" s="225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9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9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9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9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9">
        <f t="shared" si="30"/>
        <v>0</v>
      </c>
      <c r="K117" s="225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8">
        <f t="shared" si="30"/>
        <v>0</v>
      </c>
      <c r="K118" s="224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78">
        <f t="shared" si="30"/>
        <v>0</v>
      </c>
      <c r="K119" s="224">
        <f t="shared" si="31"/>
        <v>0</v>
      </c>
    </row>
    <row r="120" spans="1:11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280">
        <f t="shared" si="30"/>
        <v>0</v>
      </c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762000</v>
      </c>
      <c r="D121" s="126">
        <f aca="true" t="shared" si="32" ref="D121:K121">+D122+D124+D126</f>
        <v>769915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769915</v>
      </c>
      <c r="K121" s="183">
        <f t="shared" si="32"/>
        <v>1531915</v>
      </c>
    </row>
    <row r="122" spans="1:11" ht="12" customHeight="1">
      <c r="A122" s="12" t="s">
        <v>64</v>
      </c>
      <c r="B122" s="5" t="s">
        <v>119</v>
      </c>
      <c r="C122" s="128">
        <v>762000</v>
      </c>
      <c r="D122" s="194">
        <v>769915</v>
      </c>
      <c r="E122" s="194"/>
      <c r="F122" s="194"/>
      <c r="G122" s="194"/>
      <c r="H122" s="194"/>
      <c r="I122" s="128"/>
      <c r="J122" s="167">
        <f aca="true" t="shared" si="33" ref="J122:J134">D122+E122+F122+G122+H122+I122</f>
        <v>769915</v>
      </c>
      <c r="K122" s="166">
        <f aca="true" t="shared" si="34" ref="K122:K134">C122+J122</f>
        <v>1531915</v>
      </c>
    </row>
    <row r="123" spans="1:11" ht="12" customHeight="1">
      <c r="A123" s="12" t="s">
        <v>65</v>
      </c>
      <c r="B123" s="9" t="s">
        <v>248</v>
      </c>
      <c r="C123" s="128"/>
      <c r="D123" s="194">
        <v>769915</v>
      </c>
      <c r="E123" s="194"/>
      <c r="F123" s="194"/>
      <c r="G123" s="194"/>
      <c r="H123" s="194"/>
      <c r="I123" s="128"/>
      <c r="J123" s="167">
        <f t="shared" si="33"/>
        <v>769915</v>
      </c>
      <c r="K123" s="166">
        <f t="shared" si="34"/>
        <v>769915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8">
        <f t="shared" si="33"/>
        <v>0</v>
      </c>
      <c r="K124" s="224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5"/>
      <c r="E125" s="195"/>
      <c r="F125" s="195"/>
      <c r="G125" s="195"/>
      <c r="H125" s="195"/>
      <c r="I125" s="127"/>
      <c r="J125" s="278">
        <f t="shared" si="33"/>
        <v>0</v>
      </c>
      <c r="K125" s="224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8">
        <f t="shared" si="33"/>
        <v>0</v>
      </c>
      <c r="K126" s="224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78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78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78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78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78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78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78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279">
        <f t="shared" si="33"/>
        <v>0</v>
      </c>
      <c r="K134" s="225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87471590</v>
      </c>
      <c r="D135" s="193">
        <f aca="true" t="shared" si="35" ref="D135:K135">+D100+D121</f>
        <v>8349821</v>
      </c>
      <c r="E135" s="193">
        <f t="shared" si="35"/>
        <v>3559553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11909374</v>
      </c>
      <c r="K135" s="68">
        <f t="shared" si="35"/>
        <v>99380964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78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78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78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78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78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78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78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78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78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78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78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78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78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78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9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50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301"/>
      <c r="F159" s="301"/>
      <c r="G159" s="301"/>
      <c r="H159" s="301"/>
      <c r="I159" s="251"/>
      <c r="J159" s="281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87471590</v>
      </c>
      <c r="D161" s="200">
        <f aca="true" t="shared" si="45" ref="D161:K161">+D135+D160</f>
        <v>8349821</v>
      </c>
      <c r="E161" s="200">
        <f t="shared" si="45"/>
        <v>3559553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11909374</v>
      </c>
      <c r="K161" s="185">
        <f t="shared" si="45"/>
        <v>99380964</v>
      </c>
    </row>
    <row r="162" spans="3:11" ht="13.5" customHeight="1">
      <c r="C162" s="418">
        <f>C93-C161</f>
        <v>-60149686</v>
      </c>
      <c r="D162" s="419"/>
      <c r="E162" s="419"/>
      <c r="F162" s="419"/>
      <c r="G162" s="419"/>
      <c r="H162" s="419"/>
      <c r="I162" s="419"/>
      <c r="J162" s="419"/>
      <c r="K162" s="420">
        <f>K93-K161</f>
        <v>-66995742</v>
      </c>
    </row>
    <row r="163" spans="1:11" ht="15.75">
      <c r="A163" s="518" t="s">
        <v>257</v>
      </c>
      <c r="B163" s="518"/>
      <c r="C163" s="518"/>
      <c r="D163" s="518"/>
      <c r="E163" s="518"/>
      <c r="F163" s="518"/>
      <c r="G163" s="518"/>
      <c r="H163" s="518"/>
      <c r="I163" s="518"/>
      <c r="J163" s="518"/>
      <c r="K163" s="518"/>
    </row>
    <row r="164" spans="1:11" ht="15" customHeight="1" thickBot="1">
      <c r="A164" s="517" t="s">
        <v>83</v>
      </c>
      <c r="B164" s="51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-73629109</v>
      </c>
      <c r="D165" s="126">
        <f aca="true" t="shared" si="46" ref="D165:K165">+D68-D135</f>
        <v>-1484931</v>
      </c>
      <c r="E165" s="126">
        <f t="shared" si="46"/>
        <v>-1613581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-3098512</v>
      </c>
      <c r="K165" s="68">
        <f t="shared" si="46"/>
        <v>-76727621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13479423</v>
      </c>
      <c r="D166" s="126">
        <f aca="true" t="shared" si="47" ref="D166:K166">+D92-D160</f>
        <v>-3747544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-3747544</v>
      </c>
      <c r="K166" s="68">
        <f t="shared" si="47"/>
        <v>9731879</v>
      </c>
    </row>
  </sheetData>
  <sheetProtection sheet="1"/>
  <mergeCells count="15">
    <mergeCell ref="A164:B164"/>
    <mergeCell ref="A95:K95"/>
    <mergeCell ref="A96:B96"/>
    <mergeCell ref="A97:A98"/>
    <mergeCell ref="B97:B98"/>
    <mergeCell ref="C97:K97"/>
    <mergeCell ref="A163:K163"/>
    <mergeCell ref="A7:B7"/>
    <mergeCell ref="A8:A9"/>
    <mergeCell ref="B8:B9"/>
    <mergeCell ref="C8:K8"/>
    <mergeCell ref="B1:K1"/>
    <mergeCell ref="A3:K3"/>
    <mergeCell ref="A4:K4"/>
    <mergeCell ref="A6:K6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3">
      <selection activeCell="G9" sqref="G9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11" t="s">
        <v>467</v>
      </c>
      <c r="C1" s="81"/>
      <c r="D1" s="81"/>
      <c r="E1" s="81"/>
      <c r="F1" s="81"/>
      <c r="G1" s="81"/>
      <c r="H1" s="81"/>
      <c r="I1" s="81"/>
      <c r="J1" s="521" t="str">
        <f>CONCATENATE("2.1. melléklet ",RM_ALAPADATOK!A7," ",RM_ALAPADATOK!B7," ",RM_ALAPADATOK!C7," ",RM_ALAPADATOK!D7," ",RM_ALAPADATOK!E7," ",RM_ALAPADATOK!F7," ",RM_ALAPADATOK!G7," ",RM_ALAPADATOK!H7)</f>
        <v>2.1. melléklet a  / 2019 ( … ) önkormányzati rendelethez</v>
      </c>
    </row>
    <row r="2" spans="7:10" ht="14.25" thickBot="1">
      <c r="G2" s="82"/>
      <c r="H2" s="82"/>
      <c r="I2" s="82" t="str">
        <f>CONCATENATE('RM_1.1.sz.mell.'!K7)</f>
        <v>Forintban!</v>
      </c>
      <c r="J2" s="521"/>
    </row>
    <row r="3" spans="1:10" ht="18" customHeight="1" thickBot="1">
      <c r="A3" s="519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521"/>
    </row>
    <row r="4" spans="1:10" s="86" customFormat="1" ht="42.75" customHeight="1" thickBot="1">
      <c r="A4" s="520"/>
      <c r="B4" s="56" t="s">
        <v>39</v>
      </c>
      <c r="C4" s="295" t="str">
        <f>+CONCATENATE('RM_1.1.sz.mell.'!C8," eredeti előirányzat")</f>
        <v>2019. évi eredeti előirányzat</v>
      </c>
      <c r="D4" s="293" t="s">
        <v>638</v>
      </c>
      <c r="E4" s="293" t="str">
        <f>+CONCATENATE(LEFT('RM_1.1.sz.mell.'!C8,4),".06.30. módosítás után")</f>
        <v>2019.06.30. módosítás után</v>
      </c>
      <c r="F4" s="294" t="s">
        <v>39</v>
      </c>
      <c r="G4" s="292" t="str">
        <f>+C4</f>
        <v>2019. évi eredeti előirányzat</v>
      </c>
      <c r="H4" s="292" t="str">
        <f>+D4</f>
        <v>Halmozott módosítás 2019. 09.30.-ig</v>
      </c>
      <c r="I4" s="434" t="str">
        <f>+E4</f>
        <v>2019.06.30. módosítás után</v>
      </c>
      <c r="J4" s="521"/>
    </row>
    <row r="5" spans="1:10" s="90" customFormat="1" ht="12" customHeight="1" thickBot="1">
      <c r="A5" s="87" t="s">
        <v>346</v>
      </c>
      <c r="B5" s="88" t="s">
        <v>347</v>
      </c>
      <c r="C5" s="89" t="s">
        <v>348</v>
      </c>
      <c r="D5" s="202" t="s">
        <v>350</v>
      </c>
      <c r="E5" s="202" t="s">
        <v>426</v>
      </c>
      <c r="F5" s="88" t="s">
        <v>373</v>
      </c>
      <c r="G5" s="89" t="s">
        <v>352</v>
      </c>
      <c r="H5" s="89" t="s">
        <v>353</v>
      </c>
      <c r="I5" s="241" t="s">
        <v>427</v>
      </c>
      <c r="J5" s="521"/>
    </row>
    <row r="6" spans="1:10" ht="12.75" customHeight="1">
      <c r="A6" s="91" t="s">
        <v>3</v>
      </c>
      <c r="B6" s="92" t="s">
        <v>258</v>
      </c>
      <c r="C6" s="75">
        <v>210669075</v>
      </c>
      <c r="D6" s="75">
        <f>'RM_1.1.sz.mell.'!J11</f>
        <v>13101796</v>
      </c>
      <c r="E6" s="230">
        <f>C6+D6</f>
        <v>223770871</v>
      </c>
      <c r="F6" s="92" t="s">
        <v>40</v>
      </c>
      <c r="G6" s="75">
        <v>150090571</v>
      </c>
      <c r="H6" s="75">
        <f>'RM_1.1.sz.mell.'!J101</f>
        <v>64114252</v>
      </c>
      <c r="I6" s="234">
        <f>G6+H6</f>
        <v>214204823</v>
      </c>
      <c r="J6" s="521"/>
    </row>
    <row r="7" spans="1:10" ht="12.75" customHeight="1">
      <c r="A7" s="93" t="s">
        <v>4</v>
      </c>
      <c r="B7" s="94" t="s">
        <v>259</v>
      </c>
      <c r="C7" s="76">
        <v>43238118</v>
      </c>
      <c r="D7" s="76">
        <f>'RM_1.1.sz.mell.'!J18</f>
        <v>86864669</v>
      </c>
      <c r="E7" s="230">
        <f aca="true" t="shared" si="0" ref="E7:E16">C7+D7</f>
        <v>130102787</v>
      </c>
      <c r="F7" s="94" t="s">
        <v>101</v>
      </c>
      <c r="G7" s="76">
        <v>27625911</v>
      </c>
      <c r="H7" s="76">
        <f>'RM_1.1.sz.mell.'!J102</f>
        <v>7974901</v>
      </c>
      <c r="I7" s="234">
        <f aca="true" t="shared" si="1" ref="I7:I17">G7+H7</f>
        <v>35600812</v>
      </c>
      <c r="J7" s="521"/>
    </row>
    <row r="8" spans="1:10" ht="12.75" customHeight="1">
      <c r="A8" s="93" t="s">
        <v>5</v>
      </c>
      <c r="B8" s="94" t="s">
        <v>279</v>
      </c>
      <c r="C8" s="76"/>
      <c r="D8" s="76">
        <v>15269036</v>
      </c>
      <c r="E8" s="230">
        <f t="shared" si="0"/>
        <v>15269036</v>
      </c>
      <c r="F8" s="94" t="s">
        <v>123</v>
      </c>
      <c r="G8" s="76">
        <v>122935546</v>
      </c>
      <c r="H8" s="76">
        <f>'RM_1.1.sz.mell.'!J103</f>
        <v>21263600</v>
      </c>
      <c r="I8" s="234">
        <f t="shared" si="1"/>
        <v>144199146</v>
      </c>
      <c r="J8" s="521"/>
    </row>
    <row r="9" spans="1:10" ht="12.75" customHeight="1">
      <c r="A9" s="93" t="s">
        <v>6</v>
      </c>
      <c r="B9" s="94" t="s">
        <v>92</v>
      </c>
      <c r="C9" s="76">
        <v>23670000</v>
      </c>
      <c r="D9" s="76"/>
      <c r="E9" s="230">
        <f t="shared" si="0"/>
        <v>23670000</v>
      </c>
      <c r="F9" s="94" t="s">
        <v>102</v>
      </c>
      <c r="G9" s="76">
        <v>19308000</v>
      </c>
      <c r="H9" s="76">
        <f>'RM_1.1.sz.mell.'!J104</f>
        <v>3804600</v>
      </c>
      <c r="I9" s="234">
        <f t="shared" si="1"/>
        <v>23112600</v>
      </c>
      <c r="J9" s="521"/>
    </row>
    <row r="10" spans="1:10" ht="12.75" customHeight="1">
      <c r="A10" s="93" t="s">
        <v>7</v>
      </c>
      <c r="B10" s="95" t="s">
        <v>282</v>
      </c>
      <c r="C10" s="76">
        <v>23476172</v>
      </c>
      <c r="D10" s="76">
        <v>710256</v>
      </c>
      <c r="E10" s="230">
        <f t="shared" si="0"/>
        <v>24186428</v>
      </c>
      <c r="F10" s="94" t="s">
        <v>103</v>
      </c>
      <c r="G10" s="76">
        <v>8751000</v>
      </c>
      <c r="H10" s="76">
        <f>'RM_1.1.sz.mell.'!J105</f>
        <v>380000</v>
      </c>
      <c r="I10" s="234">
        <f t="shared" si="1"/>
        <v>9131000</v>
      </c>
      <c r="J10" s="521"/>
    </row>
    <row r="11" spans="1:10" ht="12.75" customHeight="1">
      <c r="A11" s="93" t="s">
        <v>8</v>
      </c>
      <c r="B11" s="94" t="s">
        <v>260</v>
      </c>
      <c r="C11" s="77">
        <v>280000</v>
      </c>
      <c r="D11" s="77">
        <f>'RM_1.1.sz.mell.'!J58</f>
        <v>1785000</v>
      </c>
      <c r="E11" s="230">
        <f t="shared" si="0"/>
        <v>2065000</v>
      </c>
      <c r="F11" s="94" t="s">
        <v>33</v>
      </c>
      <c r="G11" s="76">
        <v>400000</v>
      </c>
      <c r="H11" s="76"/>
      <c r="I11" s="234">
        <f t="shared" si="1"/>
        <v>400000</v>
      </c>
      <c r="J11" s="521"/>
    </row>
    <row r="12" spans="1:10" ht="12.75" customHeight="1">
      <c r="A12" s="93" t="s">
        <v>9</v>
      </c>
      <c r="B12" s="94" t="s">
        <v>340</v>
      </c>
      <c r="C12" s="76"/>
      <c r="D12" s="76"/>
      <c r="E12" s="230">
        <f t="shared" si="0"/>
        <v>0</v>
      </c>
      <c r="F12" s="29"/>
      <c r="G12" s="76"/>
      <c r="H12" s="76"/>
      <c r="I12" s="234">
        <f t="shared" si="1"/>
        <v>0</v>
      </c>
      <c r="J12" s="521"/>
    </row>
    <row r="13" spans="1:10" ht="12.75" customHeight="1">
      <c r="A13" s="93" t="s">
        <v>10</v>
      </c>
      <c r="B13" s="29"/>
      <c r="C13" s="76"/>
      <c r="D13" s="76"/>
      <c r="E13" s="230">
        <f t="shared" si="0"/>
        <v>0</v>
      </c>
      <c r="F13" s="29"/>
      <c r="G13" s="76"/>
      <c r="H13" s="76"/>
      <c r="I13" s="234">
        <f t="shared" si="1"/>
        <v>0</v>
      </c>
      <c r="J13" s="521"/>
    </row>
    <row r="14" spans="1:10" ht="12.75" customHeight="1">
      <c r="A14" s="93" t="s">
        <v>11</v>
      </c>
      <c r="B14" s="148"/>
      <c r="C14" s="77"/>
      <c r="D14" s="77"/>
      <c r="E14" s="230">
        <f t="shared" si="0"/>
        <v>0</v>
      </c>
      <c r="F14" s="29"/>
      <c r="G14" s="76"/>
      <c r="H14" s="76"/>
      <c r="I14" s="234">
        <f t="shared" si="1"/>
        <v>0</v>
      </c>
      <c r="J14" s="521"/>
    </row>
    <row r="15" spans="1:10" ht="12.75" customHeight="1">
      <c r="A15" s="93" t="s">
        <v>12</v>
      </c>
      <c r="B15" s="29"/>
      <c r="C15" s="76"/>
      <c r="D15" s="76"/>
      <c r="E15" s="230">
        <f t="shared" si="0"/>
        <v>0</v>
      </c>
      <c r="F15" s="29"/>
      <c r="G15" s="76"/>
      <c r="H15" s="76"/>
      <c r="I15" s="234">
        <f t="shared" si="1"/>
        <v>0</v>
      </c>
      <c r="J15" s="521"/>
    </row>
    <row r="16" spans="1:10" ht="12.75" customHeight="1">
      <c r="A16" s="93" t="s">
        <v>13</v>
      </c>
      <c r="B16" s="29"/>
      <c r="C16" s="76"/>
      <c r="D16" s="76"/>
      <c r="E16" s="230">
        <f t="shared" si="0"/>
        <v>0</v>
      </c>
      <c r="F16" s="29"/>
      <c r="G16" s="76"/>
      <c r="H16" s="76"/>
      <c r="I16" s="234">
        <f t="shared" si="1"/>
        <v>0</v>
      </c>
      <c r="J16" s="521"/>
    </row>
    <row r="17" spans="1:10" ht="12.75" customHeight="1" thickBot="1">
      <c r="A17" s="93" t="s">
        <v>14</v>
      </c>
      <c r="B17" s="35"/>
      <c r="C17" s="78"/>
      <c r="D17" s="78"/>
      <c r="E17" s="231"/>
      <c r="F17" s="29"/>
      <c r="G17" s="78"/>
      <c r="H17" s="78"/>
      <c r="I17" s="234">
        <f t="shared" si="1"/>
        <v>0</v>
      </c>
      <c r="J17" s="521"/>
    </row>
    <row r="18" spans="1:10" ht="21.75" thickBot="1">
      <c r="A18" s="96" t="s">
        <v>15</v>
      </c>
      <c r="B18" s="48" t="s">
        <v>341</v>
      </c>
      <c r="C18" s="79">
        <f>C6+C7+C9+C10+C11+C13+C14+C15+C16+C17</f>
        <v>301333365</v>
      </c>
      <c r="D18" s="79">
        <f>D6+D7+D9+D10+D11+D13+D14+D15+D16+D17</f>
        <v>102461721</v>
      </c>
      <c r="E18" s="79">
        <f>E6+E7+E9+E10+E11+E13+E14+E15+E16+E17</f>
        <v>403795086</v>
      </c>
      <c r="F18" s="48" t="s">
        <v>265</v>
      </c>
      <c r="G18" s="79">
        <f>SUM(G6:G17)</f>
        <v>329111028</v>
      </c>
      <c r="H18" s="79">
        <f>SUM(H6:H17)</f>
        <v>97537353</v>
      </c>
      <c r="I18" s="112">
        <f>SUM(I6:I17)</f>
        <v>426648381</v>
      </c>
      <c r="J18" s="521"/>
    </row>
    <row r="19" spans="1:10" ht="12.75" customHeight="1">
      <c r="A19" s="97" t="s">
        <v>16</v>
      </c>
      <c r="B19" s="98" t="s">
        <v>262</v>
      </c>
      <c r="C19" s="180">
        <f>+C20+C21+C22+C23</f>
        <v>31481830</v>
      </c>
      <c r="D19" s="180">
        <f>+D20+D21+D22+D23</f>
        <v>-3134427</v>
      </c>
      <c r="E19" s="180">
        <f>+E20+E21+E22+E23</f>
        <v>28347403</v>
      </c>
      <c r="F19" s="99" t="s">
        <v>109</v>
      </c>
      <c r="G19" s="80"/>
      <c r="H19" s="80"/>
      <c r="I19" s="235">
        <f>G19+H19</f>
        <v>0</v>
      </c>
      <c r="J19" s="521"/>
    </row>
    <row r="20" spans="1:10" ht="12.75" customHeight="1">
      <c r="A20" s="100" t="s">
        <v>17</v>
      </c>
      <c r="B20" s="99" t="s">
        <v>117</v>
      </c>
      <c r="C20" s="41">
        <v>31481830</v>
      </c>
      <c r="D20" s="41">
        <v>-3134427</v>
      </c>
      <c r="E20" s="232">
        <f>C20+D20</f>
        <v>28347403</v>
      </c>
      <c r="F20" s="99" t="s">
        <v>264</v>
      </c>
      <c r="G20" s="41"/>
      <c r="H20" s="41"/>
      <c r="I20" s="236">
        <f aca="true" t="shared" si="2" ref="I20:I28">G20+H20</f>
        <v>0</v>
      </c>
      <c r="J20" s="521"/>
    </row>
    <row r="21" spans="1:10" ht="12.75" customHeight="1">
      <c r="A21" s="100" t="s">
        <v>18</v>
      </c>
      <c r="B21" s="99" t="s">
        <v>118</v>
      </c>
      <c r="C21" s="41"/>
      <c r="D21" s="41"/>
      <c r="E21" s="232">
        <f>C21+D21</f>
        <v>0</v>
      </c>
      <c r="F21" s="99" t="s">
        <v>85</v>
      </c>
      <c r="G21" s="41"/>
      <c r="H21" s="41"/>
      <c r="I21" s="236">
        <f t="shared" si="2"/>
        <v>0</v>
      </c>
      <c r="J21" s="521"/>
    </row>
    <row r="22" spans="1:10" ht="12.75" customHeight="1">
      <c r="A22" s="100" t="s">
        <v>19</v>
      </c>
      <c r="B22" s="99" t="s">
        <v>122</v>
      </c>
      <c r="C22" s="41"/>
      <c r="D22" s="41"/>
      <c r="E22" s="232">
        <f>C22+D22</f>
        <v>0</v>
      </c>
      <c r="F22" s="99" t="s">
        <v>86</v>
      </c>
      <c r="G22" s="41"/>
      <c r="H22" s="41"/>
      <c r="I22" s="236">
        <f t="shared" si="2"/>
        <v>0</v>
      </c>
      <c r="J22" s="521"/>
    </row>
    <row r="23" spans="1:10" ht="12.75" customHeight="1">
      <c r="A23" s="100" t="s">
        <v>20</v>
      </c>
      <c r="B23" s="105" t="s">
        <v>128</v>
      </c>
      <c r="C23" s="41"/>
      <c r="D23" s="41"/>
      <c r="E23" s="232">
        <f>C23+D23</f>
        <v>0</v>
      </c>
      <c r="F23" s="98" t="s">
        <v>124</v>
      </c>
      <c r="G23" s="41"/>
      <c r="H23" s="41"/>
      <c r="I23" s="236">
        <f t="shared" si="2"/>
        <v>0</v>
      </c>
      <c r="J23" s="521"/>
    </row>
    <row r="24" spans="1:10" ht="12.75" customHeight="1">
      <c r="A24" s="100" t="s">
        <v>21</v>
      </c>
      <c r="B24" s="99" t="s">
        <v>263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6">
        <f t="shared" si="2"/>
        <v>0</v>
      </c>
      <c r="J24" s="521"/>
    </row>
    <row r="25" spans="1:10" ht="12.75" customHeight="1">
      <c r="A25" s="97" t="s">
        <v>22</v>
      </c>
      <c r="B25" s="98" t="s">
        <v>261</v>
      </c>
      <c r="C25" s="80"/>
      <c r="D25" s="80"/>
      <c r="E25" s="233">
        <f>C25+D25</f>
        <v>0</v>
      </c>
      <c r="F25" s="92" t="s">
        <v>323</v>
      </c>
      <c r="G25" s="80"/>
      <c r="H25" s="80"/>
      <c r="I25" s="235">
        <f t="shared" si="2"/>
        <v>0</v>
      </c>
      <c r="J25" s="521"/>
    </row>
    <row r="26" spans="1:10" ht="12.75" customHeight="1">
      <c r="A26" s="100" t="s">
        <v>23</v>
      </c>
      <c r="B26" s="105" t="s">
        <v>562</v>
      </c>
      <c r="C26" s="41"/>
      <c r="D26" s="41"/>
      <c r="E26" s="232">
        <f>C26+D26</f>
        <v>0</v>
      </c>
      <c r="F26" s="94" t="s">
        <v>329</v>
      </c>
      <c r="G26" s="41"/>
      <c r="H26" s="41"/>
      <c r="I26" s="236">
        <f t="shared" si="2"/>
        <v>0</v>
      </c>
      <c r="J26" s="521"/>
    </row>
    <row r="27" spans="1:10" ht="12.75" customHeight="1">
      <c r="A27" s="93" t="s">
        <v>24</v>
      </c>
      <c r="B27" s="99" t="s">
        <v>424</v>
      </c>
      <c r="C27" s="41"/>
      <c r="D27" s="41"/>
      <c r="E27" s="232">
        <f>C27+D27</f>
        <v>0</v>
      </c>
      <c r="F27" s="94" t="s">
        <v>330</v>
      </c>
      <c r="G27" s="41"/>
      <c r="H27" s="41"/>
      <c r="I27" s="236">
        <f t="shared" si="2"/>
        <v>0</v>
      </c>
      <c r="J27" s="521"/>
    </row>
    <row r="28" spans="1:10" ht="12.75" customHeight="1" thickBot="1">
      <c r="A28" s="122" t="s">
        <v>25</v>
      </c>
      <c r="B28" s="98" t="s">
        <v>219</v>
      </c>
      <c r="C28" s="80"/>
      <c r="D28" s="80"/>
      <c r="E28" s="233">
        <f>C28+D28</f>
        <v>0</v>
      </c>
      <c r="F28" s="150"/>
      <c r="G28" s="80"/>
      <c r="H28" s="80"/>
      <c r="I28" s="235">
        <f t="shared" si="2"/>
        <v>0</v>
      </c>
      <c r="J28" s="521"/>
    </row>
    <row r="29" spans="1:10" ht="24" customHeight="1" thickBot="1">
      <c r="A29" s="96" t="s">
        <v>26</v>
      </c>
      <c r="B29" s="48" t="s">
        <v>342</v>
      </c>
      <c r="C29" s="79">
        <f>+C19+C24+C27+C28</f>
        <v>31481830</v>
      </c>
      <c r="D29" s="79">
        <f>+D19+D24+D27+D28</f>
        <v>-3134427</v>
      </c>
      <c r="E29" s="203">
        <f>+E19+E24+E27+E28</f>
        <v>28347403</v>
      </c>
      <c r="F29" s="48" t="s">
        <v>344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21"/>
    </row>
    <row r="30" spans="1:10" ht="13.5" thickBot="1">
      <c r="A30" s="96" t="s">
        <v>27</v>
      </c>
      <c r="B30" s="102" t="s">
        <v>343</v>
      </c>
      <c r="C30" s="242">
        <f>+C18+C29</f>
        <v>332815195</v>
      </c>
      <c r="D30" s="242">
        <f>+D18+D29</f>
        <v>99327294</v>
      </c>
      <c r="E30" s="243">
        <f>+E18+E29</f>
        <v>432142489</v>
      </c>
      <c r="F30" s="102" t="s">
        <v>345</v>
      </c>
      <c r="G30" s="242">
        <f>+G18+G29</f>
        <v>329111028</v>
      </c>
      <c r="H30" s="242">
        <f>+H18+H29</f>
        <v>97537353</v>
      </c>
      <c r="I30" s="243">
        <f>+I18+I29</f>
        <v>426648381</v>
      </c>
      <c r="J30" s="521"/>
    </row>
    <row r="31" spans="1:10" ht="13.5" thickBot="1">
      <c r="A31" s="96" t="s">
        <v>28</v>
      </c>
      <c r="B31" s="102" t="s">
        <v>87</v>
      </c>
      <c r="C31" s="242">
        <f>IF(C18-G18&lt;0,G18-C18,"-")</f>
        <v>27777663</v>
      </c>
      <c r="D31" s="242" t="str">
        <f>IF(D18-H18&lt;0,H18-D18,"-")</f>
        <v>-</v>
      </c>
      <c r="E31" s="243">
        <f>IF(E18-I18&lt;0,I18-E18,"-")</f>
        <v>22853295</v>
      </c>
      <c r="F31" s="102" t="s">
        <v>88</v>
      </c>
      <c r="G31" s="242" t="str">
        <f>IF(C18-G18&gt;0,C18-G18,"-")</f>
        <v>-</v>
      </c>
      <c r="H31" s="242">
        <f>IF(D18-H18&gt;0,D18-H18,"-")</f>
        <v>4924368</v>
      </c>
      <c r="I31" s="243" t="str">
        <f>IF(E18-I18&gt;0,E18-I18,"-")</f>
        <v>-</v>
      </c>
      <c r="J31" s="521"/>
    </row>
    <row r="32" spans="1:10" ht="13.5" thickBot="1">
      <c r="A32" s="96" t="s">
        <v>29</v>
      </c>
      <c r="B32" s="102" t="s">
        <v>430</v>
      </c>
      <c r="C32" s="242" t="str">
        <f>IF(C30-G30&lt;0,G30-C30,"-")</f>
        <v>-</v>
      </c>
      <c r="D32" s="242" t="str">
        <f>IF(D30-H30&lt;0,H30-D30,"-")</f>
        <v>-</v>
      </c>
      <c r="E32" s="242" t="str">
        <f>IF(E30-I30&lt;0,I30-E30,"-")</f>
        <v>-</v>
      </c>
      <c r="F32" s="102" t="s">
        <v>431</v>
      </c>
      <c r="G32" s="242">
        <f>IF(C30-G30&gt;0,C30-G30,"-")</f>
        <v>3704167</v>
      </c>
      <c r="H32" s="242">
        <f>IF(D30-H30&gt;0,D30-H30,"-")</f>
        <v>1789941</v>
      </c>
      <c r="I32" s="244">
        <f>IF(E30-I30&gt;0,E30-I30,"-")</f>
        <v>5494108</v>
      </c>
      <c r="J32" s="521"/>
    </row>
    <row r="33" spans="2:6" ht="18.75">
      <c r="B33" s="522"/>
      <c r="C33" s="522"/>
      <c r="D33" s="522"/>
      <c r="E33" s="522"/>
      <c r="F33" s="522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tabSelected="1" zoomScaleSheetLayoutView="115" workbookViewId="0" topLeftCell="A7">
      <selection activeCell="D7" sqref="D7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11" t="s">
        <v>466</v>
      </c>
      <c r="C1" s="81"/>
      <c r="D1" s="81"/>
      <c r="E1" s="81"/>
      <c r="F1" s="81"/>
      <c r="G1" s="81"/>
      <c r="H1" s="81"/>
      <c r="I1" s="81"/>
      <c r="J1" s="521" t="str">
        <f>CONCATENATE("2.2. melléklet ",RM_ALAPADATOK!A7," ",RM_ALAPADATOK!B7," ",RM_ALAPADATOK!C7," ",RM_ALAPADATOK!D7," ",RM_ALAPADATOK!E7," ",RM_ALAPADATOK!F7," ",RM_ALAPADATOK!G7," ",RM_ALAPADATOK!H7)</f>
        <v>2.2. melléklet a  / 2019 ( … ) önkormányzati rendelethez</v>
      </c>
    </row>
    <row r="2" spans="7:10" ht="14.25" thickBot="1">
      <c r="G2" s="82"/>
      <c r="H2" s="82"/>
      <c r="I2" s="82" t="str">
        <f>'RM_2.1.sz.mell.'!I2</f>
        <v>Forintban!</v>
      </c>
      <c r="J2" s="521"/>
    </row>
    <row r="3" spans="1:10" ht="13.5" customHeight="1" thickBot="1">
      <c r="A3" s="519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521"/>
    </row>
    <row r="4" spans="1:10" s="86" customFormat="1" ht="36.75" thickBot="1">
      <c r="A4" s="520"/>
      <c r="B4" s="56" t="s">
        <v>39</v>
      </c>
      <c r="C4" s="292" t="str">
        <f>+CONCATENATE('RM_1.1.sz.mell.'!C8," eredeti előirányzat")</f>
        <v>2019. évi eredeti előirányzat</v>
      </c>
      <c r="D4" s="435" t="str">
        <f>CONCATENATE('RM_2.1.sz.mell.'!D4)</f>
        <v>Halmozott módosítás 2019. 09.30.-ig</v>
      </c>
      <c r="E4" s="435" t="str">
        <f>+CONCATENATE(LEFT('RM_1.1.sz.mell.'!C8,4),". 06.30. módisítás után")</f>
        <v>2019. 06.30. módisítás után</v>
      </c>
      <c r="F4" s="294" t="s">
        <v>39</v>
      </c>
      <c r="G4" s="292" t="str">
        <f>+C4</f>
        <v>2019. évi eredeti előirányzat</v>
      </c>
      <c r="H4" s="292" t="str">
        <f>+D4</f>
        <v>Halmozott módosítás 2019. 09.30.-ig</v>
      </c>
      <c r="I4" s="434" t="str">
        <f>+E4</f>
        <v>2019. 06.30. módisítás után</v>
      </c>
      <c r="J4" s="521"/>
    </row>
    <row r="5" spans="1:10" s="86" customFormat="1" ht="13.5" thickBot="1">
      <c r="A5" s="87" t="s">
        <v>346</v>
      </c>
      <c r="B5" s="88" t="s">
        <v>347</v>
      </c>
      <c r="C5" s="89" t="s">
        <v>348</v>
      </c>
      <c r="D5" s="202" t="s">
        <v>350</v>
      </c>
      <c r="E5" s="202" t="s">
        <v>426</v>
      </c>
      <c r="F5" s="88" t="s">
        <v>373</v>
      </c>
      <c r="G5" s="89" t="s">
        <v>352</v>
      </c>
      <c r="H5" s="89" t="s">
        <v>353</v>
      </c>
      <c r="I5" s="241" t="s">
        <v>427</v>
      </c>
      <c r="J5" s="521"/>
    </row>
    <row r="6" spans="1:10" ht="12.75" customHeight="1">
      <c r="A6" s="91" t="s">
        <v>3</v>
      </c>
      <c r="B6" s="92" t="s">
        <v>266</v>
      </c>
      <c r="C6" s="75"/>
      <c r="D6" s="75">
        <f>'RM_1.1.sz.mell.'!J25</f>
        <v>81771798</v>
      </c>
      <c r="E6" s="230">
        <f>C6+D6</f>
        <v>81771798</v>
      </c>
      <c r="F6" s="92" t="s">
        <v>119</v>
      </c>
      <c r="G6" s="75">
        <v>615214441</v>
      </c>
      <c r="H6" s="208">
        <f>'RM_1.1.sz.mell.'!J122</f>
        <v>9521206</v>
      </c>
      <c r="I6" s="237">
        <f>G6+H6</f>
        <v>624735647</v>
      </c>
      <c r="J6" s="521"/>
    </row>
    <row r="7" spans="1:10" ht="12.75">
      <c r="A7" s="93" t="s">
        <v>4</v>
      </c>
      <c r="B7" s="94" t="s">
        <v>267</v>
      </c>
      <c r="C7" s="76"/>
      <c r="D7" s="76">
        <v>159659</v>
      </c>
      <c r="E7" s="230">
        <f aca="true" t="shared" si="0" ref="E7:E16">C7+D7</f>
        <v>159659</v>
      </c>
      <c r="F7" s="94" t="s">
        <v>272</v>
      </c>
      <c r="G7" s="76">
        <v>553020729</v>
      </c>
      <c r="H7" s="76">
        <v>159659</v>
      </c>
      <c r="I7" s="238">
        <f aca="true" t="shared" si="1" ref="I7:I29">G7+H7</f>
        <v>553180388</v>
      </c>
      <c r="J7" s="521"/>
    </row>
    <row r="8" spans="1:10" ht="12.75" customHeight="1">
      <c r="A8" s="93" t="s">
        <v>5</v>
      </c>
      <c r="B8" s="94" t="s">
        <v>0</v>
      </c>
      <c r="C8" s="76"/>
      <c r="D8" s="76"/>
      <c r="E8" s="230">
        <f t="shared" si="0"/>
        <v>0</v>
      </c>
      <c r="F8" s="94" t="s">
        <v>105</v>
      </c>
      <c r="G8" s="76">
        <v>1058334</v>
      </c>
      <c r="H8" s="76">
        <v>26789941</v>
      </c>
      <c r="I8" s="238">
        <f t="shared" si="1"/>
        <v>27848275</v>
      </c>
      <c r="J8" s="521"/>
    </row>
    <row r="9" spans="1:10" ht="12.75" customHeight="1">
      <c r="A9" s="93" t="s">
        <v>6</v>
      </c>
      <c r="B9" s="94" t="s">
        <v>268</v>
      </c>
      <c r="C9" s="76"/>
      <c r="D9" s="76"/>
      <c r="E9" s="230">
        <f t="shared" si="0"/>
        <v>0</v>
      </c>
      <c r="F9" s="94" t="s">
        <v>273</v>
      </c>
      <c r="G9" s="76"/>
      <c r="H9" s="76">
        <v>1789941</v>
      </c>
      <c r="I9" s="238">
        <f t="shared" si="1"/>
        <v>1789941</v>
      </c>
      <c r="J9" s="521"/>
    </row>
    <row r="10" spans="1:10" ht="12.75" customHeight="1">
      <c r="A10" s="93" t="s">
        <v>7</v>
      </c>
      <c r="B10" s="94" t="s">
        <v>269</v>
      </c>
      <c r="C10" s="76"/>
      <c r="D10" s="76"/>
      <c r="E10" s="230">
        <f t="shared" si="0"/>
        <v>0</v>
      </c>
      <c r="F10" s="94" t="s">
        <v>121</v>
      </c>
      <c r="G10" s="76"/>
      <c r="H10" s="76"/>
      <c r="I10" s="238">
        <f t="shared" si="1"/>
        <v>0</v>
      </c>
      <c r="J10" s="521"/>
    </row>
    <row r="11" spans="1:10" ht="12.75" customHeight="1">
      <c r="A11" s="93" t="s">
        <v>8</v>
      </c>
      <c r="B11" s="94" t="s">
        <v>270</v>
      </c>
      <c r="C11" s="77"/>
      <c r="D11" s="77"/>
      <c r="E11" s="230">
        <f t="shared" si="0"/>
        <v>0</v>
      </c>
      <c r="F11" s="151"/>
      <c r="G11" s="76"/>
      <c r="H11" s="76"/>
      <c r="I11" s="238">
        <f t="shared" si="1"/>
        <v>0</v>
      </c>
      <c r="J11" s="521"/>
    </row>
    <row r="12" spans="1:10" ht="12.75" customHeight="1">
      <c r="A12" s="93" t="s">
        <v>9</v>
      </c>
      <c r="B12" s="29"/>
      <c r="C12" s="76"/>
      <c r="D12" s="76"/>
      <c r="E12" s="230">
        <f t="shared" si="0"/>
        <v>0</v>
      </c>
      <c r="F12" s="151"/>
      <c r="G12" s="76"/>
      <c r="H12" s="76"/>
      <c r="I12" s="238">
        <f t="shared" si="1"/>
        <v>0</v>
      </c>
      <c r="J12" s="521"/>
    </row>
    <row r="13" spans="1:10" ht="12.75" customHeight="1">
      <c r="A13" s="93" t="s">
        <v>10</v>
      </c>
      <c r="B13" s="29"/>
      <c r="C13" s="76"/>
      <c r="D13" s="76"/>
      <c r="E13" s="230">
        <f t="shared" si="0"/>
        <v>0</v>
      </c>
      <c r="F13" s="152"/>
      <c r="G13" s="76"/>
      <c r="H13" s="76"/>
      <c r="I13" s="238">
        <f t="shared" si="1"/>
        <v>0</v>
      </c>
      <c r="J13" s="521"/>
    </row>
    <row r="14" spans="1:10" ht="12.75" customHeight="1">
      <c r="A14" s="93" t="s">
        <v>11</v>
      </c>
      <c r="B14" s="149"/>
      <c r="C14" s="77"/>
      <c r="D14" s="77"/>
      <c r="E14" s="230">
        <f t="shared" si="0"/>
        <v>0</v>
      </c>
      <c r="F14" s="151"/>
      <c r="G14" s="76"/>
      <c r="H14" s="76"/>
      <c r="I14" s="238">
        <f t="shared" si="1"/>
        <v>0</v>
      </c>
      <c r="J14" s="521"/>
    </row>
    <row r="15" spans="1:10" ht="12.75">
      <c r="A15" s="93" t="s">
        <v>12</v>
      </c>
      <c r="B15" s="29"/>
      <c r="C15" s="77"/>
      <c r="D15" s="77"/>
      <c r="E15" s="230">
        <f t="shared" si="0"/>
        <v>0</v>
      </c>
      <c r="F15" s="151"/>
      <c r="G15" s="76"/>
      <c r="H15" s="76"/>
      <c r="I15" s="238">
        <f t="shared" si="1"/>
        <v>0</v>
      </c>
      <c r="J15" s="521"/>
    </row>
    <row r="16" spans="1:10" ht="12.75" customHeight="1" thickBot="1">
      <c r="A16" s="122" t="s">
        <v>13</v>
      </c>
      <c r="B16" s="150"/>
      <c r="C16" s="124"/>
      <c r="D16" s="124"/>
      <c r="E16" s="230">
        <f t="shared" si="0"/>
        <v>0</v>
      </c>
      <c r="F16" s="123" t="s">
        <v>33</v>
      </c>
      <c r="G16" s="206"/>
      <c r="H16" s="206"/>
      <c r="I16" s="239">
        <f t="shared" si="1"/>
        <v>0</v>
      </c>
      <c r="J16" s="521"/>
    </row>
    <row r="17" spans="1:10" ht="15.75" customHeight="1" thickBot="1">
      <c r="A17" s="96" t="s">
        <v>14</v>
      </c>
      <c r="B17" s="48" t="s">
        <v>280</v>
      </c>
      <c r="C17" s="79">
        <f>+C6+C8+C9+C11+C12+C13+C14+C15+C16</f>
        <v>0</v>
      </c>
      <c r="D17" s="79">
        <f>+D6+D8+D9+D11+D12+D13+D14+D15+D16</f>
        <v>81771798</v>
      </c>
      <c r="E17" s="79">
        <f>+E6+E8+E9+E11+E12+E13+E14+E15+E16</f>
        <v>81771798</v>
      </c>
      <c r="F17" s="48" t="s">
        <v>281</v>
      </c>
      <c r="G17" s="79">
        <f>+G6+G8+G10+G11+G12+G13+G14+G15+G16</f>
        <v>616272775</v>
      </c>
      <c r="H17" s="79">
        <f>+H6+H8+H10+H11+H12+H13+H14+H15+H16</f>
        <v>36311147</v>
      </c>
      <c r="I17" s="112">
        <f>+I6+I8+I10+I11+I12+I13+I14+I15+I16</f>
        <v>652583922</v>
      </c>
      <c r="J17" s="521"/>
    </row>
    <row r="18" spans="1:10" ht="12.75" customHeight="1">
      <c r="A18" s="91" t="s">
        <v>15</v>
      </c>
      <c r="B18" s="104" t="s">
        <v>136</v>
      </c>
      <c r="C18" s="111">
        <f>+C19+C20+C21+C22+C23</f>
        <v>612568608</v>
      </c>
      <c r="D18" s="111">
        <f>+D19+D20+D21+D22+D23</f>
        <v>-47250592</v>
      </c>
      <c r="E18" s="111">
        <f>+E19+E20+E21+E22+E23</f>
        <v>565318016</v>
      </c>
      <c r="F18" s="99" t="s">
        <v>109</v>
      </c>
      <c r="G18" s="207"/>
      <c r="H18" s="207"/>
      <c r="I18" s="240">
        <f t="shared" si="1"/>
        <v>0</v>
      </c>
      <c r="J18" s="521"/>
    </row>
    <row r="19" spans="1:10" ht="12.75" customHeight="1">
      <c r="A19" s="93" t="s">
        <v>16</v>
      </c>
      <c r="B19" s="105" t="s">
        <v>125</v>
      </c>
      <c r="C19" s="41">
        <v>612568608</v>
      </c>
      <c r="D19" s="41">
        <v>-47250592</v>
      </c>
      <c r="E19" s="232">
        <f aca="true" t="shared" si="2" ref="E19:E29">C19+D19</f>
        <v>565318016</v>
      </c>
      <c r="F19" s="99" t="s">
        <v>112</v>
      </c>
      <c r="G19" s="41"/>
      <c r="H19" s="41"/>
      <c r="I19" s="236">
        <f t="shared" si="1"/>
        <v>0</v>
      </c>
      <c r="J19" s="521"/>
    </row>
    <row r="20" spans="1:10" ht="12.75" customHeight="1">
      <c r="A20" s="91" t="s">
        <v>17</v>
      </c>
      <c r="B20" s="105" t="s">
        <v>126</v>
      </c>
      <c r="C20" s="41"/>
      <c r="D20" s="41"/>
      <c r="E20" s="232">
        <f t="shared" si="2"/>
        <v>0</v>
      </c>
      <c r="F20" s="99" t="s">
        <v>85</v>
      </c>
      <c r="G20" s="41"/>
      <c r="H20" s="41"/>
      <c r="I20" s="236">
        <f t="shared" si="1"/>
        <v>0</v>
      </c>
      <c r="J20" s="521"/>
    </row>
    <row r="21" spans="1:10" ht="12.75" customHeight="1">
      <c r="A21" s="93" t="s">
        <v>18</v>
      </c>
      <c r="B21" s="105" t="s">
        <v>127</v>
      </c>
      <c r="C21" s="41"/>
      <c r="D21" s="41"/>
      <c r="E21" s="232">
        <f t="shared" si="2"/>
        <v>0</v>
      </c>
      <c r="F21" s="99" t="s">
        <v>86</v>
      </c>
      <c r="G21" s="41"/>
      <c r="H21" s="41"/>
      <c r="I21" s="236">
        <f t="shared" si="1"/>
        <v>0</v>
      </c>
      <c r="J21" s="521"/>
    </row>
    <row r="22" spans="1:10" ht="12.75" customHeight="1">
      <c r="A22" s="91" t="s">
        <v>19</v>
      </c>
      <c r="B22" s="105" t="s">
        <v>128</v>
      </c>
      <c r="C22" s="41"/>
      <c r="D22" s="41"/>
      <c r="E22" s="232">
        <f t="shared" si="2"/>
        <v>0</v>
      </c>
      <c r="F22" s="98" t="s">
        <v>124</v>
      </c>
      <c r="G22" s="41"/>
      <c r="H22" s="41"/>
      <c r="I22" s="236">
        <f t="shared" si="1"/>
        <v>0</v>
      </c>
      <c r="J22" s="521"/>
    </row>
    <row r="23" spans="1:10" ht="12.75" customHeight="1">
      <c r="A23" s="93" t="s">
        <v>20</v>
      </c>
      <c r="B23" s="106" t="s">
        <v>129</v>
      </c>
      <c r="C23" s="41"/>
      <c r="D23" s="41"/>
      <c r="E23" s="232">
        <f t="shared" si="2"/>
        <v>0</v>
      </c>
      <c r="F23" s="99" t="s">
        <v>113</v>
      </c>
      <c r="G23" s="41"/>
      <c r="H23" s="41"/>
      <c r="I23" s="236">
        <f t="shared" si="1"/>
        <v>0</v>
      </c>
      <c r="J23" s="521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6">
        <f t="shared" si="1"/>
        <v>0</v>
      </c>
      <c r="J24" s="521"/>
    </row>
    <row r="25" spans="1:10" ht="12.75" customHeight="1">
      <c r="A25" s="93" t="s">
        <v>22</v>
      </c>
      <c r="B25" s="106" t="s">
        <v>131</v>
      </c>
      <c r="C25" s="41"/>
      <c r="D25" s="41"/>
      <c r="E25" s="232">
        <f t="shared" si="2"/>
        <v>0</v>
      </c>
      <c r="F25" s="108" t="s">
        <v>274</v>
      </c>
      <c r="G25" s="41"/>
      <c r="H25" s="41"/>
      <c r="I25" s="236">
        <f t="shared" si="1"/>
        <v>0</v>
      </c>
      <c r="J25" s="521"/>
    </row>
    <row r="26" spans="1:10" ht="12.75" customHeight="1">
      <c r="A26" s="91" t="s">
        <v>23</v>
      </c>
      <c r="B26" s="106" t="s">
        <v>132</v>
      </c>
      <c r="C26" s="41"/>
      <c r="D26" s="41"/>
      <c r="E26" s="232">
        <f t="shared" si="2"/>
        <v>0</v>
      </c>
      <c r="F26" s="103"/>
      <c r="G26" s="41"/>
      <c r="H26" s="41"/>
      <c r="I26" s="236">
        <f t="shared" si="1"/>
        <v>0</v>
      </c>
      <c r="J26" s="521"/>
    </row>
    <row r="27" spans="1:10" ht="12.75" customHeight="1">
      <c r="A27" s="93" t="s">
        <v>24</v>
      </c>
      <c r="B27" s="105" t="s">
        <v>133</v>
      </c>
      <c r="C27" s="41"/>
      <c r="D27" s="41"/>
      <c r="E27" s="232">
        <f t="shared" si="2"/>
        <v>0</v>
      </c>
      <c r="F27" s="46"/>
      <c r="G27" s="41"/>
      <c r="H27" s="41"/>
      <c r="I27" s="236">
        <f t="shared" si="1"/>
        <v>0</v>
      </c>
      <c r="J27" s="521"/>
    </row>
    <row r="28" spans="1:10" ht="12.75" customHeight="1">
      <c r="A28" s="91" t="s">
        <v>25</v>
      </c>
      <c r="B28" s="109" t="s">
        <v>134</v>
      </c>
      <c r="C28" s="41"/>
      <c r="D28" s="41"/>
      <c r="E28" s="232">
        <f t="shared" si="2"/>
        <v>0</v>
      </c>
      <c r="F28" s="29"/>
      <c r="G28" s="41"/>
      <c r="H28" s="41"/>
      <c r="I28" s="236">
        <f t="shared" si="1"/>
        <v>0</v>
      </c>
      <c r="J28" s="521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2">
        <f t="shared" si="2"/>
        <v>0</v>
      </c>
      <c r="F29" s="46"/>
      <c r="G29" s="41"/>
      <c r="H29" s="41"/>
      <c r="I29" s="236">
        <f t="shared" si="1"/>
        <v>0</v>
      </c>
      <c r="J29" s="521"/>
    </row>
    <row r="30" spans="1:10" ht="21.75" customHeight="1" thickBot="1">
      <c r="A30" s="96" t="s">
        <v>27</v>
      </c>
      <c r="B30" s="48" t="s">
        <v>271</v>
      </c>
      <c r="C30" s="79">
        <f>+C18+C24</f>
        <v>612568608</v>
      </c>
      <c r="D30" s="79">
        <f>+D18+D24</f>
        <v>-47250592</v>
      </c>
      <c r="E30" s="79">
        <f>+E18+E24</f>
        <v>565318016</v>
      </c>
      <c r="F30" s="48" t="s">
        <v>275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21"/>
    </row>
    <row r="31" spans="1:10" ht="13.5" thickBot="1">
      <c r="A31" s="96" t="s">
        <v>28</v>
      </c>
      <c r="B31" s="102" t="s">
        <v>276</v>
      </c>
      <c r="C31" s="242">
        <f>+C17+C30</f>
        <v>612568608</v>
      </c>
      <c r="D31" s="242">
        <f>+D17+D30</f>
        <v>34521206</v>
      </c>
      <c r="E31" s="243">
        <f>+E17+E30</f>
        <v>647089814</v>
      </c>
      <c r="F31" s="102" t="s">
        <v>277</v>
      </c>
      <c r="G31" s="242">
        <f>+G17+G30</f>
        <v>616272775</v>
      </c>
      <c r="H31" s="242">
        <f>+H17+H30</f>
        <v>36311147</v>
      </c>
      <c r="I31" s="243">
        <f>+I17+I30</f>
        <v>652583922</v>
      </c>
      <c r="J31" s="521"/>
    </row>
    <row r="32" spans="1:10" ht="13.5" thickBot="1">
      <c r="A32" s="96" t="s">
        <v>29</v>
      </c>
      <c r="B32" s="102" t="s">
        <v>87</v>
      </c>
      <c r="C32" s="242">
        <f>IF(C17-G17&lt;0,G17-C17,"-")</f>
        <v>616272775</v>
      </c>
      <c r="D32" s="242" t="str">
        <f>IF(D17-H17&lt;0,H17-D17,"-")</f>
        <v>-</v>
      </c>
      <c r="E32" s="243">
        <f>IF(E17-I17&lt;0,I17-E17,"-")</f>
        <v>570812124</v>
      </c>
      <c r="F32" s="102" t="s">
        <v>88</v>
      </c>
      <c r="G32" s="242" t="str">
        <f>IF(C17-G17&gt;0,C17-G17,"-")</f>
        <v>-</v>
      </c>
      <c r="H32" s="242">
        <f>IF(D17-H17&gt;0,D17-H17,"-")</f>
        <v>45460651</v>
      </c>
      <c r="I32" s="243" t="str">
        <f>IF(E17-I17&gt;0,E17-I17,"-")</f>
        <v>-</v>
      </c>
      <c r="J32" s="521"/>
    </row>
    <row r="33" spans="1:10" ht="13.5" thickBot="1">
      <c r="A33" s="96" t="s">
        <v>30</v>
      </c>
      <c r="B33" s="102" t="s">
        <v>430</v>
      </c>
      <c r="C33" s="242">
        <f>IF(C31-G31&lt;0,G31-C31,"-")</f>
        <v>3704167</v>
      </c>
      <c r="D33" s="242">
        <f>IF(D31-H31&lt;0,H31-D31,"-")</f>
        <v>1789941</v>
      </c>
      <c r="E33" s="242">
        <f>IF(E31-I31&lt;0,I31-E31,"-")</f>
        <v>5494108</v>
      </c>
      <c r="F33" s="102" t="s">
        <v>431</v>
      </c>
      <c r="G33" s="242" t="str">
        <f>IF(C31-G31&gt;0,C31-G31,"-")</f>
        <v>-</v>
      </c>
      <c r="H33" s="242" t="str">
        <f>IF(D31-H31&gt;0,D31-H31,"-")</f>
        <v>-</v>
      </c>
      <c r="I33" s="244" t="str">
        <f>IF(E31-I31&gt;0,E31-I31,"-")</f>
        <v>-</v>
      </c>
      <c r="J33" s="521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Kicsik</cp:lastModifiedBy>
  <cp:lastPrinted>2019-12-11T12:17:24Z</cp:lastPrinted>
  <dcterms:created xsi:type="dcterms:W3CDTF">1999-10-30T10:30:45Z</dcterms:created>
  <dcterms:modified xsi:type="dcterms:W3CDTF">2019-12-11T20:26:10Z</dcterms:modified>
  <cp:category/>
  <cp:version/>
  <cp:contentType/>
  <cp:contentStatus/>
</cp:coreProperties>
</file>