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23040" windowHeight="8280" activeTab="0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'5'!$A$1:$K$46</definedName>
    <definedName name="_xlnm.Print_Area" localSheetId="1">'5A'!$A$1:$L$55</definedName>
    <definedName name="_xlnm.Print_Area" localSheetId="2">'5B'!$A$1:$K$20</definedName>
    <definedName name="_xlnm.Print_Area" localSheetId="3">'5C'!$A$2:$K$20</definedName>
    <definedName name="_xlnm.Print_Area" localSheetId="4">'5D'!$A$1:$J$19</definedName>
    <definedName name="_xlnm.Print_Area" localSheetId="6">'5F'!$A$1:$K$16</definedName>
  </definedNames>
  <calcPr fullCalcOnLoad="1"/>
</workbook>
</file>

<file path=xl/sharedStrings.xml><?xml version="1.0" encoding="utf-8"?>
<sst xmlns="http://schemas.openxmlformats.org/spreadsheetml/2006/main" count="279" uniqueCount="165">
  <si>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</si>
  <si>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</si>
  <si>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</si>
  <si>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</si>
  <si>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</si>
  <si>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</si>
  <si>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</si>
  <si>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</si>
  <si>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</si>
  <si>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</si>
  <si>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</si>
  <si>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</si>
  <si>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</si>
  <si>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</si>
  <si>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</si>
  <si>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</si>
  <si>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</si>
  <si>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</si>
  <si>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</si>
  <si>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</si>
  <si>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</si>
  <si>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</si>
  <si>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</si>
  <si>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</si>
  <si>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</si>
  <si>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</si>
  <si>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</si>
  <si>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</si>
  <si>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</si>
  <si>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</si>
  <si>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Szociális bentlakásos intézmény-üzemeltetési támogatás</t>
  </si>
  <si>
    <t>III.</t>
  </si>
  <si>
    <t>IV.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</si>
  <si>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</si>
  <si>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</si>
  <si>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</si>
  <si>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</si>
  <si>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</si>
  <si>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</si>
  <si>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</si>
  <si>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</si>
  <si>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</si>
  <si>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</si>
  <si>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</si>
  <si>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</si>
  <si>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</si>
  <si>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</si>
  <si>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</si>
  <si>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</si>
  <si>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</si>
  <si>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</si>
  <si>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</si>
  <si>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</si>
  <si>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</si>
  <si>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</si>
  <si>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</si>
  <si>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</si>
  <si>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</si>
  <si>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</si>
  <si>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</si>
  <si>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</si>
  <si>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</si>
  <si>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</si>
  <si>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</si>
  <si>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</si>
  <si>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</si>
  <si>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</si>
  <si>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</si>
  <si>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</si>
  <si>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</si>
  <si>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</si>
  <si>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</si>
  <si>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Fejezeti kezelésű előirányzattól felhalmozási célú támogatások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</si>
  <si>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</si>
  <si>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</si>
  <si>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</si>
  <si>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</si>
  <si>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</si>
  <si>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</si>
  <si>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</si>
  <si>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</si>
  <si>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</si>
  <si>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</si>
  <si>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</si>
  <si>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</si>
  <si>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</si>
  <si>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</si>
  <si>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</si>
  <si>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</si>
  <si>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</si>
  <si>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</si>
  <si>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</si>
  <si>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</si>
  <si>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</si>
  <si>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</si>
  <si>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</si>
  <si>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</si>
  <si>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</si>
  <si>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</si>
  <si>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</si>
  <si>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</si>
  <si>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</si>
  <si>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</si>
  <si>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 xml:space="preserve">     Nem lakáscélú helyiség értékesítése</t>
  </si>
  <si>
    <t xml:space="preserve">   Gyermekétkeztetésben résztvevő dolgozók bértámogatása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</si>
  <si>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</si>
  <si>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</si>
  <si>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</si>
  <si>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</si>
  <si>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</si>
  <si>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</si>
  <si>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</si>
  <si>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r>
      <t xml:space="preserve">   </t>
    </r>
    <r>
      <rPr>
        <sz val="9"/>
        <rFont val="Arial CE"/>
        <family val="0"/>
      </rPr>
      <t>Pszichiátriai betegek részére nyújtott közösségi alapellátás</t>
    </r>
  </si>
  <si>
    <t>HM tömb felújításra kapott támogatás törlesztése</t>
  </si>
  <si>
    <t>FINANSZÍROZÁSI BEVÉTELEK ÖSSZESEN (III.+IV.)</t>
  </si>
  <si>
    <t>Önkormányzat</t>
  </si>
  <si>
    <t xml:space="preserve">   Szociális bentlakásos int.ellátásokhoz kapcs.bértámogatás</t>
  </si>
  <si>
    <t>5.sz.melléklet</t>
  </si>
  <si>
    <t>5/a.sz.melléklet</t>
  </si>
  <si>
    <t>5/b.sz.melléklet</t>
  </si>
  <si>
    <t>5/c.sz. melléklet</t>
  </si>
  <si>
    <t>5/d.sz.melléklet</t>
  </si>
  <si>
    <t>5/e.sz.melléklet</t>
  </si>
  <si>
    <t>Belföldi értékpapír beváltása</t>
  </si>
  <si>
    <t>5/f.sz.melléklet</t>
  </si>
  <si>
    <t xml:space="preserve">   Felsőfokú végz.kisgyemeknevelők bérének támogatása</t>
  </si>
  <si>
    <t xml:space="preserve">   Középfokú végz. kisgyemeknevelők bérének támogatása</t>
  </si>
  <si>
    <t>Tér_köz pályázat Podmaniczky tér</t>
  </si>
  <si>
    <t>érvényes ei.</t>
  </si>
  <si>
    <t>mód.ei.</t>
  </si>
  <si>
    <t>előirányzat</t>
  </si>
  <si>
    <t>mód. ei.</t>
  </si>
  <si>
    <t>Egyéb támogatások</t>
  </si>
  <si>
    <t>1/5.</t>
  </si>
  <si>
    <t xml:space="preserve">   Szociális ágazati pótlék</t>
  </si>
  <si>
    <t xml:space="preserve">   Óvodai és iskolai szociális segítő tevékenység támogatása</t>
  </si>
  <si>
    <t xml:space="preserve">   Bölcsődei üzemeltetési támogatás</t>
  </si>
  <si>
    <t>Kiegészítő gyermekvédelmi támogatás</t>
  </si>
  <si>
    <t>Belváros- Lipótváros Önkormányzata 2020. évi államháztartáson belülről kapott működési célú támogatásainak részletezése</t>
  </si>
  <si>
    <t xml:space="preserve">   Gyermekétkeztetés üzemeltetési támogatása</t>
  </si>
  <si>
    <t>Belváros-Lipótváros Önkormányzata 2020. évre tervezett közhatalmi bevételeinek részletezése</t>
  </si>
  <si>
    <t>Belváros- Lipótváros Önkormányzata 2020. évi államháztartáson belülről kapott felhalmozási célú támogatásainak részletezése</t>
  </si>
  <si>
    <t xml:space="preserve">Belváros-  Lipótváros Önkormányzata 2020. évre </t>
  </si>
  <si>
    <t>Településfejlesztési hozzájárulás</t>
  </si>
  <si>
    <t>Belváros-Lipótváros Önkormányzata 2020. évre tervezett államháztartáson kívülről átvett felhalmozási célú pénzeszközeinek részletezése</t>
  </si>
  <si>
    <t>Belváros-Lipótváros Önkormányzata 2020. évre tervezett bevételei</t>
  </si>
  <si>
    <t xml:space="preserve">   2020.évi bérkompenzáció</t>
  </si>
  <si>
    <t>Egészséges Budapest Program támogatása</t>
  </si>
  <si>
    <t>Idősügyi Infokommunikációs Program támogatása</t>
  </si>
  <si>
    <t>Belváros-Lipótváros Önkormányzata 2020. évre tervezett működési bevételeinek részletezése</t>
  </si>
  <si>
    <t xml:space="preserve">   Óvodapedagógusok munkáját közvetlenül segítők bértámog.</t>
  </si>
  <si>
    <t xml:space="preserve">   Kieg.tám. az óvodapedag. min.-ből adódó többletkiad-hoz</t>
  </si>
  <si>
    <t xml:space="preserve">   Egyes szociális és gyermekjóléti feladatok kieg.támogatása</t>
  </si>
  <si>
    <t>Bevallott, de meg nem fizetett idegenforgalmi adóra támogatás</t>
  </si>
  <si>
    <t>Sportközpont ésTanuszoda Sportlétesítmény-fejlesztési beruházási program támogatása</t>
  </si>
  <si>
    <t>Hableány sétahajó-baleset áldozatai emlékművének támogatása</t>
  </si>
  <si>
    <t>4.</t>
  </si>
  <si>
    <t>Államháztartáson belüli megelőlegezések</t>
  </si>
  <si>
    <t>Elszámolásból származó bevétel</t>
  </si>
  <si>
    <t>1/6.</t>
  </si>
  <si>
    <t>Önkormányzatok működési támogatása ( 1/1.- 1/6.)</t>
  </si>
  <si>
    <t>Közművelődési érdekeltségnövelő támogatás</t>
  </si>
  <si>
    <t>Budapest Belvárosi zsebpark kialakításának és környezete megújításának támogatása</t>
  </si>
  <si>
    <t>A 2021.évre tervezett országos népszámlálás kiadásainak támogatása</t>
  </si>
  <si>
    <t>Bethlen Gábor Alaptól kapott támogatás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</si>
</sst>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#,##0.0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49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3" fontId="4" fillId="0" borderId="15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49" fontId="4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3" fontId="4" fillId="0" borderId="23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49" fontId="4" fillId="0" borderId="23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2" xfId="0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4" fillId="0" borderId="28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 vertical="center"/>
    </xf>
    <xf numFmtId="0" fontId="8" fillId="0" borderId="1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0" fillId="0" borderId="0" xfId="0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24" xfId="0" applyFont="1" applyBorder="1" applyAlignment="1">
      <alignment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/>
    </xf>
    <xf numFmtId="0" fontId="4" fillId="0" borderId="17" xfId="0" applyFont="1" applyBorder="1" applyAlignment="1">
      <alignment vertical="center" wrapText="1"/>
    </xf>
    <xf numFmtId="3" fontId="4" fillId="0" borderId="25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49" fontId="4" fillId="0" borderId="25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6" fontId="4" fillId="0" borderId="28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" fontId="4" fillId="0" borderId="20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3" fontId="4" fillId="0" borderId="25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/>
    </xf>
    <xf numFmtId="0" fontId="3" fillId="0" borderId="18" xfId="0" applyFont="1" applyBorder="1" applyAlignment="1">
      <alignment/>
    </xf>
    <xf numFmtId="3" fontId="3" fillId="0" borderId="20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vertical="center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6" fontId="4" fillId="0" borderId="32" xfId="0" applyNumberFormat="1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16" fontId="4" fillId="0" borderId="35" xfId="0" applyNumberFormat="1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4" fillId="0" borderId="28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0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0" fillId="0" borderId="0" xfId="0" applyNumberFormat="1" applyFont="1" applyAlignment="1">
      <alignment vertical="center"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 wrapText="1"/>
    </xf>
    <xf numFmtId="0" fontId="4" fillId="0" borderId="25" xfId="0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/>
    </xf>
    <xf numFmtId="3" fontId="4" fillId="0" borderId="25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12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49" fontId="3" fillId="0" borderId="4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/>
    </xf>
    <xf numFmtId="0" fontId="3" fillId="0" borderId="15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0" fillId="0" borderId="25" xfId="0" applyNumberFormat="1" applyFont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37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PageLayoutView="0" workbookViewId="0" topLeftCell="A13">
      <selection activeCell="E24" sqref="E24"/>
    </sheetView>
  </sheetViews>
  <sheetFormatPr defaultColWidth="9.00390625" defaultRowHeight="12.75"/>
  <cols>
    <col min="1" max="1" width="3.25390625" style="158" customWidth="1"/>
    <col min="2" max="2" width="3.125" style="158" customWidth="1"/>
    <col min="3" max="3" width="48.75390625" style="158" customWidth="1"/>
    <col min="4" max="5" width="9.625" style="158" customWidth="1"/>
    <col min="6" max="7" width="9.625" style="162" customWidth="1"/>
    <col min="8" max="9" width="9.625" style="158" customWidth="1"/>
    <col min="10" max="10" width="10.375" style="29" customWidth="1"/>
    <col min="11" max="11" width="9.625" style="29" customWidth="1"/>
    <col min="12" max="16384" width="9.125" style="29" customWidth="1"/>
  </cols>
  <sheetData>
    <row r="1" spans="6:11" ht="18" customHeight="1">
      <c r="F1" s="325" t="s">
        <v>117</v>
      </c>
      <c r="G1" s="325"/>
      <c r="H1" s="325"/>
      <c r="I1" s="325"/>
      <c r="J1" s="325"/>
      <c r="K1" s="325"/>
    </row>
    <row r="2" spans="1:11" s="160" customFormat="1" ht="15.75">
      <c r="A2" s="341" t="s">
        <v>145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</row>
    <row r="3" spans="1:9" s="160" customFormat="1" ht="15.75">
      <c r="A3" s="159"/>
      <c r="B3" s="159"/>
      <c r="C3" s="159"/>
      <c r="D3" s="159"/>
      <c r="E3" s="159"/>
      <c r="F3" s="159"/>
      <c r="G3" s="159"/>
      <c r="H3" s="159"/>
      <c r="I3" s="159"/>
    </row>
    <row r="4" spans="2:11" ht="13.5" customHeight="1" thickBot="1">
      <c r="B4" s="161"/>
      <c r="H4" s="326" t="s">
        <v>0</v>
      </c>
      <c r="I4" s="326"/>
      <c r="J4" s="326"/>
      <c r="K4" s="326"/>
    </row>
    <row r="5" spans="1:11" s="163" customFormat="1" ht="80.25" customHeight="1" thickBot="1">
      <c r="A5" s="327" t="s">
        <v>1</v>
      </c>
      <c r="B5" s="328"/>
      <c r="C5" s="329"/>
      <c r="D5" s="339" t="s">
        <v>18</v>
      </c>
      <c r="E5" s="340"/>
      <c r="F5" s="339" t="s">
        <v>105</v>
      </c>
      <c r="G5" s="340"/>
      <c r="H5" s="339" t="s">
        <v>106</v>
      </c>
      <c r="I5" s="340"/>
      <c r="J5" s="335" t="s">
        <v>19</v>
      </c>
      <c r="K5" s="336"/>
    </row>
    <row r="6" spans="1:11" s="163" customFormat="1" ht="24.75" thickBot="1">
      <c r="A6" s="330"/>
      <c r="B6" s="331"/>
      <c r="C6" s="332"/>
      <c r="D6" s="243" t="s">
        <v>128</v>
      </c>
      <c r="E6" s="241" t="s">
        <v>129</v>
      </c>
      <c r="F6" s="243" t="s">
        <v>128</v>
      </c>
      <c r="G6" s="241" t="s">
        <v>129</v>
      </c>
      <c r="H6" s="243" t="s">
        <v>128</v>
      </c>
      <c r="I6" s="241" t="s">
        <v>129</v>
      </c>
      <c r="J6" s="243" t="s">
        <v>128</v>
      </c>
      <c r="K6" s="241" t="s">
        <v>129</v>
      </c>
    </row>
    <row r="7" spans="1:11" ht="13.5" thickBot="1">
      <c r="A7" s="333">
        <v>1</v>
      </c>
      <c r="B7" s="334"/>
      <c r="C7" s="334"/>
      <c r="D7" s="164">
        <v>2</v>
      </c>
      <c r="E7" s="164">
        <v>3</v>
      </c>
      <c r="F7" s="164">
        <v>4</v>
      </c>
      <c r="G7" s="164">
        <v>5</v>
      </c>
      <c r="H7" s="164">
        <v>6</v>
      </c>
      <c r="I7" s="164">
        <v>7</v>
      </c>
      <c r="J7" s="238">
        <v>8</v>
      </c>
      <c r="K7" s="239">
        <v>9</v>
      </c>
    </row>
    <row r="8" spans="1:11" ht="13.5" customHeight="1">
      <c r="A8" s="165"/>
      <c r="B8" s="166"/>
      <c r="C8" s="167" t="s">
        <v>23</v>
      </c>
      <c r="D8" s="168">
        <f>SUM(5A!E14)</f>
        <v>990052</v>
      </c>
      <c r="E8" s="168">
        <f>SUM(5A!F14)</f>
        <v>990503</v>
      </c>
      <c r="F8" s="168"/>
      <c r="G8" s="169"/>
      <c r="H8" s="169"/>
      <c r="I8" s="169"/>
      <c r="J8" s="144">
        <f aca="true" t="shared" si="0" ref="J8:K11">SUM(D8,F8,H8)</f>
        <v>990052</v>
      </c>
      <c r="K8" s="144">
        <f t="shared" si="0"/>
        <v>990503</v>
      </c>
    </row>
    <row r="9" spans="1:11" ht="13.5" customHeight="1">
      <c r="A9" s="165"/>
      <c r="B9" s="170"/>
      <c r="C9" s="171" t="s">
        <v>39</v>
      </c>
      <c r="D9" s="168">
        <f>SUM(5A!E19)</f>
        <v>332968</v>
      </c>
      <c r="E9" s="168">
        <f>SUM(5A!F19)</f>
        <v>322617</v>
      </c>
      <c r="F9" s="172"/>
      <c r="G9" s="172"/>
      <c r="H9" s="173"/>
      <c r="I9" s="173"/>
      <c r="J9" s="145">
        <f t="shared" si="0"/>
        <v>332968</v>
      </c>
      <c r="K9" s="145">
        <f t="shared" si="0"/>
        <v>322617</v>
      </c>
    </row>
    <row r="10" spans="1:11" ht="13.5" customHeight="1">
      <c r="A10" s="165"/>
      <c r="B10" s="170"/>
      <c r="C10" s="171" t="s">
        <v>99</v>
      </c>
      <c r="D10" s="168">
        <f>SUM(5A!E37)</f>
        <v>487575</v>
      </c>
      <c r="E10" s="168">
        <f>SUM(5A!F37)</f>
        <v>493198</v>
      </c>
      <c r="F10" s="172"/>
      <c r="G10" s="172"/>
      <c r="H10" s="173"/>
      <c r="I10" s="173"/>
      <c r="J10" s="145">
        <f t="shared" si="0"/>
        <v>487575</v>
      </c>
      <c r="K10" s="145">
        <f t="shared" si="0"/>
        <v>493198</v>
      </c>
    </row>
    <row r="11" spans="1:11" ht="13.5" customHeight="1">
      <c r="A11" s="165"/>
      <c r="B11" s="258"/>
      <c r="C11" s="174" t="s">
        <v>40</v>
      </c>
      <c r="D11" s="169">
        <f>SUM(5A!E38)</f>
        <v>13014</v>
      </c>
      <c r="E11" s="169">
        <f>SUM(5A!F38)</f>
        <v>13014</v>
      </c>
      <c r="F11" s="219"/>
      <c r="G11" s="219"/>
      <c r="H11" s="259"/>
      <c r="I11" s="259"/>
      <c r="J11" s="260">
        <f t="shared" si="0"/>
        <v>13014</v>
      </c>
      <c r="K11" s="145">
        <f t="shared" si="0"/>
        <v>13014</v>
      </c>
    </row>
    <row r="12" spans="1:11" ht="13.5" customHeight="1">
      <c r="A12" s="165"/>
      <c r="B12" s="258"/>
      <c r="C12" s="174" t="s">
        <v>132</v>
      </c>
      <c r="D12" s="324">
        <f>SUM(5A!E42)</f>
        <v>188760</v>
      </c>
      <c r="E12" s="324">
        <f>SUM(5A!F42)</f>
        <v>188760</v>
      </c>
      <c r="F12" s="219"/>
      <c r="G12" s="219"/>
      <c r="H12" s="259"/>
      <c r="I12" s="259"/>
      <c r="J12" s="260">
        <f>SUM(D12,F12,H12)</f>
        <v>188760</v>
      </c>
      <c r="K12" s="260">
        <f>SUM(E12,G12,I12)</f>
        <v>188760</v>
      </c>
    </row>
    <row r="13" spans="1:11" ht="13.5" customHeight="1" thickBot="1">
      <c r="A13" s="165"/>
      <c r="B13" s="261"/>
      <c r="C13" s="262" t="s">
        <v>158</v>
      </c>
      <c r="D13" s="263"/>
      <c r="E13" s="263">
        <f>SUM(5A!F43)</f>
        <v>7245</v>
      </c>
      <c r="F13" s="175"/>
      <c r="G13" s="175"/>
      <c r="H13" s="264"/>
      <c r="I13" s="264"/>
      <c r="J13" s="142"/>
      <c r="K13" s="260">
        <f>SUM(E13,G13,I13)</f>
        <v>7245</v>
      </c>
    </row>
    <row r="14" spans="1:11" ht="13.5" customHeight="1" thickBot="1">
      <c r="A14" s="165"/>
      <c r="B14" s="176" t="s">
        <v>2</v>
      </c>
      <c r="C14" s="177" t="s">
        <v>76</v>
      </c>
      <c r="D14" s="178">
        <f>SUM(D8:D12)</f>
        <v>2012369</v>
      </c>
      <c r="E14" s="178">
        <f>SUM(E8:E13)</f>
        <v>2015337</v>
      </c>
      <c r="F14" s="178">
        <f>SUM(F8:F11)</f>
        <v>0</v>
      </c>
      <c r="G14" s="178"/>
      <c r="H14" s="178">
        <f>SUM(H8:H11)</f>
        <v>0</v>
      </c>
      <c r="I14" s="178"/>
      <c r="J14" s="179">
        <f>SUM(J8:J12)</f>
        <v>2012369</v>
      </c>
      <c r="K14" s="179">
        <f>SUM(K8:K13)</f>
        <v>2015337</v>
      </c>
    </row>
    <row r="15" spans="1:11" ht="13.5" customHeight="1">
      <c r="A15" s="165"/>
      <c r="B15" s="180" t="s">
        <v>3</v>
      </c>
      <c r="C15" s="181" t="s">
        <v>42</v>
      </c>
      <c r="D15" s="182"/>
      <c r="E15" s="182"/>
      <c r="F15" s="182"/>
      <c r="G15" s="182"/>
      <c r="H15" s="182"/>
      <c r="I15" s="192"/>
      <c r="J15" s="183"/>
      <c r="K15" s="240"/>
    </row>
    <row r="16" spans="1:11" ht="13.5" thickBot="1">
      <c r="A16" s="165"/>
      <c r="B16" s="184" t="s">
        <v>4</v>
      </c>
      <c r="C16" s="185" t="s">
        <v>77</v>
      </c>
      <c r="D16" s="186">
        <f>SUM(5A!E54)</f>
        <v>0</v>
      </c>
      <c r="E16" s="186">
        <f>SUM(5A!F54)</f>
        <v>700</v>
      </c>
      <c r="F16" s="186">
        <f>SUM(5A!G54)</f>
        <v>1127654</v>
      </c>
      <c r="G16" s="186">
        <f>SUM(5A!H54)</f>
        <v>1153231</v>
      </c>
      <c r="H16" s="186">
        <f>SUM(5A!I54)</f>
        <v>0</v>
      </c>
      <c r="I16" s="186">
        <f>SUM(5A!J54)</f>
        <v>0</v>
      </c>
      <c r="J16" s="142">
        <f>SUM(D16,F16,H16)</f>
        <v>1127654</v>
      </c>
      <c r="K16" s="142">
        <f>SUM(E16,G16,I16)</f>
        <v>1153931</v>
      </c>
    </row>
    <row r="17" spans="1:11" ht="13.5" thickBot="1">
      <c r="A17" s="165"/>
      <c r="B17" s="187" t="s">
        <v>5</v>
      </c>
      <c r="C17" s="188" t="s">
        <v>78</v>
      </c>
      <c r="D17" s="189">
        <f aca="true" t="shared" si="1" ref="D17:K17">SUM(D14:D16)</f>
        <v>2012369</v>
      </c>
      <c r="E17" s="189">
        <f t="shared" si="1"/>
        <v>2016037</v>
      </c>
      <c r="F17" s="189">
        <f t="shared" si="1"/>
        <v>1127654</v>
      </c>
      <c r="G17" s="189">
        <f t="shared" si="1"/>
        <v>1153231</v>
      </c>
      <c r="H17" s="189">
        <f t="shared" si="1"/>
        <v>0</v>
      </c>
      <c r="I17" s="189">
        <f t="shared" si="1"/>
        <v>0</v>
      </c>
      <c r="J17" s="190">
        <f t="shared" si="1"/>
        <v>3140023</v>
      </c>
      <c r="K17" s="190">
        <f t="shared" si="1"/>
        <v>3169268</v>
      </c>
    </row>
    <row r="18" spans="1:11" ht="12.75">
      <c r="A18" s="165"/>
      <c r="B18" s="180" t="s">
        <v>2</v>
      </c>
      <c r="C18" s="191" t="s">
        <v>10</v>
      </c>
      <c r="D18" s="192">
        <f>SUM(5B!D12)</f>
        <v>5020427</v>
      </c>
      <c r="E18" s="192">
        <f>SUM(5B!E12)</f>
        <v>4909550</v>
      </c>
      <c r="F18" s="192"/>
      <c r="G18" s="192"/>
      <c r="H18" s="192"/>
      <c r="I18" s="192"/>
      <c r="J18" s="141">
        <f>SUM(D18,F18,H18)</f>
        <v>5020427</v>
      </c>
      <c r="K18" s="141">
        <f>SUM(E18,G18,I18)</f>
        <v>4909550</v>
      </c>
    </row>
    <row r="19" spans="1:11" ht="13.5" thickBot="1">
      <c r="A19" s="165"/>
      <c r="B19" s="184" t="s">
        <v>3</v>
      </c>
      <c r="C19" s="185" t="s">
        <v>79</v>
      </c>
      <c r="D19" s="193">
        <f>SUM(5B!D19)</f>
        <v>173210</v>
      </c>
      <c r="E19" s="193">
        <f>SUM(5B!E19)</f>
        <v>173472</v>
      </c>
      <c r="F19" s="193"/>
      <c r="G19" s="193"/>
      <c r="H19" s="193"/>
      <c r="I19" s="193"/>
      <c r="J19" s="142">
        <f>SUM(D19,F19,H19)</f>
        <v>173210</v>
      </c>
      <c r="K19" s="142">
        <f>SUM(E19,G19,I19)</f>
        <v>173472</v>
      </c>
    </row>
    <row r="20" spans="1:11" ht="13.5" customHeight="1" thickBot="1">
      <c r="A20" s="165"/>
      <c r="B20" s="187" t="s">
        <v>6</v>
      </c>
      <c r="C20" s="194" t="s">
        <v>34</v>
      </c>
      <c r="D20" s="189">
        <f>SUM(D18:D19)</f>
        <v>5193637</v>
      </c>
      <c r="E20" s="189">
        <f>SUM(E18:E19)</f>
        <v>5083022</v>
      </c>
      <c r="F20" s="189">
        <f>SUM(F18:F19)</f>
        <v>0</v>
      </c>
      <c r="G20" s="189"/>
      <c r="H20" s="189">
        <f>SUM(H18:H19)</f>
        <v>0</v>
      </c>
      <c r="I20" s="189"/>
      <c r="J20" s="190">
        <f>SUM(J18:J19)</f>
        <v>5193637</v>
      </c>
      <c r="K20" s="190">
        <f>SUM(K18:K19)</f>
        <v>5083022</v>
      </c>
    </row>
    <row r="21" spans="1:11" ht="13.5" customHeight="1" thickBot="1">
      <c r="A21" s="165"/>
      <c r="B21" s="187" t="s">
        <v>31</v>
      </c>
      <c r="C21" s="195" t="s">
        <v>80</v>
      </c>
      <c r="D21" s="189">
        <f>SUM(5C!D20)</f>
        <v>6763234</v>
      </c>
      <c r="E21" s="189">
        <f>SUM(5C!E20)</f>
        <v>6258744</v>
      </c>
      <c r="F21" s="189">
        <f>SUM(5C!F20)</f>
        <v>959660</v>
      </c>
      <c r="G21" s="189">
        <f>SUM(5C!G20)</f>
        <v>959660</v>
      </c>
      <c r="H21" s="189">
        <f>SUM(5C!H20)</f>
        <v>84800</v>
      </c>
      <c r="I21" s="189">
        <f>SUM(5C!I20)</f>
        <v>84800</v>
      </c>
      <c r="J21" s="130">
        <f aca="true" t="shared" si="2" ref="J21:K23">SUM(D21,F21,H21)</f>
        <v>7807694</v>
      </c>
      <c r="K21" s="130">
        <f t="shared" si="2"/>
        <v>7303204</v>
      </c>
    </row>
    <row r="22" spans="1:11" ht="26.25" customHeight="1">
      <c r="A22" s="165"/>
      <c r="B22" s="196" t="s">
        <v>2</v>
      </c>
      <c r="C22" s="197" t="s">
        <v>81</v>
      </c>
      <c r="D22" s="143">
        <f>360+122</f>
        <v>482</v>
      </c>
      <c r="E22" s="143">
        <v>0</v>
      </c>
      <c r="F22" s="143"/>
      <c r="G22" s="143"/>
      <c r="H22" s="143"/>
      <c r="I22" s="143"/>
      <c r="J22" s="144">
        <f t="shared" si="2"/>
        <v>482</v>
      </c>
      <c r="K22" s="144">
        <f t="shared" si="2"/>
        <v>0</v>
      </c>
    </row>
    <row r="23" spans="1:11" ht="13.5" customHeight="1" thickBot="1">
      <c r="A23" s="165"/>
      <c r="B23" s="198" t="s">
        <v>3</v>
      </c>
      <c r="C23" s="199" t="s">
        <v>82</v>
      </c>
      <c r="D23" s="200">
        <v>700</v>
      </c>
      <c r="E23" s="200">
        <v>0</v>
      </c>
      <c r="F23" s="200"/>
      <c r="G23" s="133"/>
      <c r="H23" s="133"/>
      <c r="I23" s="133"/>
      <c r="J23" s="141">
        <f t="shared" si="2"/>
        <v>700</v>
      </c>
      <c r="K23" s="141">
        <f t="shared" si="2"/>
        <v>0</v>
      </c>
    </row>
    <row r="24" spans="1:11" ht="13.5" customHeight="1" thickBot="1">
      <c r="A24" s="165"/>
      <c r="B24" s="187" t="s">
        <v>32</v>
      </c>
      <c r="C24" s="195" t="s">
        <v>83</v>
      </c>
      <c r="D24" s="189">
        <f>SUM(D22:D23)</f>
        <v>1182</v>
      </c>
      <c r="E24" s="189">
        <f>SUM(E22:E23)</f>
        <v>0</v>
      </c>
      <c r="F24" s="189">
        <f>SUM(F22:F23)</f>
        <v>0</v>
      </c>
      <c r="G24" s="189"/>
      <c r="H24" s="189">
        <f>SUM(H22:H23)</f>
        <v>0</v>
      </c>
      <c r="I24" s="189"/>
      <c r="J24" s="190">
        <f>SUM(J22:J23)</f>
        <v>1182</v>
      </c>
      <c r="K24" s="190">
        <f>SUM(K22:K23)</f>
        <v>0</v>
      </c>
    </row>
    <row r="25" spans="1:11" s="160" customFormat="1" ht="13.5" customHeight="1" thickBot="1">
      <c r="A25" s="201" t="s">
        <v>5</v>
      </c>
      <c r="B25" s="335" t="s">
        <v>84</v>
      </c>
      <c r="C25" s="336"/>
      <c r="D25" s="189">
        <f aca="true" t="shared" si="3" ref="D25:K25">SUM(D17,D20,D21,D24)</f>
        <v>13970422</v>
      </c>
      <c r="E25" s="189">
        <f t="shared" si="3"/>
        <v>13357803</v>
      </c>
      <c r="F25" s="189">
        <f t="shared" si="3"/>
        <v>2087314</v>
      </c>
      <c r="G25" s="189">
        <f t="shared" si="3"/>
        <v>2112891</v>
      </c>
      <c r="H25" s="189">
        <f t="shared" si="3"/>
        <v>84800</v>
      </c>
      <c r="I25" s="189">
        <f t="shared" si="3"/>
        <v>84800</v>
      </c>
      <c r="J25" s="190">
        <f t="shared" si="3"/>
        <v>16142536</v>
      </c>
      <c r="K25" s="190">
        <f t="shared" si="3"/>
        <v>15555494</v>
      </c>
    </row>
    <row r="26" spans="1:11" s="160" customFormat="1" ht="13.5" customHeight="1" thickBot="1">
      <c r="A26" s="202"/>
      <c r="B26" s="187" t="s">
        <v>41</v>
      </c>
      <c r="C26" s="203" t="s">
        <v>36</v>
      </c>
      <c r="D26" s="189">
        <f>SUM(5D!C19)</f>
        <v>3678699</v>
      </c>
      <c r="E26" s="189">
        <f>SUM(5D!D19)</f>
        <v>6798314</v>
      </c>
      <c r="F26" s="189"/>
      <c r="G26" s="132"/>
      <c r="H26" s="132"/>
      <c r="I26" s="132"/>
      <c r="J26" s="130">
        <f aca="true" t="shared" si="4" ref="J26:K29">SUM(D26,F26,H26)</f>
        <v>3678699</v>
      </c>
      <c r="K26" s="130">
        <f t="shared" si="4"/>
        <v>6798314</v>
      </c>
    </row>
    <row r="27" spans="1:11" s="160" customFormat="1" ht="13.5" customHeight="1" thickBot="1">
      <c r="A27" s="202"/>
      <c r="B27" s="187" t="s">
        <v>85</v>
      </c>
      <c r="C27" s="203" t="s">
        <v>22</v>
      </c>
      <c r="D27" s="189">
        <f>SUM(5E!D17)</f>
        <v>1651364</v>
      </c>
      <c r="E27" s="189">
        <f>SUM(5E!E17)</f>
        <v>2549555</v>
      </c>
      <c r="F27" s="189">
        <f>SUM(5E!F17)</f>
        <v>103</v>
      </c>
      <c r="G27" s="189">
        <f>SUM(5E!G17)</f>
        <v>103</v>
      </c>
      <c r="H27" s="190"/>
      <c r="I27" s="190"/>
      <c r="J27" s="130">
        <f t="shared" si="4"/>
        <v>1651467</v>
      </c>
      <c r="K27" s="130">
        <f t="shared" si="4"/>
        <v>2549658</v>
      </c>
    </row>
    <row r="28" spans="1:11" ht="24" customHeight="1">
      <c r="A28" s="204"/>
      <c r="B28" s="205" t="s">
        <v>2</v>
      </c>
      <c r="C28" s="191" t="s">
        <v>86</v>
      </c>
      <c r="D28" s="192">
        <f>SUM(5F!D13)</f>
        <v>23994</v>
      </c>
      <c r="E28" s="192">
        <f>SUM(5F!E13)</f>
        <v>18017</v>
      </c>
      <c r="F28" s="192"/>
      <c r="G28" s="192"/>
      <c r="H28" s="192"/>
      <c r="I28" s="192"/>
      <c r="J28" s="130">
        <f t="shared" si="4"/>
        <v>23994</v>
      </c>
      <c r="K28" s="130">
        <f t="shared" si="4"/>
        <v>18017</v>
      </c>
    </row>
    <row r="29" spans="1:11" ht="13.5" customHeight="1" thickBot="1">
      <c r="A29" s="204"/>
      <c r="B29" s="206" t="s">
        <v>3</v>
      </c>
      <c r="C29" s="207" t="s">
        <v>87</v>
      </c>
      <c r="D29" s="208">
        <f>SUM(5F!D15)</f>
        <v>140000</v>
      </c>
      <c r="E29" s="208">
        <f>SUM(5F!E15)</f>
        <v>131496</v>
      </c>
      <c r="F29" s="208"/>
      <c r="G29" s="209"/>
      <c r="H29" s="209"/>
      <c r="I29" s="209"/>
      <c r="J29" s="142">
        <f t="shared" si="4"/>
        <v>140000</v>
      </c>
      <c r="K29" s="142">
        <f t="shared" si="4"/>
        <v>131496</v>
      </c>
    </row>
    <row r="30" spans="1:11" ht="13.5" customHeight="1" thickBot="1">
      <c r="A30" s="204"/>
      <c r="B30" s="210" t="s">
        <v>88</v>
      </c>
      <c r="C30" s="203" t="s">
        <v>89</v>
      </c>
      <c r="D30" s="190">
        <f>SUM(D28:D29)</f>
        <v>163994</v>
      </c>
      <c r="E30" s="190">
        <f>SUM(E28:E29)</f>
        <v>149513</v>
      </c>
      <c r="F30" s="190">
        <f>SUM(F28:F29)</f>
        <v>0</v>
      </c>
      <c r="G30" s="190"/>
      <c r="H30" s="190">
        <f>SUM(H28:H29)</f>
        <v>0</v>
      </c>
      <c r="I30" s="190"/>
      <c r="J30" s="190">
        <f>SUM(J28:J29)</f>
        <v>163994</v>
      </c>
      <c r="K30" s="190">
        <f>SUM(K28:K29)</f>
        <v>149513</v>
      </c>
    </row>
    <row r="31" spans="1:11" ht="13.5" customHeight="1" thickBot="1">
      <c r="A31" s="211" t="s">
        <v>6</v>
      </c>
      <c r="B31" s="337" t="s">
        <v>90</v>
      </c>
      <c r="C31" s="338"/>
      <c r="D31" s="190">
        <f aca="true" t="shared" si="5" ref="D31:K31">SUM(D26,D27,D30)</f>
        <v>5494057</v>
      </c>
      <c r="E31" s="190">
        <f t="shared" si="5"/>
        <v>9497382</v>
      </c>
      <c r="F31" s="190">
        <f t="shared" si="5"/>
        <v>103</v>
      </c>
      <c r="G31" s="190">
        <f t="shared" si="5"/>
        <v>103</v>
      </c>
      <c r="H31" s="190">
        <f t="shared" si="5"/>
        <v>0</v>
      </c>
      <c r="I31" s="190">
        <f t="shared" si="5"/>
        <v>0</v>
      </c>
      <c r="J31" s="190">
        <f t="shared" si="5"/>
        <v>5494160</v>
      </c>
      <c r="K31" s="190">
        <f t="shared" si="5"/>
        <v>9497485</v>
      </c>
    </row>
    <row r="32" spans="1:11" s="160" customFormat="1" ht="13.5" customHeight="1" thickBot="1">
      <c r="A32" s="335" t="s">
        <v>91</v>
      </c>
      <c r="B32" s="344"/>
      <c r="C32" s="336"/>
      <c r="D32" s="212">
        <f aca="true" t="shared" si="6" ref="D32:K32">SUM(D25,D31)</f>
        <v>19464479</v>
      </c>
      <c r="E32" s="212">
        <f t="shared" si="6"/>
        <v>22855185</v>
      </c>
      <c r="F32" s="212">
        <f t="shared" si="6"/>
        <v>2087417</v>
      </c>
      <c r="G32" s="212">
        <f t="shared" si="6"/>
        <v>2112994</v>
      </c>
      <c r="H32" s="212">
        <f t="shared" si="6"/>
        <v>84800</v>
      </c>
      <c r="I32" s="212">
        <f t="shared" si="6"/>
        <v>84800</v>
      </c>
      <c r="J32" s="212">
        <f t="shared" si="6"/>
        <v>21636696</v>
      </c>
      <c r="K32" s="212">
        <f t="shared" si="6"/>
        <v>25052979</v>
      </c>
    </row>
    <row r="33" spans="1:11" ht="12.75">
      <c r="A33" s="213"/>
      <c r="B33" s="214" t="s">
        <v>2</v>
      </c>
      <c r="C33" s="215" t="s">
        <v>107</v>
      </c>
      <c r="D33" s="216">
        <f>100000+3212702</f>
        <v>3312702</v>
      </c>
      <c r="E33" s="216">
        <f>100000+3212702</f>
        <v>3312702</v>
      </c>
      <c r="F33" s="216">
        <v>270921</v>
      </c>
      <c r="G33" s="216">
        <f>45257+33724+145023+46917-4-15790-15573</f>
        <v>239554</v>
      </c>
      <c r="H33" s="216">
        <f>17253+12373+20300+8521+7403+8859+15089</f>
        <v>89798</v>
      </c>
      <c r="I33" s="216">
        <f>17253+12373+20300+8521+7403+8859+15089-250-548+82+786+407-15436</f>
        <v>74839</v>
      </c>
      <c r="J33" s="130">
        <f aca="true" t="shared" si="7" ref="J33:K36">SUM(F33,D33,H33)</f>
        <v>3673421</v>
      </c>
      <c r="K33" s="130">
        <f t="shared" si="7"/>
        <v>3627095</v>
      </c>
    </row>
    <row r="34" spans="1:13" ht="12.75">
      <c r="A34" s="204"/>
      <c r="B34" s="217" t="s">
        <v>3</v>
      </c>
      <c r="C34" s="218" t="s">
        <v>92</v>
      </c>
      <c r="D34" s="219"/>
      <c r="E34" s="219"/>
      <c r="F34" s="219">
        <f>4386546+1260-400-116870+565-53000-300+378+6299</f>
        <v>4224478</v>
      </c>
      <c r="G34" s="219">
        <f>4386546+1260-400-116870+565-53000-300+378+6299+446-1050</f>
        <v>4223874</v>
      </c>
      <c r="H34" s="219">
        <f>1789673+345+46+84+19+5+1+703+31306+2666+3927+2282+3604+3077+49+8+438+19953+150+19050+192+150+33+6+447+12892-342</f>
        <v>1890764</v>
      </c>
      <c r="I34" s="219">
        <f>1789673+345+46+84+19+5+1+703+31306+2666+3927+2282+3604+3077+49+8+438+19953+150+19050+192+150+33+6+447+12892-342+1+4+618+12845+192</f>
        <v>1904424</v>
      </c>
      <c r="J34" s="145">
        <f t="shared" si="7"/>
        <v>6115242</v>
      </c>
      <c r="K34" s="145">
        <f t="shared" si="7"/>
        <v>6128298</v>
      </c>
      <c r="M34" s="108"/>
    </row>
    <row r="35" spans="1:11" ht="12.75">
      <c r="A35" s="204"/>
      <c r="B35" s="217" t="s">
        <v>4</v>
      </c>
      <c r="C35" s="218" t="s">
        <v>123</v>
      </c>
      <c r="D35" s="219">
        <v>752378</v>
      </c>
      <c r="E35" s="219">
        <v>752378</v>
      </c>
      <c r="F35" s="219"/>
      <c r="G35" s="219"/>
      <c r="H35" s="219"/>
      <c r="I35" s="219"/>
      <c r="J35" s="141">
        <f t="shared" si="7"/>
        <v>752378</v>
      </c>
      <c r="K35" s="141">
        <f t="shared" si="7"/>
        <v>752378</v>
      </c>
    </row>
    <row r="36" spans="1:11" ht="13.5" thickBot="1">
      <c r="A36" s="223"/>
      <c r="B36" s="220" t="s">
        <v>156</v>
      </c>
      <c r="C36" s="221" t="s">
        <v>157</v>
      </c>
      <c r="D36" s="175">
        <v>60038</v>
      </c>
      <c r="E36" s="175">
        <f>60038+33599</f>
        <v>93637</v>
      </c>
      <c r="F36" s="175"/>
      <c r="G36" s="175"/>
      <c r="H36" s="175"/>
      <c r="I36" s="175"/>
      <c r="J36" s="142">
        <f t="shared" si="7"/>
        <v>60038</v>
      </c>
      <c r="K36" s="142">
        <f t="shared" si="7"/>
        <v>93637</v>
      </c>
    </row>
    <row r="37" spans="1:11" ht="13.5" thickBot="1">
      <c r="A37" s="222" t="s">
        <v>31</v>
      </c>
      <c r="B37" s="345" t="s">
        <v>93</v>
      </c>
      <c r="C37" s="345"/>
      <c r="D37" s="190">
        <f>SUM(D33:D36)</f>
        <v>4125118</v>
      </c>
      <c r="E37" s="190">
        <f>SUM(E33:E36)</f>
        <v>4158717</v>
      </c>
      <c r="F37" s="190">
        <f>SUM(F33:F35)</f>
        <v>4495399</v>
      </c>
      <c r="G37" s="190">
        <f>SUM(G33:G35)</f>
        <v>4463428</v>
      </c>
      <c r="H37" s="190">
        <f>SUM(H33:H35)</f>
        <v>1980562</v>
      </c>
      <c r="I37" s="190">
        <f>SUM(I33:I35)</f>
        <v>1979263</v>
      </c>
      <c r="J37" s="190">
        <f>SUM(J33:J36)</f>
        <v>10601079</v>
      </c>
      <c r="K37" s="190">
        <f>SUM(K33:K36)</f>
        <v>10601408</v>
      </c>
    </row>
    <row r="38" spans="1:11" ht="12.75">
      <c r="A38" s="213"/>
      <c r="B38" s="214" t="s">
        <v>2</v>
      </c>
      <c r="C38" s="215" t="s">
        <v>107</v>
      </c>
      <c r="D38" s="216">
        <f>5205738+1071474</f>
        <v>6277212</v>
      </c>
      <c r="E38" s="216">
        <f>5205738+1071474-200188</f>
        <v>6077024</v>
      </c>
      <c r="F38" s="216">
        <v>39172</v>
      </c>
      <c r="G38" s="216">
        <v>39172</v>
      </c>
      <c r="H38" s="216"/>
      <c r="I38" s="216"/>
      <c r="J38" s="130">
        <f aca="true" t="shared" si="8" ref="J38:K40">SUM(D38,F38,H38)</f>
        <v>6316384</v>
      </c>
      <c r="K38" s="130">
        <f t="shared" si="8"/>
        <v>6116196</v>
      </c>
    </row>
    <row r="39" spans="1:11" ht="12.75">
      <c r="A39" s="204"/>
      <c r="B39" s="217" t="s">
        <v>3</v>
      </c>
      <c r="C39" s="218" t="s">
        <v>92</v>
      </c>
      <c r="D39" s="219"/>
      <c r="E39" s="219"/>
      <c r="F39" s="219">
        <f>283632-135071</f>
        <v>148561</v>
      </c>
      <c r="G39" s="219">
        <f>283632-135071+320</f>
        <v>148881</v>
      </c>
      <c r="H39" s="219">
        <f>15974+150+1337+1258+721+250+571+873</f>
        <v>21134</v>
      </c>
      <c r="I39" s="219">
        <f>15974+150+1337+1258+721+250+571+873</f>
        <v>21134</v>
      </c>
      <c r="J39" s="145">
        <f t="shared" si="8"/>
        <v>169695</v>
      </c>
      <c r="K39" s="145">
        <f t="shared" si="8"/>
        <v>170015</v>
      </c>
    </row>
    <row r="40" spans="1:11" ht="13.5" thickBot="1">
      <c r="A40" s="223"/>
      <c r="B40" s="220" t="s">
        <v>4</v>
      </c>
      <c r="C40" s="221" t="s">
        <v>123</v>
      </c>
      <c r="D40" s="175">
        <v>3247622</v>
      </c>
      <c r="E40" s="175">
        <v>3247622</v>
      </c>
      <c r="F40" s="175"/>
      <c r="G40" s="219"/>
      <c r="H40" s="219"/>
      <c r="I40" s="175"/>
      <c r="J40" s="141">
        <f t="shared" si="8"/>
        <v>3247622</v>
      </c>
      <c r="K40" s="141">
        <f t="shared" si="8"/>
        <v>3247622</v>
      </c>
    </row>
    <row r="41" spans="1:11" ht="13.5" thickBot="1">
      <c r="A41" s="222" t="s">
        <v>32</v>
      </c>
      <c r="B41" s="345" t="s">
        <v>94</v>
      </c>
      <c r="C41" s="345"/>
      <c r="D41" s="190">
        <f aca="true" t="shared" si="9" ref="D41:K41">SUM(D38:D40)</f>
        <v>9524834</v>
      </c>
      <c r="E41" s="190">
        <f t="shared" si="9"/>
        <v>9324646</v>
      </c>
      <c r="F41" s="190">
        <f t="shared" si="9"/>
        <v>187733</v>
      </c>
      <c r="G41" s="190">
        <f t="shared" si="9"/>
        <v>188053</v>
      </c>
      <c r="H41" s="190">
        <f t="shared" si="9"/>
        <v>21134</v>
      </c>
      <c r="I41" s="190">
        <f t="shared" si="9"/>
        <v>21134</v>
      </c>
      <c r="J41" s="190">
        <f t="shared" si="9"/>
        <v>9733701</v>
      </c>
      <c r="K41" s="190">
        <f t="shared" si="9"/>
        <v>9533833</v>
      </c>
    </row>
    <row r="42" spans="1:11" ht="13.5" thickBot="1">
      <c r="A42" s="342" t="s">
        <v>114</v>
      </c>
      <c r="B42" s="343"/>
      <c r="C42" s="346"/>
      <c r="D42" s="190">
        <f aca="true" t="shared" si="10" ref="D42:K42">SUM(D41,D37)</f>
        <v>13649952</v>
      </c>
      <c r="E42" s="190">
        <f t="shared" si="10"/>
        <v>13483363</v>
      </c>
      <c r="F42" s="190">
        <f t="shared" si="10"/>
        <v>4683132</v>
      </c>
      <c r="G42" s="190">
        <f t="shared" si="10"/>
        <v>4651481</v>
      </c>
      <c r="H42" s="190">
        <f t="shared" si="10"/>
        <v>2001696</v>
      </c>
      <c r="I42" s="190">
        <f t="shared" si="10"/>
        <v>2000397</v>
      </c>
      <c r="J42" s="190">
        <f t="shared" si="10"/>
        <v>20334780</v>
      </c>
      <c r="K42" s="190">
        <f t="shared" si="10"/>
        <v>20135241</v>
      </c>
    </row>
    <row r="43" spans="1:11" s="224" customFormat="1" ht="13.5" thickBot="1">
      <c r="A43" s="342" t="s">
        <v>95</v>
      </c>
      <c r="B43" s="343"/>
      <c r="C43" s="346"/>
      <c r="D43" s="190">
        <f aca="true" t="shared" si="11" ref="D43:K43">SUM(D32,D37,D41)</f>
        <v>33114431</v>
      </c>
      <c r="E43" s="190">
        <f t="shared" si="11"/>
        <v>36338548</v>
      </c>
      <c r="F43" s="190">
        <f t="shared" si="11"/>
        <v>6770549</v>
      </c>
      <c r="G43" s="190">
        <f t="shared" si="11"/>
        <v>6764475</v>
      </c>
      <c r="H43" s="190">
        <f t="shared" si="11"/>
        <v>2086496</v>
      </c>
      <c r="I43" s="190">
        <f t="shared" si="11"/>
        <v>2085197</v>
      </c>
      <c r="J43" s="190">
        <f t="shared" si="11"/>
        <v>41971476</v>
      </c>
      <c r="K43" s="190">
        <f t="shared" si="11"/>
        <v>45188220</v>
      </c>
    </row>
    <row r="44" spans="1:11" ht="13.5" thickBot="1">
      <c r="A44" s="225"/>
      <c r="B44" s="333" t="s">
        <v>96</v>
      </c>
      <c r="C44" s="347"/>
      <c r="D44" s="226"/>
      <c r="E44" s="226"/>
      <c r="F44" s="226"/>
      <c r="G44" s="226"/>
      <c r="H44" s="226"/>
      <c r="I44" s="216"/>
      <c r="J44" s="130">
        <f>-SUM(J34,J39)</f>
        <v>-6284937</v>
      </c>
      <c r="K44" s="130">
        <f>-SUM(K34,K39)</f>
        <v>-6298313</v>
      </c>
    </row>
    <row r="45" spans="1:11" ht="13.5" thickBot="1">
      <c r="A45" s="225"/>
      <c r="B45" s="333" t="s">
        <v>98</v>
      </c>
      <c r="C45" s="347"/>
      <c r="D45" s="226"/>
      <c r="E45" s="226"/>
      <c r="F45" s="226"/>
      <c r="G45" s="226"/>
      <c r="H45" s="226"/>
      <c r="I45" s="216"/>
      <c r="J45" s="130">
        <v>-740000</v>
      </c>
      <c r="K45" s="130">
        <v>-740000</v>
      </c>
    </row>
    <row r="46" spans="1:11" s="224" customFormat="1" ht="13.5" thickBot="1">
      <c r="A46" s="342" t="s">
        <v>97</v>
      </c>
      <c r="B46" s="343"/>
      <c r="C46" s="343"/>
      <c r="D46" s="190">
        <f aca="true" t="shared" si="12" ref="D46:I46">SUM(D43:D44)</f>
        <v>33114431</v>
      </c>
      <c r="E46" s="190">
        <f t="shared" si="12"/>
        <v>36338548</v>
      </c>
      <c r="F46" s="190">
        <f t="shared" si="12"/>
        <v>6770549</v>
      </c>
      <c r="G46" s="190">
        <f t="shared" si="12"/>
        <v>6764475</v>
      </c>
      <c r="H46" s="190">
        <f t="shared" si="12"/>
        <v>2086496</v>
      </c>
      <c r="I46" s="190">
        <f t="shared" si="12"/>
        <v>2085197</v>
      </c>
      <c r="J46" s="190">
        <f>SUM(J43:J45)</f>
        <v>34946539</v>
      </c>
      <c r="K46" s="190">
        <f>SUM(K43:K45)</f>
        <v>38149907</v>
      </c>
    </row>
    <row r="47" spans="1:9" s="224" customFormat="1" ht="12.75">
      <c r="A47" s="227"/>
      <c r="B47" s="227"/>
      <c r="C47" s="227"/>
      <c r="D47" s="228"/>
      <c r="E47" s="228"/>
      <c r="F47" s="228"/>
      <c r="G47" s="228"/>
      <c r="H47" s="228"/>
      <c r="I47" s="228"/>
    </row>
    <row r="48" spans="2:11" ht="12.75">
      <c r="B48" s="161"/>
      <c r="J48" s="108"/>
      <c r="K48" s="108"/>
    </row>
    <row r="49" spans="2:11" ht="12.75">
      <c r="B49" s="161"/>
      <c r="I49" s="162"/>
      <c r="J49" s="108"/>
      <c r="K49" s="108"/>
    </row>
    <row r="50" ht="12.75">
      <c r="B50" s="161"/>
    </row>
    <row r="51" spans="2:11" ht="12.75">
      <c r="B51" s="161"/>
      <c r="J51" s="108"/>
      <c r="K51" s="108"/>
    </row>
    <row r="52" ht="12.75">
      <c r="B52" s="161"/>
    </row>
    <row r="53" spans="2:10" ht="12.75">
      <c r="B53" s="161"/>
      <c r="J53" s="108"/>
    </row>
    <row r="54" ht="12.75">
      <c r="B54" s="161"/>
    </row>
    <row r="55" ht="12.75">
      <c r="B55" s="161"/>
    </row>
    <row r="56" ht="12.75">
      <c r="B56" s="161"/>
    </row>
    <row r="57" ht="12.75">
      <c r="B57" s="161"/>
    </row>
    <row r="58" ht="12.75">
      <c r="B58" s="161"/>
    </row>
    <row r="59" ht="12.75">
      <c r="B59" s="161"/>
    </row>
    <row r="60" ht="12.75">
      <c r="B60" s="161"/>
    </row>
    <row r="61" ht="12.75">
      <c r="B61" s="161"/>
    </row>
    <row r="62" ht="12.75">
      <c r="B62" s="161"/>
    </row>
    <row r="63" ht="12.75">
      <c r="B63" s="161"/>
    </row>
    <row r="64" ht="12.75">
      <c r="B64" s="161"/>
    </row>
    <row r="65" ht="12.75">
      <c r="B65" s="161"/>
    </row>
    <row r="66" ht="12.75">
      <c r="B66" s="161"/>
    </row>
    <row r="67" ht="12.75">
      <c r="B67" s="161"/>
    </row>
    <row r="68" ht="12.75">
      <c r="B68" s="161"/>
    </row>
    <row r="69" ht="12.75">
      <c r="B69" s="161"/>
    </row>
    <row r="70" ht="12.75">
      <c r="B70" s="161"/>
    </row>
    <row r="71" ht="12.75">
      <c r="B71" s="161"/>
    </row>
    <row r="72" ht="12.75">
      <c r="B72" s="161"/>
    </row>
    <row r="73" ht="12.75">
      <c r="B73" s="161"/>
    </row>
    <row r="74" ht="12.75">
      <c r="B74" s="161"/>
    </row>
    <row r="75" ht="12.75">
      <c r="B75" s="161"/>
    </row>
    <row r="76" ht="12.75">
      <c r="B76" s="161"/>
    </row>
    <row r="77" ht="12.75">
      <c r="B77" s="161"/>
    </row>
    <row r="78" ht="12.75">
      <c r="B78" s="161"/>
    </row>
    <row r="79" ht="12.75">
      <c r="B79" s="161"/>
    </row>
    <row r="80" ht="12.75">
      <c r="B80" s="161"/>
    </row>
    <row r="81" ht="12.75">
      <c r="B81" s="161"/>
    </row>
    <row r="82" ht="12.75">
      <c r="B82" s="161"/>
    </row>
    <row r="83" ht="12.75">
      <c r="B83" s="161"/>
    </row>
    <row r="84" ht="12.75">
      <c r="B84" s="161"/>
    </row>
    <row r="85" ht="12.75">
      <c r="B85" s="161"/>
    </row>
    <row r="86" ht="12.75">
      <c r="B86" s="161"/>
    </row>
    <row r="87" ht="12.75">
      <c r="B87" s="161"/>
    </row>
    <row r="88" ht="12.75">
      <c r="B88" s="161"/>
    </row>
  </sheetData>
  <sheetProtection/>
  <mergeCells count="19">
    <mergeCell ref="J5:K5"/>
    <mergeCell ref="A46:C46"/>
    <mergeCell ref="A32:C32"/>
    <mergeCell ref="B37:C37"/>
    <mergeCell ref="B41:C41"/>
    <mergeCell ref="A43:C43"/>
    <mergeCell ref="B44:C44"/>
    <mergeCell ref="B45:C45"/>
    <mergeCell ref="A42:C42"/>
    <mergeCell ref="F1:K1"/>
    <mergeCell ref="H4:K4"/>
    <mergeCell ref="A5:C6"/>
    <mergeCell ref="A7:C7"/>
    <mergeCell ref="B25:C25"/>
    <mergeCell ref="B31:C31"/>
    <mergeCell ref="D5:E5"/>
    <mergeCell ref="F5:G5"/>
    <mergeCell ref="H5:I5"/>
    <mergeCell ref="A2:K2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28">
      <selection activeCell="P51" sqref="P51"/>
    </sheetView>
  </sheetViews>
  <sheetFormatPr defaultColWidth="9.00390625" defaultRowHeight="12.75"/>
  <cols>
    <col min="1" max="1" width="4.25390625" style="2" customWidth="1"/>
    <col min="2" max="2" width="49.375" style="2" customWidth="1"/>
    <col min="3" max="3" width="6.125" style="2" customWidth="1"/>
    <col min="4" max="4" width="6.875" style="2" customWidth="1"/>
    <col min="5" max="5" width="9.25390625" style="2" customWidth="1"/>
    <col min="6" max="6" width="9.25390625" style="29" customWidth="1"/>
    <col min="7" max="7" width="8.875" style="2" customWidth="1"/>
    <col min="8" max="8" width="9.00390625" style="2" customWidth="1"/>
    <col min="9" max="10" width="8.25390625" style="2" customWidth="1"/>
    <col min="11" max="12" width="9.25390625" style="3" customWidth="1"/>
    <col min="13" max="15" width="9.125" style="3" customWidth="1"/>
    <col min="16" max="16384" width="9.125" style="2" customWidth="1"/>
  </cols>
  <sheetData>
    <row r="1" spans="1:12" ht="12.75" customHeight="1">
      <c r="A1" s="129"/>
      <c r="B1" s="129"/>
      <c r="C1" s="129"/>
      <c r="D1" s="129"/>
      <c r="E1" s="129"/>
      <c r="F1" s="290"/>
      <c r="G1" s="349" t="s">
        <v>118</v>
      </c>
      <c r="H1" s="349"/>
      <c r="I1" s="349"/>
      <c r="J1" s="349"/>
      <c r="K1" s="349"/>
      <c r="L1" s="349"/>
    </row>
    <row r="2" spans="1:10" ht="12.75">
      <c r="A2" s="129"/>
      <c r="B2" s="129"/>
      <c r="C2" s="129"/>
      <c r="D2" s="129"/>
      <c r="E2" s="129"/>
      <c r="F2" s="290"/>
      <c r="G2" s="129"/>
      <c r="H2" s="129"/>
      <c r="I2" s="126"/>
      <c r="J2" s="126"/>
    </row>
    <row r="3" spans="1:12" ht="30.75" customHeight="1">
      <c r="A3" s="351" t="s">
        <v>138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0" ht="15" customHeight="1">
      <c r="A4" s="13"/>
      <c r="B4" s="13"/>
      <c r="C4" s="13"/>
      <c r="D4" s="13"/>
      <c r="E4" s="13"/>
      <c r="F4" s="291"/>
      <c r="G4" s="13"/>
      <c r="H4" s="13"/>
      <c r="I4" s="13"/>
      <c r="J4" s="13"/>
    </row>
    <row r="5" spans="1:10" ht="19.5" customHeight="1">
      <c r="A5" s="13"/>
      <c r="B5" s="13"/>
      <c r="C5" s="13"/>
      <c r="D5" s="13"/>
      <c r="E5" s="13"/>
      <c r="F5" s="291"/>
      <c r="G5" s="13"/>
      <c r="H5" s="13"/>
      <c r="I5" s="13"/>
      <c r="J5" s="13"/>
    </row>
    <row r="6" spans="1:12" ht="15" customHeight="1" thickBot="1">
      <c r="A6" s="16"/>
      <c r="B6" s="16"/>
      <c r="C6" s="16"/>
      <c r="D6" s="16"/>
      <c r="E6" s="16"/>
      <c r="F6" s="292"/>
      <c r="G6" s="16"/>
      <c r="H6" s="16"/>
      <c r="I6" s="350" t="s">
        <v>0</v>
      </c>
      <c r="J6" s="350"/>
      <c r="K6" s="350"/>
      <c r="L6" s="350"/>
    </row>
    <row r="7" spans="1:12" ht="15" customHeight="1" thickBot="1">
      <c r="A7" s="359" t="s">
        <v>1</v>
      </c>
      <c r="B7" s="360"/>
      <c r="C7" s="352" t="s">
        <v>115</v>
      </c>
      <c r="D7" s="353"/>
      <c r="E7" s="353"/>
      <c r="F7" s="354"/>
      <c r="G7" s="352" t="s">
        <v>105</v>
      </c>
      <c r="H7" s="354"/>
      <c r="I7" s="352" t="s">
        <v>106</v>
      </c>
      <c r="J7" s="354"/>
      <c r="K7" s="337" t="s">
        <v>19</v>
      </c>
      <c r="L7" s="338"/>
    </row>
    <row r="8" spans="1:12" ht="61.5" customHeight="1" thickBot="1">
      <c r="A8" s="361"/>
      <c r="B8" s="362"/>
      <c r="C8" s="327" t="s">
        <v>37</v>
      </c>
      <c r="D8" s="329"/>
      <c r="E8" s="339" t="s">
        <v>130</v>
      </c>
      <c r="F8" s="340"/>
      <c r="G8" s="355"/>
      <c r="H8" s="356"/>
      <c r="I8" s="355"/>
      <c r="J8" s="356"/>
      <c r="K8" s="357"/>
      <c r="L8" s="358"/>
    </row>
    <row r="9" spans="1:15" s="28" customFormat="1" ht="28.5" customHeight="1" thickBot="1">
      <c r="A9" s="363"/>
      <c r="B9" s="364"/>
      <c r="C9" s="330"/>
      <c r="D9" s="332"/>
      <c r="E9" s="243" t="s">
        <v>128</v>
      </c>
      <c r="F9" s="241" t="s">
        <v>129</v>
      </c>
      <c r="G9" s="243" t="s">
        <v>128</v>
      </c>
      <c r="H9" s="241" t="s">
        <v>129</v>
      </c>
      <c r="I9" s="243" t="s">
        <v>128</v>
      </c>
      <c r="J9" s="241" t="s">
        <v>129</v>
      </c>
      <c r="K9" s="243" t="s">
        <v>128</v>
      </c>
      <c r="L9" s="241" t="s">
        <v>129</v>
      </c>
      <c r="M9" s="280"/>
      <c r="N9" s="280"/>
      <c r="O9" s="280"/>
    </row>
    <row r="10" spans="1:15" s="28" customFormat="1" ht="15" customHeight="1" thickBot="1">
      <c r="A10" s="348">
        <v>1</v>
      </c>
      <c r="B10" s="348"/>
      <c r="C10" s="244">
        <v>2</v>
      </c>
      <c r="D10" s="244">
        <v>3</v>
      </c>
      <c r="E10" s="245">
        <v>4</v>
      </c>
      <c r="F10" s="245">
        <v>5</v>
      </c>
      <c r="G10" s="245">
        <v>6</v>
      </c>
      <c r="H10" s="245">
        <v>7</v>
      </c>
      <c r="I10" s="245">
        <v>8</v>
      </c>
      <c r="J10" s="246">
        <v>9</v>
      </c>
      <c r="K10" s="246">
        <v>10</v>
      </c>
      <c r="L10" s="247">
        <v>11</v>
      </c>
      <c r="M10" s="280"/>
      <c r="N10" s="280"/>
      <c r="O10" s="280"/>
    </row>
    <row r="11" spans="1:15" s="28" customFormat="1" ht="15" customHeight="1">
      <c r="A11" s="111"/>
      <c r="B11" s="109" t="s">
        <v>38</v>
      </c>
      <c r="C11" s="110">
        <v>70.48</v>
      </c>
      <c r="D11" s="110">
        <v>70.48</v>
      </c>
      <c r="E11" s="119">
        <f>322798+61809+1764</f>
        <v>386371</v>
      </c>
      <c r="F11" s="119">
        <f>322798+61809+1764</f>
        <v>386371</v>
      </c>
      <c r="G11" s="119"/>
      <c r="H11" s="242"/>
      <c r="I11" s="134"/>
      <c r="J11" s="134"/>
      <c r="K11" s="20">
        <f aca="true" t="shared" si="0" ref="K11:L13">SUM(E11,G11,I11)</f>
        <v>386371</v>
      </c>
      <c r="L11" s="20">
        <f t="shared" si="0"/>
        <v>386371</v>
      </c>
      <c r="M11" s="280"/>
      <c r="N11" s="280"/>
      <c r="O11" s="280"/>
    </row>
    <row r="12" spans="1:15" s="28" customFormat="1" ht="15" customHeight="1">
      <c r="A12" s="146"/>
      <c r="B12" s="147" t="s">
        <v>101</v>
      </c>
      <c r="C12" s="148"/>
      <c r="D12" s="148"/>
      <c r="E12" s="149">
        <f>1721070-247834-872009</f>
        <v>601227</v>
      </c>
      <c r="F12" s="149">
        <f>1721070-247834-872009</f>
        <v>601227</v>
      </c>
      <c r="G12" s="149"/>
      <c r="H12" s="149"/>
      <c r="I12" s="150"/>
      <c r="J12" s="150"/>
      <c r="K12" s="131">
        <f t="shared" si="0"/>
        <v>601227</v>
      </c>
      <c r="L12" s="131">
        <f t="shared" si="0"/>
        <v>601227</v>
      </c>
      <c r="M12" s="280"/>
      <c r="N12" s="280"/>
      <c r="O12" s="280"/>
    </row>
    <row r="13" spans="1:15" s="28" customFormat="1" ht="15" customHeight="1" thickBot="1">
      <c r="A13" s="281"/>
      <c r="B13" s="282" t="s">
        <v>146</v>
      </c>
      <c r="C13" s="283"/>
      <c r="D13" s="283"/>
      <c r="E13" s="286">
        <f>1415+622+417</f>
        <v>2454</v>
      </c>
      <c r="F13" s="286">
        <f>1415+622+417+451</f>
        <v>2905</v>
      </c>
      <c r="G13" s="284"/>
      <c r="H13" s="284"/>
      <c r="I13" s="285"/>
      <c r="J13" s="285"/>
      <c r="K13" s="131">
        <f t="shared" si="0"/>
        <v>2454</v>
      </c>
      <c r="L13" s="131">
        <f t="shared" si="0"/>
        <v>2905</v>
      </c>
      <c r="M13" s="280"/>
      <c r="N13" s="280"/>
      <c r="O13" s="280"/>
    </row>
    <row r="14" spans="1:15" s="28" customFormat="1" ht="15" customHeight="1" thickBot="1">
      <c r="A14" s="40" t="s">
        <v>49</v>
      </c>
      <c r="B14" s="41" t="s">
        <v>23</v>
      </c>
      <c r="C14" s="42"/>
      <c r="D14" s="42"/>
      <c r="E14" s="236">
        <f>SUM(E11:E13)</f>
        <v>990052</v>
      </c>
      <c r="F14" s="236">
        <f>SUM(F11:F13)</f>
        <v>990503</v>
      </c>
      <c r="G14" s="43">
        <f>SUM(G11:G12)</f>
        <v>0</v>
      </c>
      <c r="H14" s="43"/>
      <c r="I14" s="43">
        <f>SUM(I11:I12)</f>
        <v>0</v>
      </c>
      <c r="J14" s="43"/>
      <c r="K14" s="137">
        <f>SUM(K11:K13)</f>
        <v>990052</v>
      </c>
      <c r="L14" s="137">
        <f>SUM(L11:L13)</f>
        <v>990503</v>
      </c>
      <c r="M14" s="280"/>
      <c r="N14" s="280"/>
      <c r="O14" s="280"/>
    </row>
    <row r="15" spans="1:15" s="28" customFormat="1" ht="15" customHeight="1">
      <c r="A15" s="45"/>
      <c r="B15" s="46" t="s">
        <v>25</v>
      </c>
      <c r="C15" s="36">
        <v>41.2</v>
      </c>
      <c r="D15" s="36">
        <v>41.2</v>
      </c>
      <c r="E15" s="287">
        <f>180106-437</f>
        <v>179669</v>
      </c>
      <c r="F15" s="287">
        <f>180106-437-10351</f>
        <v>169318</v>
      </c>
      <c r="G15" s="120"/>
      <c r="H15" s="120"/>
      <c r="I15" s="38"/>
      <c r="J15" s="38"/>
      <c r="K15" s="136">
        <f aca="true" t="shared" si="1" ref="K15:L18">SUM(E15,G15,I15)</f>
        <v>179669</v>
      </c>
      <c r="L15" s="136">
        <f t="shared" si="1"/>
        <v>169318</v>
      </c>
      <c r="M15" s="280"/>
      <c r="N15" s="280"/>
      <c r="O15" s="280"/>
    </row>
    <row r="16" spans="1:15" s="28" customFormat="1" ht="15" customHeight="1">
      <c r="A16" s="47"/>
      <c r="B16" s="48" t="s">
        <v>150</v>
      </c>
      <c r="C16" s="49">
        <v>30</v>
      </c>
      <c r="D16" s="49">
        <v>30</v>
      </c>
      <c r="E16" s="233">
        <v>72000</v>
      </c>
      <c r="F16" s="233">
        <v>72000</v>
      </c>
      <c r="G16" s="122"/>
      <c r="H16" s="122"/>
      <c r="I16" s="51"/>
      <c r="J16" s="51"/>
      <c r="K16" s="52">
        <f t="shared" si="1"/>
        <v>72000</v>
      </c>
      <c r="L16" s="52">
        <f t="shared" si="1"/>
        <v>72000</v>
      </c>
      <c r="M16" s="280"/>
      <c r="N16" s="280"/>
      <c r="O16" s="280"/>
    </row>
    <row r="17" spans="1:15" s="28" customFormat="1" ht="15" customHeight="1">
      <c r="A17" s="47"/>
      <c r="B17" s="112" t="s">
        <v>26</v>
      </c>
      <c r="C17" s="113">
        <v>458</v>
      </c>
      <c r="D17" s="113">
        <v>458</v>
      </c>
      <c r="E17" s="293">
        <f>44609-360</f>
        <v>44249</v>
      </c>
      <c r="F17" s="293">
        <f>44609-360</f>
        <v>44249</v>
      </c>
      <c r="G17" s="123"/>
      <c r="H17" s="123"/>
      <c r="I17" s="114"/>
      <c r="J17" s="114"/>
      <c r="K17" s="52">
        <f t="shared" si="1"/>
        <v>44249</v>
      </c>
      <c r="L17" s="52">
        <f t="shared" si="1"/>
        <v>44249</v>
      </c>
      <c r="M17" s="280"/>
      <c r="N17" s="280"/>
      <c r="O17" s="280"/>
    </row>
    <row r="18" spans="1:15" s="28" customFormat="1" ht="15" customHeight="1" thickBot="1">
      <c r="A18" s="84"/>
      <c r="B18" s="112" t="s">
        <v>151</v>
      </c>
      <c r="C18" s="113">
        <v>18</v>
      </c>
      <c r="D18" s="113">
        <v>18</v>
      </c>
      <c r="E18" s="293">
        <f>12394+727+23929</f>
        <v>37050</v>
      </c>
      <c r="F18" s="293">
        <f>12394+727+23929</f>
        <v>37050</v>
      </c>
      <c r="G18" s="123"/>
      <c r="H18" s="123"/>
      <c r="I18" s="114"/>
      <c r="J18" s="114"/>
      <c r="K18" s="52">
        <f t="shared" si="1"/>
        <v>37050</v>
      </c>
      <c r="L18" s="52">
        <f t="shared" si="1"/>
        <v>37050</v>
      </c>
      <c r="M18" s="280"/>
      <c r="N18" s="280"/>
      <c r="O18" s="280"/>
    </row>
    <row r="19" spans="1:15" s="28" customFormat="1" ht="15" customHeight="1" thickBot="1">
      <c r="A19" s="40" t="s">
        <v>50</v>
      </c>
      <c r="B19" s="41" t="s">
        <v>39</v>
      </c>
      <c r="C19" s="42"/>
      <c r="D19" s="42"/>
      <c r="E19" s="43">
        <f>SUM(E15:E18)</f>
        <v>332968</v>
      </c>
      <c r="F19" s="236">
        <f>SUM(F15:F18)</f>
        <v>322617</v>
      </c>
      <c r="G19" s="43"/>
      <c r="H19" s="43"/>
      <c r="I19" s="43"/>
      <c r="J19" s="43"/>
      <c r="K19" s="137">
        <f>SUM(K15:K18)</f>
        <v>332968</v>
      </c>
      <c r="L19" s="137">
        <f>SUM(L15:L18)</f>
        <v>322617</v>
      </c>
      <c r="M19" s="280"/>
      <c r="N19" s="280"/>
      <c r="O19" s="280"/>
    </row>
    <row r="20" spans="1:15" s="28" customFormat="1" ht="15" customHeight="1">
      <c r="A20" s="53"/>
      <c r="B20" s="54" t="s">
        <v>110</v>
      </c>
      <c r="C20" s="49"/>
      <c r="D20" s="49"/>
      <c r="E20" s="233">
        <f>7480+756</f>
        <v>8236</v>
      </c>
      <c r="F20" s="233">
        <f>7480+756</f>
        <v>8236</v>
      </c>
      <c r="G20" s="122"/>
      <c r="H20" s="120"/>
      <c r="I20" s="38"/>
      <c r="J20" s="38"/>
      <c r="K20" s="70">
        <f aca="true" t="shared" si="2" ref="K20:L36">SUM(E20,G20,I20)</f>
        <v>8236</v>
      </c>
      <c r="L20" s="70">
        <f t="shared" si="2"/>
        <v>8236</v>
      </c>
      <c r="M20" s="280"/>
      <c r="N20" s="280"/>
      <c r="O20" s="280"/>
    </row>
    <row r="21" spans="1:15" s="28" customFormat="1" ht="15" customHeight="1">
      <c r="A21" s="53"/>
      <c r="B21" s="54" t="s">
        <v>111</v>
      </c>
      <c r="C21" s="49"/>
      <c r="D21" s="49"/>
      <c r="E21" s="233">
        <f>10560+1068</f>
        <v>11628</v>
      </c>
      <c r="F21" s="233">
        <f>10560+1068</f>
        <v>11628</v>
      </c>
      <c r="G21" s="122"/>
      <c r="H21" s="122"/>
      <c r="I21" s="51"/>
      <c r="J21" s="51"/>
      <c r="K21" s="70">
        <f t="shared" si="2"/>
        <v>11628</v>
      </c>
      <c r="L21" s="70">
        <f t="shared" si="2"/>
        <v>11628</v>
      </c>
      <c r="M21" s="280"/>
      <c r="N21" s="280"/>
      <c r="O21" s="280"/>
    </row>
    <row r="22" spans="1:15" s="28" customFormat="1" ht="15" customHeight="1">
      <c r="A22" s="53"/>
      <c r="B22" s="55" t="s">
        <v>27</v>
      </c>
      <c r="C22" s="49">
        <v>350</v>
      </c>
      <c r="D22" s="49">
        <v>350</v>
      </c>
      <c r="E22" s="233">
        <v>22876</v>
      </c>
      <c r="F22" s="233">
        <v>22876</v>
      </c>
      <c r="G22" s="122"/>
      <c r="H22" s="122"/>
      <c r="I22" s="51"/>
      <c r="J22" s="114"/>
      <c r="K22" s="70">
        <f t="shared" si="2"/>
        <v>22876</v>
      </c>
      <c r="L22" s="70">
        <f t="shared" si="2"/>
        <v>22876</v>
      </c>
      <c r="M22" s="280"/>
      <c r="N22" s="280"/>
      <c r="O22" s="280"/>
    </row>
    <row r="23" spans="1:15" s="28" customFormat="1" ht="15" customHeight="1">
      <c r="A23" s="56"/>
      <c r="B23" s="48" t="s">
        <v>28</v>
      </c>
      <c r="C23" s="49">
        <v>70</v>
      </c>
      <c r="D23" s="49">
        <v>70</v>
      </c>
      <c r="E23" s="233">
        <v>22490</v>
      </c>
      <c r="F23" s="233">
        <v>22490</v>
      </c>
      <c r="G23" s="122"/>
      <c r="H23" s="122"/>
      <c r="I23" s="51"/>
      <c r="J23" s="114"/>
      <c r="K23" s="70">
        <f t="shared" si="2"/>
        <v>22490</v>
      </c>
      <c r="L23" s="70">
        <f t="shared" si="2"/>
        <v>22490</v>
      </c>
      <c r="M23" s="280"/>
      <c r="N23" s="280"/>
      <c r="O23" s="280"/>
    </row>
    <row r="24" spans="1:15" s="28" customFormat="1" ht="15" customHeight="1">
      <c r="A24" s="56"/>
      <c r="B24" s="48" t="s">
        <v>29</v>
      </c>
      <c r="C24" s="49">
        <v>340</v>
      </c>
      <c r="D24" s="49">
        <v>340</v>
      </c>
      <c r="E24" s="233">
        <v>64600</v>
      </c>
      <c r="F24" s="233">
        <v>64600</v>
      </c>
      <c r="G24" s="122"/>
      <c r="H24" s="122"/>
      <c r="I24" s="51"/>
      <c r="J24" s="114"/>
      <c r="K24" s="70">
        <f t="shared" si="2"/>
        <v>64600</v>
      </c>
      <c r="L24" s="70">
        <f t="shared" si="2"/>
        <v>64600</v>
      </c>
      <c r="M24" s="280"/>
      <c r="N24" s="280"/>
      <c r="O24" s="280"/>
    </row>
    <row r="25" spans="1:15" s="28" customFormat="1" ht="15" customHeight="1">
      <c r="A25" s="56"/>
      <c r="B25" s="48" t="s">
        <v>125</v>
      </c>
      <c r="C25" s="49">
        <v>11</v>
      </c>
      <c r="D25" s="49">
        <v>11</v>
      </c>
      <c r="E25" s="233">
        <f>48609+3399</f>
        <v>52008</v>
      </c>
      <c r="F25" s="233">
        <f>48609+3399</f>
        <v>52008</v>
      </c>
      <c r="G25" s="122"/>
      <c r="H25" s="122"/>
      <c r="I25" s="51"/>
      <c r="J25" s="114"/>
      <c r="K25" s="70">
        <f t="shared" si="2"/>
        <v>52008</v>
      </c>
      <c r="L25" s="70">
        <f t="shared" si="2"/>
        <v>52008</v>
      </c>
      <c r="M25" s="280"/>
      <c r="N25" s="280"/>
      <c r="O25" s="280"/>
    </row>
    <row r="26" spans="1:15" s="28" customFormat="1" ht="15" customHeight="1">
      <c r="A26" s="56"/>
      <c r="B26" s="48" t="s">
        <v>126</v>
      </c>
      <c r="C26" s="49">
        <v>9.8</v>
      </c>
      <c r="D26" s="49">
        <v>9.8</v>
      </c>
      <c r="E26" s="233">
        <v>29332</v>
      </c>
      <c r="F26" s="233">
        <v>29332</v>
      </c>
      <c r="G26" s="122"/>
      <c r="H26" s="122"/>
      <c r="I26" s="51"/>
      <c r="J26" s="114"/>
      <c r="K26" s="70">
        <f t="shared" si="2"/>
        <v>29332</v>
      </c>
      <c r="L26" s="70">
        <f t="shared" si="2"/>
        <v>29332</v>
      </c>
      <c r="M26" s="280"/>
      <c r="N26" s="280"/>
      <c r="O26" s="280"/>
    </row>
    <row r="27" spans="1:15" s="28" customFormat="1" ht="15" customHeight="1">
      <c r="A27" s="56"/>
      <c r="B27" s="128" t="s">
        <v>116</v>
      </c>
      <c r="C27" s="49">
        <v>4</v>
      </c>
      <c r="D27" s="49">
        <v>4</v>
      </c>
      <c r="E27" s="233">
        <v>15432</v>
      </c>
      <c r="F27" s="233">
        <v>15432</v>
      </c>
      <c r="G27" s="122"/>
      <c r="H27" s="122"/>
      <c r="I27" s="51"/>
      <c r="J27" s="114"/>
      <c r="K27" s="70">
        <f t="shared" si="2"/>
        <v>15432</v>
      </c>
      <c r="L27" s="70">
        <f t="shared" si="2"/>
        <v>15432</v>
      </c>
      <c r="M27" s="280"/>
      <c r="N27" s="280"/>
      <c r="O27" s="280"/>
    </row>
    <row r="28" spans="1:15" s="28" customFormat="1" ht="15" customHeight="1">
      <c r="A28" s="56"/>
      <c r="B28" s="39" t="s">
        <v>30</v>
      </c>
      <c r="C28" s="49"/>
      <c r="D28" s="49"/>
      <c r="E28" s="233">
        <f>9406+409</f>
        <v>9815</v>
      </c>
      <c r="F28" s="233">
        <f>9406+409</f>
        <v>9815</v>
      </c>
      <c r="G28" s="122"/>
      <c r="H28" s="122"/>
      <c r="I28" s="51"/>
      <c r="J28" s="114"/>
      <c r="K28" s="70">
        <f t="shared" si="2"/>
        <v>9815</v>
      </c>
      <c r="L28" s="70">
        <f t="shared" si="2"/>
        <v>9815</v>
      </c>
      <c r="M28" s="280"/>
      <c r="N28" s="280"/>
      <c r="O28" s="280"/>
    </row>
    <row r="29" spans="1:15" s="28" customFormat="1" ht="15" customHeight="1">
      <c r="A29" s="151"/>
      <c r="B29" s="147" t="s">
        <v>136</v>
      </c>
      <c r="C29" s="148"/>
      <c r="D29" s="148"/>
      <c r="E29" s="234">
        <f>32210+950</f>
        <v>33160</v>
      </c>
      <c r="F29" s="234">
        <f>32210+950</f>
        <v>33160</v>
      </c>
      <c r="G29" s="149"/>
      <c r="H29" s="149"/>
      <c r="I29" s="150"/>
      <c r="J29" s="51"/>
      <c r="K29" s="32">
        <f t="shared" si="2"/>
        <v>33160</v>
      </c>
      <c r="L29" s="70">
        <f t="shared" si="2"/>
        <v>33160</v>
      </c>
      <c r="M29" s="280"/>
      <c r="N29" s="280"/>
      <c r="O29" s="280"/>
    </row>
    <row r="30" spans="1:15" s="28" customFormat="1" ht="15" customHeight="1">
      <c r="A30" s="151"/>
      <c r="B30" s="147" t="s">
        <v>104</v>
      </c>
      <c r="C30" s="148">
        <v>32.7</v>
      </c>
      <c r="D30" s="148">
        <v>32.7</v>
      </c>
      <c r="E30" s="234">
        <f>71940-17688+4340</f>
        <v>58592</v>
      </c>
      <c r="F30" s="234">
        <f>71940-17688+4340-7840</f>
        <v>50752</v>
      </c>
      <c r="G30" s="149"/>
      <c r="H30" s="149"/>
      <c r="I30" s="150"/>
      <c r="J30" s="38"/>
      <c r="K30" s="19">
        <f t="shared" si="2"/>
        <v>58592</v>
      </c>
      <c r="L30" s="19">
        <f t="shared" si="2"/>
        <v>50752</v>
      </c>
      <c r="M30" s="280"/>
      <c r="N30" s="280"/>
      <c r="O30" s="280"/>
    </row>
    <row r="31" spans="1:15" s="28" customFormat="1" ht="15" customHeight="1">
      <c r="A31" s="151"/>
      <c r="B31" s="147" t="s">
        <v>139</v>
      </c>
      <c r="C31" s="148"/>
      <c r="D31" s="148"/>
      <c r="E31" s="234">
        <f>23453+20286</f>
        <v>43739</v>
      </c>
      <c r="F31" s="234">
        <f>23453+20286</f>
        <v>43739</v>
      </c>
      <c r="G31" s="149"/>
      <c r="H31" s="149"/>
      <c r="I31" s="150"/>
      <c r="J31" s="51"/>
      <c r="K31" s="32">
        <f t="shared" si="2"/>
        <v>43739</v>
      </c>
      <c r="L31" s="32">
        <f t="shared" si="2"/>
        <v>43739</v>
      </c>
      <c r="M31" s="280"/>
      <c r="N31" s="280"/>
      <c r="O31" s="280"/>
    </row>
    <row r="32" spans="1:15" s="28" customFormat="1" ht="15" customHeight="1">
      <c r="A32" s="56"/>
      <c r="B32" s="230" t="s">
        <v>112</v>
      </c>
      <c r="C32" s="49"/>
      <c r="D32" s="49"/>
      <c r="E32" s="235">
        <v>10036</v>
      </c>
      <c r="F32" s="235">
        <v>10036</v>
      </c>
      <c r="G32" s="231"/>
      <c r="H32" s="231"/>
      <c r="I32" s="51"/>
      <c r="J32" s="51"/>
      <c r="K32" s="32">
        <f t="shared" si="2"/>
        <v>10036</v>
      </c>
      <c r="L32" s="32">
        <f t="shared" si="2"/>
        <v>10036</v>
      </c>
      <c r="M32" s="280"/>
      <c r="N32" s="280"/>
      <c r="O32" s="280"/>
    </row>
    <row r="33" spans="1:15" s="28" customFormat="1" ht="15" customHeight="1">
      <c r="A33" s="57"/>
      <c r="B33" s="257" t="s">
        <v>134</v>
      </c>
      <c r="C33" s="36"/>
      <c r="D33" s="36"/>
      <c r="E33" s="255">
        <f>32009+20391+13339</f>
        <v>65739</v>
      </c>
      <c r="F33" s="255">
        <f>32009+20391+13339+13463</f>
        <v>79202</v>
      </c>
      <c r="G33" s="256"/>
      <c r="H33" s="256"/>
      <c r="I33" s="38"/>
      <c r="J33" s="51"/>
      <c r="K33" s="32">
        <f t="shared" si="2"/>
        <v>65739</v>
      </c>
      <c r="L33" s="32">
        <f t="shared" si="2"/>
        <v>79202</v>
      </c>
      <c r="M33" s="280"/>
      <c r="N33" s="280"/>
      <c r="O33" s="280"/>
    </row>
    <row r="34" spans="1:15" s="28" customFormat="1" ht="15" customHeight="1">
      <c r="A34" s="302"/>
      <c r="B34" s="304" t="s">
        <v>152</v>
      </c>
      <c r="C34" s="305"/>
      <c r="D34" s="305"/>
      <c r="E34" s="306">
        <f>12389+1504</f>
        <v>13893</v>
      </c>
      <c r="F34" s="306">
        <f>12389+1504</f>
        <v>13893</v>
      </c>
      <c r="G34" s="307"/>
      <c r="H34" s="307"/>
      <c r="I34" s="51"/>
      <c r="J34" s="51"/>
      <c r="K34" s="32">
        <f t="shared" si="2"/>
        <v>13893</v>
      </c>
      <c r="L34" s="32">
        <f t="shared" si="2"/>
        <v>13893</v>
      </c>
      <c r="M34" s="280"/>
      <c r="N34" s="280"/>
      <c r="O34" s="280"/>
    </row>
    <row r="35" spans="1:15" s="28" customFormat="1" ht="15" customHeight="1">
      <c r="A35" s="151"/>
      <c r="B35" s="303" t="s">
        <v>109</v>
      </c>
      <c r="C35" s="36">
        <v>64</v>
      </c>
      <c r="D35" s="36">
        <v>64</v>
      </c>
      <c r="E35" s="287">
        <f>18-1</f>
        <v>17</v>
      </c>
      <c r="F35" s="287">
        <f>18-1</f>
        <v>17</v>
      </c>
      <c r="G35" s="120"/>
      <c r="H35" s="120"/>
      <c r="I35" s="38"/>
      <c r="J35" s="51"/>
      <c r="K35" s="32">
        <f t="shared" si="2"/>
        <v>17</v>
      </c>
      <c r="L35" s="32">
        <f t="shared" si="2"/>
        <v>17</v>
      </c>
      <c r="M35" s="280"/>
      <c r="N35" s="280"/>
      <c r="O35" s="280"/>
    </row>
    <row r="36" spans="1:15" s="28" customFormat="1" ht="15" customHeight="1" thickBot="1">
      <c r="A36" s="288"/>
      <c r="B36" s="282" t="s">
        <v>135</v>
      </c>
      <c r="C36" s="283"/>
      <c r="D36" s="283"/>
      <c r="E36" s="289">
        <v>25982</v>
      </c>
      <c r="F36" s="289">
        <v>25982</v>
      </c>
      <c r="G36" s="284"/>
      <c r="H36" s="284"/>
      <c r="I36" s="285"/>
      <c r="J36" s="115"/>
      <c r="K36" s="19">
        <f t="shared" si="2"/>
        <v>25982</v>
      </c>
      <c r="L36" s="314">
        <f t="shared" si="2"/>
        <v>25982</v>
      </c>
      <c r="M36" s="280"/>
      <c r="N36" s="280"/>
      <c r="O36" s="280"/>
    </row>
    <row r="37" spans="1:15" s="28" customFormat="1" ht="15" customHeight="1" thickBot="1">
      <c r="A37" s="40" t="s">
        <v>51</v>
      </c>
      <c r="B37" s="127" t="s">
        <v>100</v>
      </c>
      <c r="C37" s="42"/>
      <c r="D37" s="42"/>
      <c r="E37" s="236">
        <f>SUM(E20:E36)</f>
        <v>487575</v>
      </c>
      <c r="F37" s="236">
        <f>SUM(F20:F36)</f>
        <v>493198</v>
      </c>
      <c r="G37" s="43">
        <f>SUM(G20:G35)</f>
        <v>0</v>
      </c>
      <c r="H37" s="43"/>
      <c r="I37" s="43">
        <f>SUM(I20:I35)</f>
        <v>0</v>
      </c>
      <c r="J37" s="43"/>
      <c r="K37" s="137">
        <f>SUM(K20:K36)</f>
        <v>487575</v>
      </c>
      <c r="L37" s="137">
        <f>SUM(L20:L36)</f>
        <v>493198</v>
      </c>
      <c r="M37" s="280"/>
      <c r="N37" s="280"/>
      <c r="O37" s="280"/>
    </row>
    <row r="38" spans="1:15" s="28" customFormat="1" ht="15" customHeight="1" thickBot="1">
      <c r="A38" s="58" t="s">
        <v>52</v>
      </c>
      <c r="B38" s="59" t="s">
        <v>40</v>
      </c>
      <c r="C38" s="60"/>
      <c r="D38" s="60"/>
      <c r="E38" s="237">
        <f>10671+2343</f>
        <v>13014</v>
      </c>
      <c r="F38" s="237">
        <f>10671+2343</f>
        <v>13014</v>
      </c>
      <c r="G38" s="124"/>
      <c r="H38" s="242"/>
      <c r="I38" s="134"/>
      <c r="J38" s="38"/>
      <c r="K38" s="19">
        <f>SUM(E38,G38,I38)</f>
        <v>13014</v>
      </c>
      <c r="L38" s="19">
        <f>SUM(F38,H38,J38)</f>
        <v>13014</v>
      </c>
      <c r="M38" s="280"/>
      <c r="N38" s="280"/>
      <c r="O38" s="280"/>
    </row>
    <row r="39" spans="1:15" s="28" customFormat="1" ht="15" customHeight="1" thickBot="1">
      <c r="A39" s="61"/>
      <c r="B39" s="62" t="s">
        <v>24</v>
      </c>
      <c r="C39" s="42"/>
      <c r="D39" s="42"/>
      <c r="E39" s="43">
        <f>SUM(E19,E37,E38)</f>
        <v>833557</v>
      </c>
      <c r="F39" s="236">
        <f>SUM(F19,F37,F38)</f>
        <v>828829</v>
      </c>
      <c r="G39" s="43"/>
      <c r="H39" s="43"/>
      <c r="I39" s="43"/>
      <c r="J39" s="43"/>
      <c r="K39" s="137">
        <f>SUM(K19,K37,K38)</f>
        <v>833557</v>
      </c>
      <c r="L39" s="137">
        <f>SUM(L19,L37,L38)</f>
        <v>828829</v>
      </c>
      <c r="M39" s="280"/>
      <c r="N39" s="280"/>
      <c r="O39" s="280"/>
    </row>
    <row r="40" spans="1:15" s="28" customFormat="1" ht="24">
      <c r="A40" s="311"/>
      <c r="B40" s="68" t="s">
        <v>153</v>
      </c>
      <c r="C40" s="49"/>
      <c r="D40" s="49"/>
      <c r="E40" s="235">
        <f>12169+85601</f>
        <v>97770</v>
      </c>
      <c r="F40" s="235">
        <f>12169+85601</f>
        <v>97770</v>
      </c>
      <c r="G40" s="231"/>
      <c r="H40" s="231"/>
      <c r="I40" s="231"/>
      <c r="J40" s="231"/>
      <c r="K40" s="307">
        <f>SUM(E40)</f>
        <v>97770</v>
      </c>
      <c r="L40" s="307">
        <f>SUM(F40)</f>
        <v>97770</v>
      </c>
      <c r="M40" s="280"/>
      <c r="N40" s="280"/>
      <c r="O40" s="280"/>
    </row>
    <row r="41" spans="1:15" s="28" customFormat="1" ht="15" customHeight="1" thickBot="1">
      <c r="A41" s="310"/>
      <c r="B41" s="68" t="s">
        <v>148</v>
      </c>
      <c r="C41" s="308"/>
      <c r="D41" s="308"/>
      <c r="E41" s="293">
        <v>90990</v>
      </c>
      <c r="F41" s="293">
        <v>90990</v>
      </c>
      <c r="G41" s="309"/>
      <c r="H41" s="309"/>
      <c r="I41" s="309"/>
      <c r="J41" s="309"/>
      <c r="K41" s="307">
        <f>SUM(E41)</f>
        <v>90990</v>
      </c>
      <c r="L41" s="307">
        <f>SUM(F41)</f>
        <v>90990</v>
      </c>
      <c r="M41" s="280"/>
      <c r="N41" s="280"/>
      <c r="O41" s="280"/>
    </row>
    <row r="42" spans="1:15" s="28" customFormat="1" ht="15" customHeight="1" thickBot="1">
      <c r="A42" s="253" t="s">
        <v>133</v>
      </c>
      <c r="B42" s="254" t="s">
        <v>132</v>
      </c>
      <c r="C42" s="42"/>
      <c r="D42" s="42"/>
      <c r="E42" s="236">
        <f>SUM(E40:E41)</f>
        <v>188760</v>
      </c>
      <c r="F42" s="236">
        <f>SUM(F40:F41)</f>
        <v>188760</v>
      </c>
      <c r="G42" s="236">
        <f aca="true" t="shared" si="3" ref="G42:L42">SUM(G40:G41)</f>
        <v>0</v>
      </c>
      <c r="H42" s="236">
        <f t="shared" si="3"/>
        <v>0</v>
      </c>
      <c r="I42" s="236">
        <f t="shared" si="3"/>
        <v>0</v>
      </c>
      <c r="J42" s="236">
        <f t="shared" si="3"/>
        <v>0</v>
      </c>
      <c r="K42" s="236">
        <f t="shared" si="3"/>
        <v>188760</v>
      </c>
      <c r="L42" s="315">
        <f t="shared" si="3"/>
        <v>188760</v>
      </c>
      <c r="M42" s="280"/>
      <c r="N42" s="280"/>
      <c r="O42" s="280"/>
    </row>
    <row r="43" spans="1:15" s="28" customFormat="1" ht="15" customHeight="1" thickBot="1">
      <c r="A43" s="253" t="s">
        <v>159</v>
      </c>
      <c r="B43" s="318" t="s">
        <v>158</v>
      </c>
      <c r="C43" s="42"/>
      <c r="D43" s="42"/>
      <c r="E43" s="236"/>
      <c r="F43" s="236">
        <v>7245</v>
      </c>
      <c r="G43" s="236"/>
      <c r="H43" s="236"/>
      <c r="I43" s="236"/>
      <c r="J43" s="236"/>
      <c r="K43" s="236"/>
      <c r="L43" s="315">
        <f>SUM(F43)</f>
        <v>7245</v>
      </c>
      <c r="M43" s="280"/>
      <c r="N43" s="280"/>
      <c r="O43" s="280"/>
    </row>
    <row r="44" spans="1:15" s="28" customFormat="1" ht="15" customHeight="1" thickBot="1">
      <c r="A44" s="40" t="s">
        <v>2</v>
      </c>
      <c r="B44" s="319" t="s">
        <v>160</v>
      </c>
      <c r="C44" s="42"/>
      <c r="D44" s="42"/>
      <c r="E44" s="43">
        <f>SUM(E14,E39,E42)</f>
        <v>2012369</v>
      </c>
      <c r="F44" s="236">
        <f>SUM(F14,F39,F42,F43)</f>
        <v>2015337</v>
      </c>
      <c r="G44" s="236">
        <f aca="true" t="shared" si="4" ref="G44:L44">SUM(G14,G39,G42,G43)</f>
        <v>0</v>
      </c>
      <c r="H44" s="236">
        <f t="shared" si="4"/>
        <v>0</v>
      </c>
      <c r="I44" s="236">
        <f t="shared" si="4"/>
        <v>0</v>
      </c>
      <c r="J44" s="236">
        <f t="shared" si="4"/>
        <v>0</v>
      </c>
      <c r="K44" s="236">
        <f t="shared" si="4"/>
        <v>2012369</v>
      </c>
      <c r="L44" s="315">
        <f t="shared" si="4"/>
        <v>2015337</v>
      </c>
      <c r="M44" s="280"/>
      <c r="N44" s="280"/>
      <c r="O44" s="280"/>
    </row>
    <row r="45" spans="1:15" s="28" customFormat="1" ht="15" customHeight="1" thickBot="1">
      <c r="A45" s="34" t="s">
        <v>3</v>
      </c>
      <c r="B45" s="63" t="s">
        <v>42</v>
      </c>
      <c r="C45" s="34"/>
      <c r="D45" s="34"/>
      <c r="E45" s="43"/>
      <c r="F45" s="236"/>
      <c r="G45" s="121"/>
      <c r="H45" s="121"/>
      <c r="I45" s="44"/>
      <c r="J45" s="44"/>
      <c r="K45" s="31"/>
      <c r="L45" s="31"/>
      <c r="M45" s="280"/>
      <c r="N45" s="280"/>
      <c r="O45" s="280"/>
    </row>
    <row r="46" spans="1:15" s="28" customFormat="1" ht="16.5" customHeight="1">
      <c r="A46" s="64" t="s">
        <v>45</v>
      </c>
      <c r="B46" s="65" t="s">
        <v>43</v>
      </c>
      <c r="C46" s="66"/>
      <c r="D46" s="66"/>
      <c r="E46" s="37"/>
      <c r="F46" s="287"/>
      <c r="G46" s="120"/>
      <c r="H46" s="120"/>
      <c r="I46" s="38"/>
      <c r="J46" s="38"/>
      <c r="K46" s="19"/>
      <c r="L46" s="19"/>
      <c r="M46" s="280"/>
      <c r="N46" s="280"/>
      <c r="O46" s="280"/>
    </row>
    <row r="47" spans="1:15" s="28" customFormat="1" ht="16.5" customHeight="1">
      <c r="A47" s="67"/>
      <c r="B47" s="68" t="s">
        <v>148</v>
      </c>
      <c r="C47" s="69"/>
      <c r="D47" s="69"/>
      <c r="E47" s="50"/>
      <c r="F47" s="233"/>
      <c r="G47" s="122"/>
      <c r="H47" s="122"/>
      <c r="I47" s="51"/>
      <c r="J47" s="51"/>
      <c r="K47" s="32"/>
      <c r="L47" s="32"/>
      <c r="M47" s="280"/>
      <c r="N47" s="280"/>
      <c r="O47" s="280"/>
    </row>
    <row r="48" spans="1:15" s="28" customFormat="1" ht="24" customHeight="1">
      <c r="A48" s="316"/>
      <c r="B48" s="317" t="s">
        <v>153</v>
      </c>
      <c r="C48" s="66"/>
      <c r="D48" s="66"/>
      <c r="E48" s="37"/>
      <c r="F48" s="287"/>
      <c r="G48" s="120"/>
      <c r="H48" s="120"/>
      <c r="I48" s="38"/>
      <c r="J48" s="38"/>
      <c r="K48" s="19"/>
      <c r="L48" s="19"/>
      <c r="M48" s="280"/>
      <c r="N48" s="280"/>
      <c r="O48" s="280"/>
    </row>
    <row r="49" spans="1:15" s="28" customFormat="1" ht="24" customHeight="1">
      <c r="A49" s="316"/>
      <c r="B49" s="317" t="s">
        <v>163</v>
      </c>
      <c r="C49" s="69"/>
      <c r="D49" s="69"/>
      <c r="E49" s="50"/>
      <c r="F49" s="233"/>
      <c r="G49" s="122"/>
      <c r="H49" s="122">
        <v>25577</v>
      </c>
      <c r="I49" s="51"/>
      <c r="J49" s="51"/>
      <c r="K49" s="32"/>
      <c r="L49" s="32">
        <f aca="true" t="shared" si="5" ref="K49:L53">SUM(F49,H49,J49)</f>
        <v>25577</v>
      </c>
      <c r="M49" s="280"/>
      <c r="N49" s="280"/>
      <c r="O49" s="280"/>
    </row>
    <row r="50" spans="1:15" s="28" customFormat="1" ht="12.75">
      <c r="A50" s="316"/>
      <c r="B50" s="317" t="s">
        <v>164</v>
      </c>
      <c r="C50" s="69"/>
      <c r="D50" s="69"/>
      <c r="E50" s="50"/>
      <c r="F50" s="233">
        <v>700</v>
      </c>
      <c r="G50" s="122"/>
      <c r="H50" s="122"/>
      <c r="I50" s="51"/>
      <c r="J50" s="51"/>
      <c r="K50" s="32"/>
      <c r="L50" s="32">
        <f t="shared" si="5"/>
        <v>700</v>
      </c>
      <c r="M50" s="280"/>
      <c r="N50" s="280"/>
      <c r="O50" s="280"/>
    </row>
    <row r="51" spans="1:15" s="28" customFormat="1" ht="21.75" customHeight="1">
      <c r="A51" s="67" t="s">
        <v>46</v>
      </c>
      <c r="B51" s="68" t="s">
        <v>44</v>
      </c>
      <c r="C51" s="69"/>
      <c r="D51" s="69"/>
      <c r="E51" s="50"/>
      <c r="F51" s="233"/>
      <c r="G51" s="50">
        <f>1024891+102763</f>
        <v>1127654</v>
      </c>
      <c r="H51" s="50">
        <f>1024891+102763</f>
        <v>1127654</v>
      </c>
      <c r="I51" s="51"/>
      <c r="J51" s="51"/>
      <c r="K51" s="32">
        <f t="shared" si="5"/>
        <v>1127654</v>
      </c>
      <c r="L51" s="32">
        <f t="shared" si="5"/>
        <v>1127654</v>
      </c>
      <c r="M51" s="280"/>
      <c r="N51" s="280"/>
      <c r="O51" s="280"/>
    </row>
    <row r="52" spans="1:15" s="28" customFormat="1" ht="15" customHeight="1">
      <c r="A52" s="67" t="s">
        <v>47</v>
      </c>
      <c r="B52" s="68" t="s">
        <v>102</v>
      </c>
      <c r="C52" s="69"/>
      <c r="D52" s="69"/>
      <c r="E52" s="50"/>
      <c r="F52" s="233"/>
      <c r="G52" s="50"/>
      <c r="H52" s="50"/>
      <c r="I52" s="51"/>
      <c r="J52" s="51"/>
      <c r="K52" s="32">
        <f t="shared" si="5"/>
        <v>0</v>
      </c>
      <c r="L52" s="32">
        <f t="shared" si="5"/>
        <v>0</v>
      </c>
      <c r="M52" s="280"/>
      <c r="N52" s="280"/>
      <c r="O52" s="280"/>
    </row>
    <row r="53" spans="1:12" ht="15" customHeight="1" thickBot="1">
      <c r="A53" s="296"/>
      <c r="B53" s="65" t="s">
        <v>137</v>
      </c>
      <c r="C53" s="152"/>
      <c r="D53" s="152"/>
      <c r="E53" s="294"/>
      <c r="F53" s="294"/>
      <c r="G53" s="19"/>
      <c r="H53" s="19"/>
      <c r="I53" s="19"/>
      <c r="J53" s="19"/>
      <c r="K53" s="32">
        <f t="shared" si="5"/>
        <v>0</v>
      </c>
      <c r="L53" s="32">
        <f t="shared" si="5"/>
        <v>0</v>
      </c>
    </row>
    <row r="54" spans="1:12" ht="24.75" thickBot="1">
      <c r="A54" s="30" t="s">
        <v>4</v>
      </c>
      <c r="B54" s="24" t="s">
        <v>48</v>
      </c>
      <c r="C54" s="24"/>
      <c r="D54" s="24"/>
      <c r="E54" s="295">
        <f>SUM(E46:E53)</f>
        <v>0</v>
      </c>
      <c r="F54" s="295">
        <f>SUM(F46:F53)</f>
        <v>700</v>
      </c>
      <c r="G54" s="71">
        <f>SUM(G46:G53)</f>
        <v>1127654</v>
      </c>
      <c r="H54" s="71">
        <f>SUM(H49:H53)</f>
        <v>1153231</v>
      </c>
      <c r="I54" s="71">
        <f>SUM(I46:I53)</f>
        <v>0</v>
      </c>
      <c r="J54" s="71">
        <f>SUM(J46:J53)</f>
        <v>0</v>
      </c>
      <c r="K54" s="71">
        <f>SUM(K46:K53)</f>
        <v>1127654</v>
      </c>
      <c r="L54" s="71">
        <f>SUM(L46:L53)</f>
        <v>1153931</v>
      </c>
    </row>
    <row r="55" spans="1:12" ht="13.5" thickBot="1">
      <c r="A55" s="33" t="s">
        <v>5</v>
      </c>
      <c r="B55" s="72" t="s">
        <v>53</v>
      </c>
      <c r="C55" s="135"/>
      <c r="D55" s="135"/>
      <c r="E55" s="17">
        <f aca="true" t="shared" si="6" ref="E55:J55">SUM(E44,E45,E54)</f>
        <v>2012369</v>
      </c>
      <c r="F55" s="212">
        <f t="shared" si="6"/>
        <v>2016037</v>
      </c>
      <c r="G55" s="17">
        <f t="shared" si="6"/>
        <v>1127654</v>
      </c>
      <c r="H55" s="17">
        <f t="shared" si="6"/>
        <v>1153231</v>
      </c>
      <c r="I55" s="17">
        <f t="shared" si="6"/>
        <v>0</v>
      </c>
      <c r="J55" s="17">
        <f t="shared" si="6"/>
        <v>0</v>
      </c>
      <c r="K55" s="137">
        <f>SUM(E55,G55,I55)</f>
        <v>3140023</v>
      </c>
      <c r="L55" s="137">
        <f>SUM(F55,H55,J55)</f>
        <v>3169268</v>
      </c>
    </row>
    <row r="59" ht="12.75">
      <c r="F59" s="108"/>
    </row>
  </sheetData>
  <sheetProtection/>
  <mergeCells count="11">
    <mergeCell ref="A7:B9"/>
    <mergeCell ref="A10:B10"/>
    <mergeCell ref="G1:L1"/>
    <mergeCell ref="I6:L6"/>
    <mergeCell ref="A3:L3"/>
    <mergeCell ref="C7:F7"/>
    <mergeCell ref="G7:H8"/>
    <mergeCell ref="I7:J8"/>
    <mergeCell ref="K7:L8"/>
    <mergeCell ref="C8:D9"/>
    <mergeCell ref="E8:F8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3.625" style="11" customWidth="1"/>
    <col min="2" max="2" width="3.00390625" style="0" customWidth="1"/>
    <col min="3" max="3" width="33.00390625" style="0" customWidth="1"/>
    <col min="4" max="5" width="9.75390625" style="12" customWidth="1"/>
    <col min="6" max="11" width="9.75390625" style="0" customWidth="1"/>
  </cols>
  <sheetData>
    <row r="1" spans="1:10" ht="25.5" customHeight="1">
      <c r="A1" s="385"/>
      <c r="B1" s="385"/>
      <c r="C1" s="385"/>
      <c r="D1" s="4"/>
      <c r="E1" s="4"/>
      <c r="F1" s="387" t="s">
        <v>119</v>
      </c>
      <c r="G1" s="387"/>
      <c r="H1" s="388"/>
      <c r="I1" s="388"/>
      <c r="J1" s="388"/>
    </row>
    <row r="2" spans="1:9" ht="25.5" customHeight="1">
      <c r="A2" s="4"/>
      <c r="B2" s="4"/>
      <c r="C2" s="4"/>
      <c r="D2" s="4"/>
      <c r="E2" s="4"/>
      <c r="F2" s="21"/>
      <c r="G2" s="21"/>
      <c r="H2" s="21"/>
      <c r="I2" s="21"/>
    </row>
    <row r="3" spans="1:11" ht="33" customHeight="1">
      <c r="A3" s="382" t="s">
        <v>140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7" ht="25.5" customHeight="1">
      <c r="A4" s="4"/>
      <c r="B4" s="4"/>
      <c r="C4" s="4"/>
      <c r="D4" s="5"/>
      <c r="E4" s="5"/>
      <c r="F4" s="4"/>
      <c r="G4" s="4"/>
    </row>
    <row r="5" spans="1:11" ht="17.25" customHeight="1" thickBot="1">
      <c r="A5" s="4"/>
      <c r="B5" s="4"/>
      <c r="C5" s="4"/>
      <c r="D5" s="5"/>
      <c r="E5" s="5"/>
      <c r="F5" s="4"/>
      <c r="G5" s="4"/>
      <c r="H5" s="229"/>
      <c r="I5" s="273"/>
      <c r="J5" s="383" t="s">
        <v>0</v>
      </c>
      <c r="K5" s="383"/>
    </row>
    <row r="6" spans="1:11" ht="75" customHeight="1" thickBot="1">
      <c r="A6" s="359" t="s">
        <v>1</v>
      </c>
      <c r="B6" s="386"/>
      <c r="C6" s="360"/>
      <c r="D6" s="375" t="s">
        <v>18</v>
      </c>
      <c r="E6" s="376"/>
      <c r="F6" s="375" t="s">
        <v>105</v>
      </c>
      <c r="G6" s="376"/>
      <c r="H6" s="391" t="s">
        <v>106</v>
      </c>
      <c r="I6" s="392"/>
      <c r="J6" s="389" t="s">
        <v>19</v>
      </c>
      <c r="K6" s="390"/>
    </row>
    <row r="7" spans="1:11" ht="13.5" customHeight="1" thickBot="1">
      <c r="A7" s="377">
        <v>1</v>
      </c>
      <c r="B7" s="378"/>
      <c r="C7" s="379"/>
      <c r="D7" s="35">
        <v>2</v>
      </c>
      <c r="E7" s="35">
        <v>3</v>
      </c>
      <c r="F7" s="35">
        <v>4</v>
      </c>
      <c r="G7" s="35">
        <v>5</v>
      </c>
      <c r="H7" s="35">
        <v>6</v>
      </c>
      <c r="I7" s="35">
        <v>7</v>
      </c>
      <c r="J7" s="272">
        <v>8</v>
      </c>
      <c r="K7" s="274">
        <v>9</v>
      </c>
    </row>
    <row r="8" spans="1:11" ht="12.75">
      <c r="A8" s="73"/>
      <c r="B8" s="380" t="s">
        <v>8</v>
      </c>
      <c r="C8" s="381"/>
      <c r="D8" s="74">
        <v>2523000</v>
      </c>
      <c r="E8" s="74">
        <f>2523000+98721</f>
        <v>2621721</v>
      </c>
      <c r="F8" s="74"/>
      <c r="G8" s="138"/>
      <c r="H8" s="138"/>
      <c r="I8" s="138"/>
      <c r="J8" s="138">
        <f aca="true" t="shared" si="0" ref="J8:K11">SUM(D8)</f>
        <v>2523000</v>
      </c>
      <c r="K8" s="138">
        <f t="shared" si="0"/>
        <v>2621721</v>
      </c>
    </row>
    <row r="9" spans="1:11" ht="12.75">
      <c r="A9" s="76"/>
      <c r="B9" s="374" t="s">
        <v>9</v>
      </c>
      <c r="C9" s="369"/>
      <c r="D9" s="90">
        <f>2044870-100000</f>
        <v>1944870</v>
      </c>
      <c r="E9" s="90">
        <f>2044870-100000-236293</f>
        <v>1708577</v>
      </c>
      <c r="F9" s="75"/>
      <c r="G9" s="75"/>
      <c r="H9" s="75"/>
      <c r="I9" s="75"/>
      <c r="J9" s="75">
        <f t="shared" si="0"/>
        <v>1944870</v>
      </c>
      <c r="K9" s="75">
        <f t="shared" si="0"/>
        <v>1708577</v>
      </c>
    </row>
    <row r="10" spans="1:11" ht="12.75">
      <c r="A10" s="77"/>
      <c r="B10" s="369" t="s">
        <v>11</v>
      </c>
      <c r="C10" s="370"/>
      <c r="D10" s="75">
        <f>128000-128000</f>
        <v>0</v>
      </c>
      <c r="E10" s="75">
        <f>128000-128000</f>
        <v>0</v>
      </c>
      <c r="F10" s="75"/>
      <c r="G10" s="75"/>
      <c r="H10" s="75"/>
      <c r="I10" s="75"/>
      <c r="J10" s="75">
        <f t="shared" si="0"/>
        <v>0</v>
      </c>
      <c r="K10" s="75">
        <f t="shared" si="0"/>
        <v>0</v>
      </c>
    </row>
    <row r="11" spans="1:11" ht="13.5" thickBot="1">
      <c r="A11" s="157"/>
      <c r="B11" s="369" t="s">
        <v>17</v>
      </c>
      <c r="C11" s="373"/>
      <c r="D11" s="75">
        <f>2000000-156334-1291109</f>
        <v>552557</v>
      </c>
      <c r="E11" s="75">
        <f>2000000-156334-1291109+26695</f>
        <v>579252</v>
      </c>
      <c r="F11" s="75"/>
      <c r="G11" s="75"/>
      <c r="H11" s="75"/>
      <c r="I11" s="75"/>
      <c r="J11" s="75">
        <f t="shared" si="0"/>
        <v>552557</v>
      </c>
      <c r="K11" s="75">
        <f t="shared" si="0"/>
        <v>579252</v>
      </c>
    </row>
    <row r="12" spans="1:11" s="6" customFormat="1" ht="13.5" thickBot="1">
      <c r="A12" s="40" t="s">
        <v>2</v>
      </c>
      <c r="B12" s="365" t="s">
        <v>10</v>
      </c>
      <c r="C12" s="366"/>
      <c r="D12" s="78">
        <f>SUM(D8:D11)</f>
        <v>5020427</v>
      </c>
      <c r="E12" s="78">
        <f>SUM(E8:E11)</f>
        <v>4909550</v>
      </c>
      <c r="F12" s="78"/>
      <c r="G12" s="78"/>
      <c r="H12" s="78"/>
      <c r="I12" s="78"/>
      <c r="J12" s="78">
        <f>SUM(J8:J11)</f>
        <v>5020427</v>
      </c>
      <c r="K12" s="78">
        <f>SUM(K8:K11)</f>
        <v>4909550</v>
      </c>
    </row>
    <row r="13" spans="1:11" s="6" customFormat="1" ht="12.75">
      <c r="A13" s="79"/>
      <c r="B13" s="371" t="s">
        <v>54</v>
      </c>
      <c r="C13" s="372"/>
      <c r="D13" s="80">
        <v>5000</v>
      </c>
      <c r="E13" s="80">
        <f>5000-2400</f>
        <v>2600</v>
      </c>
      <c r="F13" s="81"/>
      <c r="G13" s="139"/>
      <c r="H13" s="139"/>
      <c r="I13" s="139"/>
      <c r="J13" s="117">
        <f aca="true" t="shared" si="1" ref="J13:K18">SUM(D13)</f>
        <v>5000</v>
      </c>
      <c r="K13" s="117">
        <f t="shared" si="1"/>
        <v>2600</v>
      </c>
    </row>
    <row r="14" spans="1:11" s="6" customFormat="1" ht="12.75">
      <c r="A14" s="47"/>
      <c r="B14" s="367" t="s">
        <v>55</v>
      </c>
      <c r="C14" s="368"/>
      <c r="D14" s="82"/>
      <c r="E14" s="82"/>
      <c r="F14" s="83"/>
      <c r="G14" s="83"/>
      <c r="H14" s="83"/>
      <c r="I14" s="83"/>
      <c r="J14" s="118">
        <f t="shared" si="1"/>
        <v>0</v>
      </c>
      <c r="K14" s="118">
        <f t="shared" si="1"/>
        <v>0</v>
      </c>
    </row>
    <row r="15" spans="1:11" s="6" customFormat="1" ht="12.75">
      <c r="A15" s="84"/>
      <c r="B15" s="367" t="s">
        <v>56</v>
      </c>
      <c r="C15" s="368"/>
      <c r="D15" s="85"/>
      <c r="E15" s="85"/>
      <c r="F15" s="86"/>
      <c r="G15" s="86"/>
      <c r="H15" s="86"/>
      <c r="I15" s="86"/>
      <c r="J15" s="118">
        <f t="shared" si="1"/>
        <v>0</v>
      </c>
      <c r="K15" s="118">
        <f t="shared" si="1"/>
        <v>0</v>
      </c>
    </row>
    <row r="16" spans="1:11" s="6" customFormat="1" ht="12.75">
      <c r="A16" s="84"/>
      <c r="B16" s="367" t="s">
        <v>108</v>
      </c>
      <c r="C16" s="368"/>
      <c r="D16" s="85">
        <v>160000</v>
      </c>
      <c r="E16" s="85">
        <f>160000-13553</f>
        <v>146447</v>
      </c>
      <c r="F16" s="86"/>
      <c r="G16" s="86"/>
      <c r="H16" s="86"/>
      <c r="I16" s="86"/>
      <c r="J16" s="118">
        <f t="shared" si="1"/>
        <v>160000</v>
      </c>
      <c r="K16" s="118">
        <f t="shared" si="1"/>
        <v>146447</v>
      </c>
    </row>
    <row r="17" spans="1:11" s="6" customFormat="1" ht="12.75">
      <c r="A17" s="84"/>
      <c r="B17" s="367" t="s">
        <v>57</v>
      </c>
      <c r="C17" s="368"/>
      <c r="D17" s="85">
        <v>8210</v>
      </c>
      <c r="E17" s="85">
        <f>8210+16215</f>
        <v>24425</v>
      </c>
      <c r="F17" s="86"/>
      <c r="G17" s="86"/>
      <c r="H17" s="86"/>
      <c r="I17" s="86"/>
      <c r="J17" s="118">
        <f t="shared" si="1"/>
        <v>8210</v>
      </c>
      <c r="K17" s="118">
        <f t="shared" si="1"/>
        <v>24425</v>
      </c>
    </row>
    <row r="18" spans="1:11" s="6" customFormat="1" ht="13.5" thickBot="1">
      <c r="A18" s="84"/>
      <c r="B18" s="367" t="s">
        <v>58</v>
      </c>
      <c r="C18" s="368"/>
      <c r="D18" s="85"/>
      <c r="E18" s="85"/>
      <c r="F18" s="86"/>
      <c r="G18" s="139"/>
      <c r="H18" s="139"/>
      <c r="I18" s="139"/>
      <c r="J18" s="118">
        <f t="shared" si="1"/>
        <v>0</v>
      </c>
      <c r="K18" s="118">
        <f t="shared" si="1"/>
        <v>0</v>
      </c>
    </row>
    <row r="19" spans="1:11" ht="13.5" thickBot="1">
      <c r="A19" s="40" t="s">
        <v>3</v>
      </c>
      <c r="B19" s="365" t="s">
        <v>59</v>
      </c>
      <c r="C19" s="366"/>
      <c r="D19" s="78">
        <f>SUM(D13:D18)</f>
        <v>173210</v>
      </c>
      <c r="E19" s="78">
        <f>SUM(E13:E18)</f>
        <v>173472</v>
      </c>
      <c r="F19" s="78"/>
      <c r="G19" s="78"/>
      <c r="H19" s="78"/>
      <c r="I19" s="78"/>
      <c r="J19" s="78">
        <f>SUM(J13:J18)</f>
        <v>173210</v>
      </c>
      <c r="K19" s="78">
        <f>SUM(K13:K18)</f>
        <v>173472</v>
      </c>
    </row>
    <row r="20" spans="1:11" ht="22.5" customHeight="1" thickBot="1">
      <c r="A20" s="40" t="s">
        <v>6</v>
      </c>
      <c r="B20" s="366" t="s">
        <v>60</v>
      </c>
      <c r="C20" s="384"/>
      <c r="D20" s="87">
        <f>SUM(D12,D19)</f>
        <v>5193637</v>
      </c>
      <c r="E20" s="87">
        <f>SUM(E12,E19)</f>
        <v>5083022</v>
      </c>
      <c r="F20" s="87"/>
      <c r="G20" s="87"/>
      <c r="H20" s="87"/>
      <c r="I20" s="87"/>
      <c r="J20" s="87">
        <f>SUM(J12,J19)</f>
        <v>5193637</v>
      </c>
      <c r="K20" s="87">
        <f>SUM(K12,K19)</f>
        <v>5083022</v>
      </c>
    </row>
    <row r="21" spans="1:11" ht="12.75">
      <c r="A21" s="7"/>
      <c r="B21" s="8"/>
      <c r="C21" s="8"/>
      <c r="D21" s="9"/>
      <c r="E21" s="9"/>
      <c r="F21" s="10"/>
      <c r="G21" s="10"/>
      <c r="J21" s="12"/>
      <c r="K21" s="12"/>
    </row>
    <row r="22" spans="10:11" ht="12.75">
      <c r="J22" s="12"/>
      <c r="K22" s="12"/>
    </row>
    <row r="23" spans="10:11" ht="12.75">
      <c r="J23" s="12"/>
      <c r="K23" s="12"/>
    </row>
    <row r="24" spans="10:11" ht="12.75">
      <c r="J24" s="12"/>
      <c r="K24" s="12"/>
    </row>
    <row r="25" spans="10:11" ht="12.75">
      <c r="J25" s="12"/>
      <c r="K25" s="12"/>
    </row>
    <row r="26" spans="10:11" ht="12.75">
      <c r="J26" s="12"/>
      <c r="K26" s="12"/>
    </row>
    <row r="27" spans="10:11" ht="12.75">
      <c r="J27" s="12"/>
      <c r="K27" s="12"/>
    </row>
  </sheetData>
  <sheetProtection/>
  <mergeCells count="23">
    <mergeCell ref="A3:K3"/>
    <mergeCell ref="J5:K5"/>
    <mergeCell ref="B20:C20"/>
    <mergeCell ref="B18:C18"/>
    <mergeCell ref="A1:C1"/>
    <mergeCell ref="A6:C6"/>
    <mergeCell ref="F1:J1"/>
    <mergeCell ref="B12:C12"/>
    <mergeCell ref="J6:K6"/>
    <mergeCell ref="H6:I6"/>
    <mergeCell ref="B9:C9"/>
    <mergeCell ref="D6:E6"/>
    <mergeCell ref="A7:C7"/>
    <mergeCell ref="B17:C17"/>
    <mergeCell ref="B8:C8"/>
    <mergeCell ref="F6:G6"/>
    <mergeCell ref="B19:C19"/>
    <mergeCell ref="B16:C16"/>
    <mergeCell ref="B15:C15"/>
    <mergeCell ref="B14:C14"/>
    <mergeCell ref="B10:C10"/>
    <mergeCell ref="B13:C13"/>
    <mergeCell ref="B11:C11"/>
  </mergeCells>
  <printOptions/>
  <pageMargins left="0.4724409448818898" right="0.15748031496062992" top="1.062992125984252" bottom="0.2755905511811024" header="0.6299212598425197" footer="0.2755905511811024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2.625" style="11" customWidth="1"/>
    <col min="2" max="2" width="4.375" style="0" customWidth="1"/>
    <col min="3" max="3" width="25.75390625" style="0" customWidth="1"/>
    <col min="4" max="5" width="9.25390625" style="12" customWidth="1"/>
    <col min="6" max="11" width="9.25390625" style="0" customWidth="1"/>
  </cols>
  <sheetData>
    <row r="2" spans="1:11" ht="25.5" customHeight="1">
      <c r="A2" s="385"/>
      <c r="B2" s="385"/>
      <c r="C2" s="385"/>
      <c r="D2" s="4"/>
      <c r="E2" s="4"/>
      <c r="F2" s="387" t="s">
        <v>120</v>
      </c>
      <c r="G2" s="387"/>
      <c r="H2" s="387"/>
      <c r="I2" s="387"/>
      <c r="J2" s="387"/>
      <c r="K2" s="387"/>
    </row>
    <row r="3" spans="1:9" ht="25.5" customHeight="1">
      <c r="A3" s="4"/>
      <c r="B3" s="4"/>
      <c r="C3" s="4"/>
      <c r="D3" s="4"/>
      <c r="E3" s="4"/>
      <c r="F3" s="21"/>
      <c r="G3" s="21"/>
      <c r="H3" s="21"/>
      <c r="I3" s="21"/>
    </row>
    <row r="4" spans="1:11" ht="33" customHeight="1">
      <c r="A4" s="382" t="s">
        <v>149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7" ht="25.5" customHeight="1">
      <c r="A5" s="4"/>
      <c r="B5" s="4"/>
      <c r="C5" s="4"/>
      <c r="D5" s="5"/>
      <c r="E5" s="5"/>
      <c r="F5" s="4"/>
      <c r="G5" s="4"/>
    </row>
    <row r="6" spans="1:11" ht="17.25" customHeight="1" thickBot="1">
      <c r="A6" s="4"/>
      <c r="B6" s="4"/>
      <c r="C6" s="4"/>
      <c r="D6" s="5"/>
      <c r="E6" s="5"/>
      <c r="F6" s="4"/>
      <c r="G6" s="4"/>
      <c r="H6" s="383" t="s">
        <v>0</v>
      </c>
      <c r="I6" s="383"/>
      <c r="J6" s="383"/>
      <c r="K6" s="383"/>
    </row>
    <row r="7" spans="1:11" ht="63" customHeight="1" thickBot="1">
      <c r="A7" s="400" t="s">
        <v>1</v>
      </c>
      <c r="B7" s="401"/>
      <c r="C7" s="402"/>
      <c r="D7" s="406" t="s">
        <v>18</v>
      </c>
      <c r="E7" s="407"/>
      <c r="F7" s="406" t="s">
        <v>105</v>
      </c>
      <c r="G7" s="407"/>
      <c r="H7" s="410" t="s">
        <v>106</v>
      </c>
      <c r="I7" s="411"/>
      <c r="J7" s="412" t="s">
        <v>19</v>
      </c>
      <c r="K7" s="413"/>
    </row>
    <row r="8" spans="1:11" ht="27" customHeight="1" thickBot="1">
      <c r="A8" s="403"/>
      <c r="B8" s="404"/>
      <c r="C8" s="405"/>
      <c r="D8" s="248" t="s">
        <v>128</v>
      </c>
      <c r="E8" s="249" t="s">
        <v>131</v>
      </c>
      <c r="F8" s="248" t="s">
        <v>128</v>
      </c>
      <c r="G8" s="249" t="s">
        <v>131</v>
      </c>
      <c r="H8" s="248" t="s">
        <v>128</v>
      </c>
      <c r="I8" s="249" t="s">
        <v>131</v>
      </c>
      <c r="J8" s="248" t="s">
        <v>128</v>
      </c>
      <c r="K8" s="249" t="s">
        <v>131</v>
      </c>
    </row>
    <row r="9" spans="1:11" s="22" customFormat="1" ht="13.5" thickBot="1">
      <c r="A9" s="377">
        <v>1</v>
      </c>
      <c r="B9" s="378"/>
      <c r="C9" s="379"/>
      <c r="D9" s="250">
        <v>2</v>
      </c>
      <c r="E9" s="250">
        <v>3</v>
      </c>
      <c r="F9" s="250">
        <v>4</v>
      </c>
      <c r="G9" s="250">
        <v>5</v>
      </c>
      <c r="H9" s="250">
        <v>6</v>
      </c>
      <c r="I9" s="251">
        <v>7</v>
      </c>
      <c r="J9" s="251">
        <v>8</v>
      </c>
      <c r="K9" s="252">
        <v>9</v>
      </c>
    </row>
    <row r="10" spans="1:11" s="22" customFormat="1" ht="12.75">
      <c r="A10" s="266"/>
      <c r="B10" s="408" t="s">
        <v>7</v>
      </c>
      <c r="C10" s="409"/>
      <c r="D10" s="300"/>
      <c r="E10" s="300"/>
      <c r="F10" s="268">
        <v>72</v>
      </c>
      <c r="G10" s="268">
        <v>72</v>
      </c>
      <c r="H10" s="267"/>
      <c r="I10" s="267"/>
      <c r="J10" s="268">
        <f>SUM(F10)</f>
        <v>72</v>
      </c>
      <c r="K10" s="269">
        <f>SUM(G10)</f>
        <v>72</v>
      </c>
    </row>
    <row r="11" spans="1:11" s="22" customFormat="1" ht="12.75">
      <c r="A11" s="88"/>
      <c r="B11" s="397" t="s">
        <v>61</v>
      </c>
      <c r="C11" s="398"/>
      <c r="D11" s="85">
        <f>5295760-283761-225823-249413-179494</f>
        <v>4357269</v>
      </c>
      <c r="E11" s="85">
        <f>5295760-283761-225823-249413-179494-99006-114024-174034</f>
        <v>3970205</v>
      </c>
      <c r="F11" s="85">
        <f>135610-15748</f>
        <v>119862</v>
      </c>
      <c r="G11" s="85">
        <f>135610-15748</f>
        <v>119862</v>
      </c>
      <c r="H11" s="85"/>
      <c r="I11" s="85"/>
      <c r="J11" s="85">
        <f aca="true" t="shared" si="0" ref="J11:K19">SUM(D11,F11,H11)</f>
        <v>4477131</v>
      </c>
      <c r="K11" s="85">
        <f t="shared" si="0"/>
        <v>4090067</v>
      </c>
    </row>
    <row r="12" spans="1:11" s="22" customFormat="1" ht="12.75">
      <c r="A12" s="89"/>
      <c r="B12" s="395" t="s">
        <v>62</v>
      </c>
      <c r="C12" s="396"/>
      <c r="D12" s="82">
        <f>577000+6217</f>
        <v>583217</v>
      </c>
      <c r="E12" s="82">
        <f>577000+6217</f>
        <v>583217</v>
      </c>
      <c r="F12" s="82">
        <f>622634-22047</f>
        <v>600587</v>
      </c>
      <c r="G12" s="82">
        <f>622634-22047</f>
        <v>600587</v>
      </c>
      <c r="H12" s="85"/>
      <c r="I12" s="85"/>
      <c r="J12" s="85">
        <f t="shared" si="0"/>
        <v>1183804</v>
      </c>
      <c r="K12" s="85">
        <f t="shared" si="0"/>
        <v>1183804</v>
      </c>
    </row>
    <row r="13" spans="1:11" s="22" customFormat="1" ht="12.75">
      <c r="A13" s="89"/>
      <c r="B13" s="395" t="s">
        <v>63</v>
      </c>
      <c r="C13" s="396"/>
      <c r="D13" s="82">
        <v>2688</v>
      </c>
      <c r="E13" s="82">
        <v>0</v>
      </c>
      <c r="F13" s="82"/>
      <c r="G13" s="82"/>
      <c r="H13" s="85"/>
      <c r="I13" s="85"/>
      <c r="J13" s="85">
        <f t="shared" si="0"/>
        <v>2688</v>
      </c>
      <c r="K13" s="85">
        <f t="shared" si="0"/>
        <v>0</v>
      </c>
    </row>
    <row r="14" spans="1:11" s="22" customFormat="1" ht="12.75">
      <c r="A14" s="89"/>
      <c r="B14" s="395" t="s">
        <v>64</v>
      </c>
      <c r="C14" s="396"/>
      <c r="D14" s="82">
        <f>49211-14400</f>
        <v>34811</v>
      </c>
      <c r="E14" s="82">
        <f>49211-14400-801</f>
        <v>34010</v>
      </c>
      <c r="F14" s="82"/>
      <c r="G14" s="82"/>
      <c r="H14" s="82">
        <v>67409</v>
      </c>
      <c r="I14" s="82">
        <v>67409</v>
      </c>
      <c r="J14" s="85">
        <f t="shared" si="0"/>
        <v>102220</v>
      </c>
      <c r="K14" s="85">
        <f t="shared" si="0"/>
        <v>101419</v>
      </c>
    </row>
    <row r="15" spans="1:11" s="22" customFormat="1" ht="12.75">
      <c r="A15" s="89"/>
      <c r="B15" s="395" t="s">
        <v>65</v>
      </c>
      <c r="C15" s="399"/>
      <c r="D15" s="82">
        <f>1597834-137588-115805</f>
        <v>1344441</v>
      </c>
      <c r="E15" s="82">
        <f>1597834-137588-115805-104506</f>
        <v>1239935</v>
      </c>
      <c r="F15" s="82">
        <f>186752-5953-4252</f>
        <v>176547</v>
      </c>
      <c r="G15" s="82">
        <f>186752-5953-4252</f>
        <v>176547</v>
      </c>
      <c r="H15" s="82">
        <v>17391</v>
      </c>
      <c r="I15" s="82">
        <v>17391</v>
      </c>
      <c r="J15" s="85">
        <f t="shared" si="0"/>
        <v>1538379</v>
      </c>
      <c r="K15" s="85">
        <f t="shared" si="0"/>
        <v>1433873</v>
      </c>
    </row>
    <row r="16" spans="1:11" s="22" customFormat="1" ht="12.75">
      <c r="A16" s="89"/>
      <c r="B16" s="397" t="s">
        <v>69</v>
      </c>
      <c r="C16" s="398"/>
      <c r="D16" s="82"/>
      <c r="E16" s="82"/>
      <c r="F16" s="82"/>
      <c r="G16" s="82"/>
      <c r="H16" s="85"/>
      <c r="I16" s="85"/>
      <c r="J16" s="85">
        <f t="shared" si="0"/>
        <v>0</v>
      </c>
      <c r="K16" s="85">
        <f t="shared" si="0"/>
        <v>0</v>
      </c>
    </row>
    <row r="17" spans="1:11" s="22" customFormat="1" ht="12.75">
      <c r="A17" s="89"/>
      <c r="B17" s="395" t="s">
        <v>70</v>
      </c>
      <c r="C17" s="396"/>
      <c r="D17" s="82"/>
      <c r="E17" s="82"/>
      <c r="F17" s="82"/>
      <c r="G17" s="82"/>
      <c r="H17" s="85"/>
      <c r="I17" s="85"/>
      <c r="J17" s="85">
        <f t="shared" si="0"/>
        <v>0</v>
      </c>
      <c r="K17" s="85">
        <f t="shared" si="0"/>
        <v>0</v>
      </c>
    </row>
    <row r="18" spans="1:11" s="22" customFormat="1" ht="12.75">
      <c r="A18" s="89"/>
      <c r="B18" s="395" t="s">
        <v>71</v>
      </c>
      <c r="C18" s="399"/>
      <c r="D18" s="90"/>
      <c r="E18" s="90"/>
      <c r="F18" s="82">
        <v>167</v>
      </c>
      <c r="G18" s="82">
        <v>167</v>
      </c>
      <c r="H18" s="140"/>
      <c r="I18" s="140"/>
      <c r="J18" s="85">
        <f t="shared" si="0"/>
        <v>167</v>
      </c>
      <c r="K18" s="85">
        <f t="shared" si="0"/>
        <v>167</v>
      </c>
    </row>
    <row r="19" spans="1:11" s="22" customFormat="1" ht="13.5" thickBot="1">
      <c r="A19" s="89"/>
      <c r="B19" s="395" t="s">
        <v>33</v>
      </c>
      <c r="C19" s="396"/>
      <c r="D19" s="90">
        <f>247060+193748</f>
        <v>440808</v>
      </c>
      <c r="E19" s="90">
        <f>247060+193748-9431</f>
        <v>431377</v>
      </c>
      <c r="F19" s="82">
        <v>62425</v>
      </c>
      <c r="G19" s="82">
        <v>62425</v>
      </c>
      <c r="H19" s="153"/>
      <c r="I19" s="153"/>
      <c r="J19" s="85">
        <f t="shared" si="0"/>
        <v>503233</v>
      </c>
      <c r="K19" s="85">
        <f t="shared" si="0"/>
        <v>493802</v>
      </c>
    </row>
    <row r="20" spans="1:11" s="23" customFormat="1" ht="16.5" customHeight="1" thickBot="1">
      <c r="A20" s="91" t="s">
        <v>31</v>
      </c>
      <c r="B20" s="393" t="s">
        <v>35</v>
      </c>
      <c r="C20" s="394"/>
      <c r="D20" s="92">
        <f>SUM(D10:D19)</f>
        <v>6763234</v>
      </c>
      <c r="E20" s="92">
        <f aca="true" t="shared" si="1" ref="E20:K20">SUM(E10:E19)</f>
        <v>6258744</v>
      </c>
      <c r="F20" s="92">
        <f t="shared" si="1"/>
        <v>959660</v>
      </c>
      <c r="G20" s="92">
        <f t="shared" si="1"/>
        <v>959660</v>
      </c>
      <c r="H20" s="92">
        <f t="shared" si="1"/>
        <v>84800</v>
      </c>
      <c r="I20" s="92">
        <f t="shared" si="1"/>
        <v>84800</v>
      </c>
      <c r="J20" s="92">
        <f t="shared" si="1"/>
        <v>7807694</v>
      </c>
      <c r="K20" s="92">
        <f t="shared" si="1"/>
        <v>7303204</v>
      </c>
    </row>
    <row r="22" spans="6:10" ht="12.75">
      <c r="F22" s="265"/>
      <c r="J22" s="12"/>
    </row>
    <row r="23" spans="5:7" ht="12.75">
      <c r="E23" s="12">
        <f>SUM(E20-D20)</f>
        <v>-504490</v>
      </c>
      <c r="F23" s="12"/>
      <c r="G23" s="12"/>
    </row>
  </sheetData>
  <sheetProtection/>
  <mergeCells count="21">
    <mergeCell ref="A2:C2"/>
    <mergeCell ref="F2:K2"/>
    <mergeCell ref="A4:K4"/>
    <mergeCell ref="H6:K6"/>
    <mergeCell ref="F7:G7"/>
    <mergeCell ref="H7:I7"/>
    <mergeCell ref="J7:K7"/>
    <mergeCell ref="A9:C9"/>
    <mergeCell ref="B14:C14"/>
    <mergeCell ref="A7:C8"/>
    <mergeCell ref="D7:E7"/>
    <mergeCell ref="B18:C18"/>
    <mergeCell ref="B11:C11"/>
    <mergeCell ref="B10:C10"/>
    <mergeCell ref="B12:C12"/>
    <mergeCell ref="B20:C20"/>
    <mergeCell ref="B13:C13"/>
    <mergeCell ref="B17:C17"/>
    <mergeCell ref="B19:C19"/>
    <mergeCell ref="B16:C16"/>
    <mergeCell ref="B15:C15"/>
  </mergeCells>
  <printOptions/>
  <pageMargins left="0.6692913385826772" right="0.15748031496062992" top="1.062992125984252" bottom="0.2755905511811024" header="0.6299212598425197" footer="0.275590551181102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3.125" style="2" customWidth="1"/>
    <col min="2" max="2" width="44.625" style="2" customWidth="1"/>
    <col min="3" max="8" width="9.75390625" style="2" customWidth="1"/>
    <col min="9" max="10" width="9.75390625" style="3" customWidth="1"/>
    <col min="11" max="16384" width="9.125" style="2" customWidth="1"/>
  </cols>
  <sheetData>
    <row r="1" spans="7:9" ht="12.75">
      <c r="G1" s="414" t="s">
        <v>121</v>
      </c>
      <c r="H1" s="414"/>
      <c r="I1" s="414"/>
    </row>
    <row r="2" spans="5:8" ht="12.75">
      <c r="E2" s="414"/>
      <c r="F2" s="414"/>
      <c r="G2" s="414"/>
      <c r="H2" s="270"/>
    </row>
    <row r="3" spans="1:10" ht="31.5" customHeight="1">
      <c r="A3" s="351" t="s">
        <v>141</v>
      </c>
      <c r="B3" s="351"/>
      <c r="C3" s="351"/>
      <c r="D3" s="351"/>
      <c r="E3" s="351"/>
      <c r="F3" s="351"/>
      <c r="G3" s="351"/>
      <c r="H3" s="351"/>
      <c r="I3" s="351"/>
      <c r="J3" s="351"/>
    </row>
    <row r="4" spans="1:8" ht="15.75" customHeight="1">
      <c r="A4" s="13"/>
      <c r="B4" s="13"/>
      <c r="C4" s="13"/>
      <c r="D4" s="13"/>
      <c r="E4" s="13"/>
      <c r="F4" s="13"/>
      <c r="G4" s="13"/>
      <c r="H4" s="13"/>
    </row>
    <row r="5" spans="1:8" ht="21" customHeight="1">
      <c r="A5" s="13"/>
      <c r="B5" s="13"/>
      <c r="C5" s="13"/>
      <c r="D5" s="13"/>
      <c r="E5" s="13"/>
      <c r="F5" s="13"/>
      <c r="G5" s="13"/>
      <c r="H5" s="13"/>
    </row>
    <row r="6" spans="1:10" ht="16.5" customHeight="1" thickBot="1">
      <c r="A6" s="16"/>
      <c r="B6" s="16"/>
      <c r="C6" s="16"/>
      <c r="D6" s="16"/>
      <c r="E6" s="16"/>
      <c r="F6" s="16"/>
      <c r="G6" s="350" t="s">
        <v>0</v>
      </c>
      <c r="H6" s="350"/>
      <c r="I6" s="350"/>
      <c r="J6" s="350"/>
    </row>
    <row r="7" spans="1:10" ht="75" customHeight="1" thickBot="1">
      <c r="A7" s="359" t="s">
        <v>1</v>
      </c>
      <c r="B7" s="360"/>
      <c r="C7" s="375" t="s">
        <v>18</v>
      </c>
      <c r="D7" s="376"/>
      <c r="E7" s="375" t="s">
        <v>105</v>
      </c>
      <c r="F7" s="376"/>
      <c r="G7" s="375" t="s">
        <v>106</v>
      </c>
      <c r="H7" s="376"/>
      <c r="I7" s="389" t="s">
        <v>19</v>
      </c>
      <c r="J7" s="390"/>
    </row>
    <row r="8" spans="1:10" s="15" customFormat="1" ht="24.75" customHeight="1" thickBot="1">
      <c r="A8" s="363"/>
      <c r="B8" s="364"/>
      <c r="C8" s="248" t="s">
        <v>128</v>
      </c>
      <c r="D8" s="249" t="s">
        <v>131</v>
      </c>
      <c r="E8" s="248" t="s">
        <v>128</v>
      </c>
      <c r="F8" s="249" t="s">
        <v>131</v>
      </c>
      <c r="G8" s="248" t="s">
        <v>128</v>
      </c>
      <c r="H8" s="249" t="s">
        <v>131</v>
      </c>
      <c r="I8" s="248" t="s">
        <v>128</v>
      </c>
      <c r="J8" s="249" t="s">
        <v>131</v>
      </c>
    </row>
    <row r="9" spans="1:10" s="15" customFormat="1" ht="15" customHeight="1" thickBot="1">
      <c r="A9" s="415" t="s">
        <v>2</v>
      </c>
      <c r="B9" s="416"/>
      <c r="C9" s="35">
        <v>2</v>
      </c>
      <c r="D9" s="35">
        <v>3</v>
      </c>
      <c r="E9" s="115">
        <v>4</v>
      </c>
      <c r="F9" s="115">
        <v>5</v>
      </c>
      <c r="G9" s="115">
        <v>6</v>
      </c>
      <c r="H9" s="115">
        <v>7</v>
      </c>
      <c r="I9" s="272">
        <v>8</v>
      </c>
      <c r="J9" s="275">
        <v>9</v>
      </c>
    </row>
    <row r="10" spans="1:10" s="15" customFormat="1" ht="24">
      <c r="A10" s="297"/>
      <c r="B10" s="68" t="s">
        <v>72</v>
      </c>
      <c r="C10" s="52"/>
      <c r="D10" s="52"/>
      <c r="E10" s="51"/>
      <c r="F10" s="51"/>
      <c r="G10" s="51"/>
      <c r="H10" s="51"/>
      <c r="I10" s="232"/>
      <c r="J10" s="232"/>
    </row>
    <row r="11" spans="1:10" s="15" customFormat="1" ht="12.75">
      <c r="A11" s="69"/>
      <c r="B11" s="68"/>
      <c r="C11" s="52"/>
      <c r="D11" s="52"/>
      <c r="E11" s="51"/>
      <c r="F11" s="51"/>
      <c r="G11" s="51"/>
      <c r="H11" s="51"/>
      <c r="I11" s="232"/>
      <c r="J11" s="232"/>
    </row>
    <row r="12" spans="1:10" s="15" customFormat="1" ht="12.75">
      <c r="A12" s="69"/>
      <c r="B12" s="68" t="s">
        <v>161</v>
      </c>
      <c r="C12" s="52"/>
      <c r="D12" s="52">
        <v>866</v>
      </c>
      <c r="E12" s="51"/>
      <c r="F12" s="51"/>
      <c r="G12" s="51"/>
      <c r="H12" s="51"/>
      <c r="I12" s="232"/>
      <c r="J12" s="232">
        <f aca="true" t="shared" si="0" ref="J12:J17">SUM(D12)</f>
        <v>866</v>
      </c>
    </row>
    <row r="13" spans="1:10" s="15" customFormat="1" ht="12.75">
      <c r="A13" s="69"/>
      <c r="B13" s="68" t="s">
        <v>127</v>
      </c>
      <c r="C13" s="52">
        <v>300000</v>
      </c>
      <c r="D13" s="52">
        <f>300000-1916</f>
        <v>298084</v>
      </c>
      <c r="E13" s="51"/>
      <c r="F13" s="51"/>
      <c r="G13" s="51"/>
      <c r="H13" s="51"/>
      <c r="I13" s="232">
        <f>SUM(C13)</f>
        <v>300000</v>
      </c>
      <c r="J13" s="232">
        <f t="shared" si="0"/>
        <v>298084</v>
      </c>
    </row>
    <row r="14" spans="1:10" s="15" customFormat="1" ht="12.75">
      <c r="A14" s="66"/>
      <c r="B14" s="65" t="s">
        <v>147</v>
      </c>
      <c r="C14" s="301">
        <v>443866</v>
      </c>
      <c r="D14" s="301">
        <v>443866</v>
      </c>
      <c r="E14" s="38"/>
      <c r="F14" s="38"/>
      <c r="G14" s="38"/>
      <c r="H14" s="38"/>
      <c r="I14" s="313">
        <f>SUM(C14)</f>
        <v>443866</v>
      </c>
      <c r="J14" s="313">
        <f t="shared" si="0"/>
        <v>443866</v>
      </c>
    </row>
    <row r="15" spans="1:10" s="15" customFormat="1" ht="24">
      <c r="A15" s="69"/>
      <c r="B15" s="68" t="s">
        <v>154</v>
      </c>
      <c r="C15" s="52">
        <v>2824833</v>
      </c>
      <c r="D15" s="52">
        <v>2824833</v>
      </c>
      <c r="E15" s="51"/>
      <c r="F15" s="51"/>
      <c r="G15" s="51"/>
      <c r="H15" s="51"/>
      <c r="I15" s="313">
        <f>SUM(C15)</f>
        <v>2824833</v>
      </c>
      <c r="J15" s="313">
        <f t="shared" si="0"/>
        <v>2824833</v>
      </c>
    </row>
    <row r="16" spans="1:10" s="15" customFormat="1" ht="24">
      <c r="A16" s="69"/>
      <c r="B16" s="68" t="s">
        <v>155</v>
      </c>
      <c r="C16" s="52">
        <v>110000</v>
      </c>
      <c r="D16" s="52">
        <v>110000</v>
      </c>
      <c r="E16" s="51"/>
      <c r="F16" s="51"/>
      <c r="G16" s="51"/>
      <c r="H16" s="51"/>
      <c r="I16" s="232">
        <f>SUM(C16)</f>
        <v>110000</v>
      </c>
      <c r="J16" s="232">
        <f t="shared" si="0"/>
        <v>110000</v>
      </c>
    </row>
    <row r="17" spans="1:10" s="15" customFormat="1" ht="24">
      <c r="A17" s="66"/>
      <c r="B17" s="65" t="s">
        <v>162</v>
      </c>
      <c r="C17" s="301"/>
      <c r="D17" s="301">
        <v>3120665</v>
      </c>
      <c r="E17" s="38"/>
      <c r="F17" s="38"/>
      <c r="G17" s="38"/>
      <c r="H17" s="38"/>
      <c r="I17" s="312"/>
      <c r="J17" s="312">
        <f t="shared" si="0"/>
        <v>3120665</v>
      </c>
    </row>
    <row r="18" spans="1:10" s="15" customFormat="1" ht="13.5" thickBot="1">
      <c r="A18" s="320"/>
      <c r="B18" s="321"/>
      <c r="C18" s="322"/>
      <c r="D18" s="322"/>
      <c r="E18" s="285"/>
      <c r="F18" s="285"/>
      <c r="G18" s="285"/>
      <c r="H18" s="285"/>
      <c r="I18" s="323"/>
      <c r="J18" s="323"/>
    </row>
    <row r="19" spans="1:10" ht="25.5" customHeight="1" thickBot="1">
      <c r="A19" s="30" t="s">
        <v>41</v>
      </c>
      <c r="B19" s="24" t="s">
        <v>73</v>
      </c>
      <c r="C19" s="17">
        <f>SUM(C13:C18)</f>
        <v>3678699</v>
      </c>
      <c r="D19" s="17">
        <f>SUM(D12:D18)</f>
        <v>6798314</v>
      </c>
      <c r="E19" s="17">
        <f>SUM(E13:E13)</f>
        <v>0</v>
      </c>
      <c r="F19" s="17"/>
      <c r="G19" s="17">
        <f>SUM(G13:G13)</f>
        <v>0</v>
      </c>
      <c r="H19" s="17"/>
      <c r="I19" s="17">
        <f>SUM(I10:I16)</f>
        <v>3678699</v>
      </c>
      <c r="J19" s="17">
        <f>SUM(J10:J17)</f>
        <v>6798314</v>
      </c>
    </row>
    <row r="21" spans="3:4" ht="12.75">
      <c r="C21" s="3"/>
      <c r="D21" s="3"/>
    </row>
    <row r="22" spans="3:4" ht="12.75">
      <c r="C22" s="3"/>
      <c r="D22" s="3"/>
    </row>
    <row r="23" spans="3:4" ht="12.75">
      <c r="C23" s="3"/>
      <c r="D23" s="3"/>
    </row>
    <row r="26" spans="5:6" ht="12.75">
      <c r="E26" s="3"/>
      <c r="F26" s="3"/>
    </row>
    <row r="28" spans="5:6" ht="12.75">
      <c r="E28" s="3"/>
      <c r="F28" s="3"/>
    </row>
  </sheetData>
  <sheetProtection/>
  <mergeCells count="10">
    <mergeCell ref="A3:J3"/>
    <mergeCell ref="G6:J6"/>
    <mergeCell ref="A7:B8"/>
    <mergeCell ref="G1:I1"/>
    <mergeCell ref="A9:B9"/>
    <mergeCell ref="E2:G2"/>
    <mergeCell ref="I7:J7"/>
    <mergeCell ref="C7:D7"/>
    <mergeCell ref="E7:F7"/>
    <mergeCell ref="G7:H7"/>
  </mergeCells>
  <printOptions/>
  <pageMargins left="0.2755905511811024" right="0.15748031496062992" top="1.062992125984252" bottom="0.2755905511811024" header="0.6299212598425197" footer="0.2755905511811024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11" width="9.75390625" style="2" customWidth="1"/>
    <col min="12" max="16384" width="9.125" style="2" customWidth="1"/>
  </cols>
  <sheetData>
    <row r="1" spans="6:10" ht="12.75">
      <c r="F1" s="414" t="s">
        <v>122</v>
      </c>
      <c r="G1" s="414"/>
      <c r="H1" s="414"/>
      <c r="I1" s="414"/>
      <c r="J1" s="414"/>
    </row>
    <row r="4" spans="1:11" ht="19.5" customHeight="1">
      <c r="A4" s="351" t="s">
        <v>142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</row>
    <row r="5" spans="1:11" ht="19.5" customHeight="1">
      <c r="A5" s="351" t="s">
        <v>20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</row>
    <row r="6" spans="3:9" ht="19.5" customHeight="1">
      <c r="C6" s="13"/>
      <c r="D6" s="13"/>
      <c r="E6" s="13"/>
      <c r="F6" s="13"/>
      <c r="G6" s="13"/>
      <c r="H6" s="13"/>
      <c r="I6" s="13"/>
    </row>
    <row r="7" spans="3:11" ht="19.5" customHeight="1" thickBot="1">
      <c r="C7" s="14"/>
      <c r="D7" s="14"/>
      <c r="E7" s="14"/>
      <c r="F7" s="14"/>
      <c r="G7" s="14"/>
      <c r="H7" s="424" t="s">
        <v>0</v>
      </c>
      <c r="I7" s="424"/>
      <c r="J7" s="424"/>
      <c r="K7" s="424"/>
    </row>
    <row r="8" spans="1:11" ht="78" customHeight="1" thickBot="1">
      <c r="A8" s="359" t="s">
        <v>1</v>
      </c>
      <c r="B8" s="386"/>
      <c r="C8" s="360"/>
      <c r="D8" s="375" t="s">
        <v>18</v>
      </c>
      <c r="E8" s="376"/>
      <c r="F8" s="375" t="s">
        <v>105</v>
      </c>
      <c r="G8" s="376"/>
      <c r="H8" s="375" t="s">
        <v>106</v>
      </c>
      <c r="I8" s="376"/>
      <c r="J8" s="389" t="s">
        <v>19</v>
      </c>
      <c r="K8" s="390"/>
    </row>
    <row r="9" spans="1:11" ht="24.75" customHeight="1" thickBot="1">
      <c r="A9" s="363"/>
      <c r="B9" s="417"/>
      <c r="C9" s="364"/>
      <c r="D9" s="248" t="s">
        <v>128</v>
      </c>
      <c r="E9" s="249" t="s">
        <v>131</v>
      </c>
      <c r="F9" s="248" t="s">
        <v>128</v>
      </c>
      <c r="G9" s="249" t="s">
        <v>131</v>
      </c>
      <c r="H9" s="248" t="s">
        <v>128</v>
      </c>
      <c r="I9" s="249" t="s">
        <v>131</v>
      </c>
      <c r="J9" s="248" t="s">
        <v>128</v>
      </c>
      <c r="K9" s="249" t="s">
        <v>131</v>
      </c>
    </row>
    <row r="10" spans="1:11" ht="19.5" customHeight="1" thickBot="1">
      <c r="A10" s="377">
        <v>1</v>
      </c>
      <c r="B10" s="378"/>
      <c r="C10" s="379"/>
      <c r="D10" s="35">
        <v>2</v>
      </c>
      <c r="E10" s="35">
        <v>3</v>
      </c>
      <c r="F10" s="35">
        <v>4</v>
      </c>
      <c r="G10" s="35">
        <v>5</v>
      </c>
      <c r="H10" s="35">
        <v>6</v>
      </c>
      <c r="I10" s="35">
        <v>7</v>
      </c>
      <c r="J10" s="272">
        <v>8</v>
      </c>
      <c r="K10" s="276">
        <v>9</v>
      </c>
    </row>
    <row r="11" spans="1:11" ht="19.5" customHeight="1">
      <c r="A11" s="93"/>
      <c r="B11" s="422" t="s">
        <v>12</v>
      </c>
      <c r="C11" s="423"/>
      <c r="D11" s="94"/>
      <c r="E11" s="94"/>
      <c r="F11" s="95"/>
      <c r="G11" s="277"/>
      <c r="H11" s="96"/>
      <c r="I11" s="96"/>
      <c r="J11" s="155"/>
      <c r="K11" s="155"/>
    </row>
    <row r="12" spans="1:11" ht="17.25" customHeight="1">
      <c r="A12" s="97"/>
      <c r="B12" s="420" t="s">
        <v>13</v>
      </c>
      <c r="C12" s="421"/>
      <c r="D12" s="18"/>
      <c r="E12" s="18"/>
      <c r="F12" s="70"/>
      <c r="G12" s="70"/>
      <c r="H12" s="98"/>
      <c r="I12" s="98"/>
      <c r="J12" s="156"/>
      <c r="K12" s="156"/>
    </row>
    <row r="13" spans="1:11" ht="19.5" customHeight="1">
      <c r="A13" s="97"/>
      <c r="B13" s="420" t="s">
        <v>103</v>
      </c>
      <c r="C13" s="421"/>
      <c r="D13" s="32">
        <f>85645+685039+401035+314645+15000</f>
        <v>1501364</v>
      </c>
      <c r="E13" s="32">
        <f>85645+685039+401035+314645+15000+883894</f>
        <v>2385258</v>
      </c>
      <c r="F13" s="32"/>
      <c r="G13" s="32"/>
      <c r="H13" s="98"/>
      <c r="I13" s="154"/>
      <c r="J13" s="154">
        <f>SUM(D13,F13,H13)</f>
        <v>1501364</v>
      </c>
      <c r="K13" s="154">
        <f>SUM(E13)</f>
        <v>2385258</v>
      </c>
    </row>
    <row r="14" spans="1:11" ht="19.5" customHeight="1">
      <c r="A14" s="97"/>
      <c r="B14" s="420" t="s">
        <v>68</v>
      </c>
      <c r="C14" s="421"/>
      <c r="D14" s="70">
        <v>150000</v>
      </c>
      <c r="E14" s="70">
        <f>150000+14177</f>
        <v>164177</v>
      </c>
      <c r="F14" s="70"/>
      <c r="G14" s="70"/>
      <c r="H14" s="98"/>
      <c r="I14" s="98"/>
      <c r="J14" s="98">
        <f>SUM(D14,F14,H14)</f>
        <v>150000</v>
      </c>
      <c r="K14" s="154">
        <f>SUM(E14)</f>
        <v>164177</v>
      </c>
    </row>
    <row r="15" spans="1:11" ht="19.5" customHeight="1">
      <c r="A15" s="97"/>
      <c r="B15" s="420" t="s">
        <v>66</v>
      </c>
      <c r="C15" s="421"/>
      <c r="D15" s="70"/>
      <c r="E15" s="70">
        <v>120</v>
      </c>
      <c r="F15" s="70">
        <v>103</v>
      </c>
      <c r="G15" s="70">
        <v>103</v>
      </c>
      <c r="H15" s="98"/>
      <c r="I15" s="98"/>
      <c r="J15" s="98">
        <f>SUM(D15,F15,H15)</f>
        <v>103</v>
      </c>
      <c r="K15" s="98">
        <f>SUM(E15,G15,I15)</f>
        <v>223</v>
      </c>
    </row>
    <row r="16" spans="1:11" ht="19.5" customHeight="1" thickBot="1">
      <c r="A16" s="97"/>
      <c r="B16" s="420" t="s">
        <v>67</v>
      </c>
      <c r="C16" s="421"/>
      <c r="D16" s="19"/>
      <c r="E16" s="19"/>
      <c r="F16" s="19"/>
      <c r="G16" s="19"/>
      <c r="H16" s="99"/>
      <c r="I16" s="99"/>
      <c r="J16" s="98">
        <f>SUM(D16,F16,H16)</f>
        <v>0</v>
      </c>
      <c r="K16" s="154">
        <f>SUM(E16)</f>
        <v>0</v>
      </c>
    </row>
    <row r="17" spans="1:11" ht="27" customHeight="1" thickBot="1">
      <c r="A17" s="100" t="s">
        <v>85</v>
      </c>
      <c r="B17" s="418" t="s">
        <v>21</v>
      </c>
      <c r="C17" s="419"/>
      <c r="D17" s="101">
        <f>SUM(D13:D16)</f>
        <v>1651364</v>
      </c>
      <c r="E17" s="101">
        <f>SUM(E13:E16)</f>
        <v>2549555</v>
      </c>
      <c r="F17" s="101">
        <f>SUM(F15:F16)</f>
        <v>103</v>
      </c>
      <c r="G17" s="101">
        <f>SUM(G15:G16)</f>
        <v>103</v>
      </c>
      <c r="H17" s="101"/>
      <c r="I17" s="101"/>
      <c r="J17" s="17">
        <f>SUM(J13:J16)</f>
        <v>1651467</v>
      </c>
      <c r="K17" s="17">
        <f>SUM(K13:K16)</f>
        <v>2549658</v>
      </c>
    </row>
    <row r="18" spans="3:7" ht="12.75">
      <c r="C18" s="15"/>
      <c r="D18" s="15"/>
      <c r="E18" s="15"/>
      <c r="F18" s="15"/>
      <c r="G18" s="15"/>
    </row>
    <row r="20" spans="4:5" ht="12.75">
      <c r="D20" s="3"/>
      <c r="E20" s="3"/>
    </row>
    <row r="25" spans="4:5" ht="12.75">
      <c r="D25" s="3"/>
      <c r="E25" s="3"/>
    </row>
    <row r="27" spans="4:5" ht="12.75">
      <c r="D27" s="3"/>
      <c r="E27" s="3"/>
    </row>
  </sheetData>
  <sheetProtection/>
  <mergeCells count="17">
    <mergeCell ref="A4:K4"/>
    <mergeCell ref="A5:K5"/>
    <mergeCell ref="H7:K7"/>
    <mergeCell ref="F1:J1"/>
    <mergeCell ref="B14:C14"/>
    <mergeCell ref="A10:C10"/>
    <mergeCell ref="J8:K8"/>
    <mergeCell ref="D8:E8"/>
    <mergeCell ref="F8:G8"/>
    <mergeCell ref="H8:I8"/>
    <mergeCell ref="A8:C9"/>
    <mergeCell ref="B17:C17"/>
    <mergeCell ref="B13:C13"/>
    <mergeCell ref="B15:C15"/>
    <mergeCell ref="B16:C16"/>
    <mergeCell ref="B11:C11"/>
    <mergeCell ref="B12:C12"/>
  </mergeCells>
  <printOptions/>
  <pageMargins left="0.4724409448818898" right="0.15748031496062992" top="1.062992125984252" bottom="0.2755905511811024" header="0.6299212598425197" footer="0.275590551181102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26"/>
  <sheetViews>
    <sheetView zoomScalePageLayoutView="0" workbookViewId="0" topLeftCell="A10">
      <selection activeCell="M54" sqref="M54"/>
    </sheetView>
  </sheetViews>
  <sheetFormatPr defaultColWidth="9.00390625" defaultRowHeight="12.75"/>
  <cols>
    <col min="1" max="2" width="2.875" style="11" customWidth="1"/>
    <col min="3" max="3" width="38.00390625" style="0" customWidth="1"/>
    <col min="4" max="11" width="9.75390625" style="0" customWidth="1"/>
  </cols>
  <sheetData>
    <row r="1" spans="6:10" ht="12.75">
      <c r="F1" s="425" t="s">
        <v>124</v>
      </c>
      <c r="G1" s="425"/>
      <c r="H1" s="425"/>
      <c r="I1" s="425"/>
      <c r="J1" s="425"/>
    </row>
    <row r="2" spans="6:9" ht="12.75">
      <c r="F2" s="425"/>
      <c r="G2" s="425"/>
      <c r="H2" s="425"/>
      <c r="I2" s="271"/>
    </row>
    <row r="3" spans="1:9" ht="25.5" customHeight="1">
      <c r="A3" s="25"/>
      <c r="B3" s="25"/>
      <c r="C3" s="25"/>
      <c r="D3" s="25"/>
      <c r="E3" s="25"/>
      <c r="F3" s="25"/>
      <c r="G3" s="25"/>
      <c r="H3" s="125"/>
      <c r="I3" s="125"/>
    </row>
    <row r="4" spans="1:9" ht="56.25" customHeight="1">
      <c r="A4" s="4"/>
      <c r="B4" s="4"/>
      <c r="C4" s="4"/>
      <c r="D4" s="4"/>
      <c r="E4" s="4"/>
      <c r="F4" s="4"/>
      <c r="G4" s="4"/>
      <c r="H4" s="4"/>
      <c r="I4" s="4"/>
    </row>
    <row r="5" spans="1:11" ht="33" customHeight="1">
      <c r="A5" s="382" t="s">
        <v>144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</row>
    <row r="6" spans="1:9" ht="25.5" customHeight="1">
      <c r="A6" s="4"/>
      <c r="B6" s="4"/>
      <c r="C6" s="4"/>
      <c r="D6" s="4"/>
      <c r="E6" s="4"/>
      <c r="F6" s="4"/>
      <c r="G6" s="4"/>
      <c r="H6" s="4"/>
      <c r="I6" s="4"/>
    </row>
    <row r="7" spans="1:11" ht="17.25" customHeight="1" thickBot="1">
      <c r="A7" s="4"/>
      <c r="B7" s="4"/>
      <c r="C7" s="4"/>
      <c r="D7" s="4"/>
      <c r="E7" s="4"/>
      <c r="F7" s="4"/>
      <c r="G7" s="4"/>
      <c r="H7" s="426" t="s">
        <v>0</v>
      </c>
      <c r="I7" s="426"/>
      <c r="J7" s="426"/>
      <c r="K7" s="426"/>
    </row>
    <row r="8" spans="1:11" ht="76.5" customHeight="1" thickBot="1">
      <c r="A8" s="359" t="s">
        <v>1</v>
      </c>
      <c r="B8" s="386"/>
      <c r="C8" s="360"/>
      <c r="D8" s="375" t="s">
        <v>18</v>
      </c>
      <c r="E8" s="376"/>
      <c r="F8" s="375" t="s">
        <v>105</v>
      </c>
      <c r="G8" s="376"/>
      <c r="H8" s="375" t="s">
        <v>106</v>
      </c>
      <c r="I8" s="376"/>
      <c r="J8" s="389" t="s">
        <v>19</v>
      </c>
      <c r="K8" s="390"/>
    </row>
    <row r="9" spans="1:11" s="27" customFormat="1" ht="12.75" customHeight="1" thickBot="1">
      <c r="A9" s="377">
        <v>1</v>
      </c>
      <c r="B9" s="378"/>
      <c r="C9" s="379"/>
      <c r="D9" s="35">
        <v>2</v>
      </c>
      <c r="E9" s="35">
        <v>3</v>
      </c>
      <c r="F9" s="35">
        <v>4</v>
      </c>
      <c r="G9" s="35">
        <v>5</v>
      </c>
      <c r="H9" s="35">
        <v>6</v>
      </c>
      <c r="I9" s="35">
        <v>7</v>
      </c>
      <c r="J9" s="278">
        <v>8</v>
      </c>
      <c r="K9" s="279">
        <v>9</v>
      </c>
    </row>
    <row r="10" spans="1:11" s="2" customFormat="1" ht="27" customHeight="1" thickBot="1">
      <c r="A10" s="102"/>
      <c r="B10" s="429" t="s">
        <v>15</v>
      </c>
      <c r="C10" s="430"/>
      <c r="D10" s="116">
        <v>21819</v>
      </c>
      <c r="E10" s="116">
        <f>21819-6350</f>
        <v>15469</v>
      </c>
      <c r="F10" s="103"/>
      <c r="G10" s="103"/>
      <c r="H10" s="103"/>
      <c r="I10" s="103"/>
      <c r="J10" s="17">
        <f>SUM(D10,H10)</f>
        <v>21819</v>
      </c>
      <c r="K10" s="17">
        <f aca="true" t="shared" si="0" ref="J10:K14">SUM(E10)</f>
        <v>15469</v>
      </c>
    </row>
    <row r="11" spans="1:11" s="2" customFormat="1" ht="30.75" customHeight="1" thickBot="1">
      <c r="A11" s="102"/>
      <c r="B11" s="429" t="s">
        <v>16</v>
      </c>
      <c r="C11" s="430"/>
      <c r="D11" s="116">
        <v>875</v>
      </c>
      <c r="E11" s="116">
        <f>875+156</f>
        <v>1031</v>
      </c>
      <c r="F11" s="103"/>
      <c r="G11" s="103"/>
      <c r="H11" s="103"/>
      <c r="I11" s="103"/>
      <c r="J11" s="17">
        <f>SUM(D11,H11)</f>
        <v>875</v>
      </c>
      <c r="K11" s="17">
        <f t="shared" si="0"/>
        <v>1031</v>
      </c>
    </row>
    <row r="12" spans="1:11" s="2" customFormat="1" ht="27" customHeight="1" thickBot="1">
      <c r="A12" s="102"/>
      <c r="B12" s="431" t="s">
        <v>113</v>
      </c>
      <c r="C12" s="432"/>
      <c r="D12" s="116">
        <v>1300</v>
      </c>
      <c r="E12" s="116">
        <f>1300+217</f>
        <v>1517</v>
      </c>
      <c r="F12" s="103"/>
      <c r="G12" s="103"/>
      <c r="H12" s="103"/>
      <c r="I12" s="103"/>
      <c r="J12" s="17">
        <f>SUM(D12,H12)</f>
        <v>1300</v>
      </c>
      <c r="K12" s="17">
        <f t="shared" si="0"/>
        <v>1517</v>
      </c>
    </row>
    <row r="13" spans="1:11" s="2" customFormat="1" ht="27" customHeight="1" thickBot="1">
      <c r="A13" s="104" t="s">
        <v>2</v>
      </c>
      <c r="B13" s="427" t="s">
        <v>74</v>
      </c>
      <c r="C13" s="428"/>
      <c r="D13" s="103">
        <f>SUM(D10:D12)</f>
        <v>23994</v>
      </c>
      <c r="E13" s="103">
        <f>SUM(E10:E12)</f>
        <v>18017</v>
      </c>
      <c r="F13" s="103"/>
      <c r="G13" s="103"/>
      <c r="H13" s="103"/>
      <c r="I13" s="103"/>
      <c r="J13" s="17">
        <f>SUM(D13,H13)</f>
        <v>23994</v>
      </c>
      <c r="K13" s="17">
        <f t="shared" si="0"/>
        <v>18017</v>
      </c>
    </row>
    <row r="14" spans="1:11" s="1" customFormat="1" ht="21.75" customHeight="1" thickBot="1">
      <c r="A14" s="30"/>
      <c r="B14" s="433" t="s">
        <v>143</v>
      </c>
      <c r="C14" s="434"/>
      <c r="D14" s="299">
        <v>140000</v>
      </c>
      <c r="E14" s="299">
        <f>140000-8504</f>
        <v>131496</v>
      </c>
      <c r="F14" s="101"/>
      <c r="G14" s="101"/>
      <c r="H14" s="17"/>
      <c r="I14" s="298"/>
      <c r="J14" s="298">
        <f t="shared" si="0"/>
        <v>140000</v>
      </c>
      <c r="K14" s="298">
        <f t="shared" si="0"/>
        <v>131496</v>
      </c>
    </row>
    <row r="15" spans="1:11" s="1" customFormat="1" ht="25.5" customHeight="1" thickBot="1">
      <c r="A15" s="26" t="s">
        <v>3</v>
      </c>
      <c r="B15" s="427" t="s">
        <v>14</v>
      </c>
      <c r="C15" s="428"/>
      <c r="D15" s="17">
        <f>SUM(D14:D14)</f>
        <v>140000</v>
      </c>
      <c r="E15" s="17">
        <f>SUM(E14:E14)</f>
        <v>131496</v>
      </c>
      <c r="F15" s="17"/>
      <c r="G15" s="17"/>
      <c r="H15" s="17"/>
      <c r="I15" s="17"/>
      <c r="J15" s="17">
        <f>SUM(D15,H15)</f>
        <v>140000</v>
      </c>
      <c r="K15" s="17">
        <f>SUM(K14:K14)</f>
        <v>131496</v>
      </c>
    </row>
    <row r="16" spans="1:11" s="27" customFormat="1" ht="27" customHeight="1" thickBot="1">
      <c r="A16" s="105" t="s">
        <v>88</v>
      </c>
      <c r="B16" s="427" t="s">
        <v>75</v>
      </c>
      <c r="C16" s="428"/>
      <c r="D16" s="78">
        <f>SUM(D13,D15)</f>
        <v>163994</v>
      </c>
      <c r="E16" s="78">
        <f>SUM(E13,E15)</f>
        <v>149513</v>
      </c>
      <c r="F16" s="106"/>
      <c r="G16" s="106"/>
      <c r="H16" s="78"/>
      <c r="I16" s="107"/>
      <c r="J16" s="107">
        <f>SUM(J13,J15)</f>
        <v>163994</v>
      </c>
      <c r="K16" s="107">
        <f>SUM(K13,K15)</f>
        <v>149513</v>
      </c>
    </row>
    <row r="17" ht="12.75">
      <c r="J17" s="12"/>
    </row>
    <row r="18" ht="12.75">
      <c r="J18" s="12"/>
    </row>
    <row r="19" ht="12.75">
      <c r="J19" s="12"/>
    </row>
    <row r="24" spans="4:5" ht="12.75">
      <c r="D24" s="12"/>
      <c r="E24" s="12"/>
    </row>
    <row r="26" spans="4:5" ht="12.75">
      <c r="D26" s="12"/>
      <c r="E26" s="12"/>
    </row>
  </sheetData>
  <sheetProtection/>
  <mergeCells count="17">
    <mergeCell ref="B16:C16"/>
    <mergeCell ref="B10:C10"/>
    <mergeCell ref="B11:C11"/>
    <mergeCell ref="B12:C12"/>
    <mergeCell ref="B13:C13"/>
    <mergeCell ref="B14:C14"/>
    <mergeCell ref="B15:C15"/>
    <mergeCell ref="F1:J1"/>
    <mergeCell ref="A8:C8"/>
    <mergeCell ref="F2:H2"/>
    <mergeCell ref="A9:C9"/>
    <mergeCell ref="J8:K8"/>
    <mergeCell ref="D8:E8"/>
    <mergeCell ref="F8:G8"/>
    <mergeCell ref="H8:I8"/>
    <mergeCell ref="A5:K5"/>
    <mergeCell ref="H7:K7"/>
  </mergeCells>
  <printOptions/>
  <pageMargins left="0.4724409448818898" right="0.15748031496062992" top="1.062992125984252" bottom="0.2755905511811024" header="0.6299212598425197" footer="0.2755905511811024"/>
  <pageSetup horizontalDpi="600" verticalDpi="600" orientation="portrait" paperSize="9" scale="77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2021-02-24T10:07:38Z</cp:lastPrinted>
  <dcterms:created xsi:type="dcterms:W3CDTF">2011-02-03T10:02:06Z</dcterms:created>
  <dcterms:modified xsi:type="dcterms:W3CDTF">2021-02-24T10:11:05Z</dcterms:modified>
  <cp:category/>
  <cp:version/>
  <cp:contentType/>
  <cp:contentStatus/>
</cp:coreProperties>
</file>