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665" yWindow="525" windowWidth="12660" windowHeight="11640" tabRatio="816"/>
  </bookViews>
  <sheets>
    <sheet name="1.1.sz.mell. " sheetId="1374" r:id="rId1"/>
    <sheet name="1.2.sz.mell. " sheetId="1375" r:id="rId2"/>
    <sheet name="2.1.sz.mell " sheetId="1378" r:id="rId3"/>
    <sheet name="9.4. sz. mell EKIK" sheetId="1405" r:id="rId4"/>
    <sheet name="9.4.1. sz. mell EKIK" sheetId="1406" r:id="rId5"/>
    <sheet name="int.összesítő" sheetId="1407" r:id="rId6"/>
    <sheet name="1.sz tájékoztató t " sheetId="1401" r:id="rId7"/>
    <sheet name="4.sz tájékoztató t " sheetId="1402" r:id="rId8"/>
  </sheets>
  <externalReferences>
    <externalReference r:id="rId9"/>
  </externalReferences>
  <definedNames>
    <definedName name="_xlnm.Print_Titles" localSheetId="3">'9.4. sz. mell EKIK'!$1:$6</definedName>
    <definedName name="_xlnm.Print_Titles" localSheetId="4">'9.4.1. sz. mell EKIK'!$1:$6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'2.1.sz.mell '!$A$1:$E$31</definedName>
  </definedNames>
  <calcPr calcId="145621"/>
</workbook>
</file>

<file path=xl/calcChain.xml><?xml version="1.0" encoding="utf-8"?>
<calcChain xmlns="http://schemas.openxmlformats.org/spreadsheetml/2006/main">
  <c r="N17" i="1402" l="1"/>
  <c r="N16" i="1402"/>
  <c r="H154" i="1401"/>
  <c r="H153" i="1401"/>
  <c r="H152" i="1401"/>
  <c r="H151" i="1401"/>
  <c r="H150" i="1401"/>
  <c r="H149" i="1401"/>
  <c r="H148" i="1401"/>
  <c r="K147" i="1401"/>
  <c r="J147" i="1401"/>
  <c r="I147" i="1401"/>
  <c r="H147" i="1401"/>
  <c r="H146" i="1401"/>
  <c r="H145" i="1401"/>
  <c r="H144" i="1401"/>
  <c r="H143" i="1401"/>
  <c r="K142" i="1401"/>
  <c r="J142" i="1401"/>
  <c r="I142" i="1401"/>
  <c r="H142" i="1401"/>
  <c r="H141" i="1401"/>
  <c r="H140" i="1401"/>
  <c r="H139" i="1401"/>
  <c r="H138" i="1401"/>
  <c r="H137" i="1401"/>
  <c r="H136" i="1401"/>
  <c r="K135" i="1401"/>
  <c r="J135" i="1401"/>
  <c r="I135" i="1401"/>
  <c r="H135" i="1401"/>
  <c r="H134" i="1401"/>
  <c r="H133" i="1401"/>
  <c r="I132" i="1401"/>
  <c r="H132" i="1401"/>
  <c r="K131" i="1401"/>
  <c r="K155" i="1401" s="1"/>
  <c r="J131" i="1401"/>
  <c r="J155" i="1401" s="1"/>
  <c r="I131" i="1401"/>
  <c r="I155" i="1401" s="1"/>
  <c r="H131" i="1401"/>
  <c r="I129" i="1401"/>
  <c r="H129" i="1401"/>
  <c r="H128" i="1401"/>
  <c r="H127" i="1401"/>
  <c r="H126" i="1401"/>
  <c r="H125" i="1401"/>
  <c r="H124" i="1401"/>
  <c r="H123" i="1401"/>
  <c r="H122" i="1401"/>
  <c r="I121" i="1401"/>
  <c r="H121" i="1401" s="1"/>
  <c r="I120" i="1401"/>
  <c r="H120" i="1401" s="1"/>
  <c r="I119" i="1401"/>
  <c r="H119" i="1401" s="1"/>
  <c r="I118" i="1401"/>
  <c r="H118" i="1401" s="1"/>
  <c r="K117" i="1401"/>
  <c r="K116" i="1401" s="1"/>
  <c r="H116" i="1401" s="1"/>
  <c r="I117" i="1401"/>
  <c r="H117" i="1401"/>
  <c r="J116" i="1401"/>
  <c r="I116" i="1401"/>
  <c r="I115" i="1401"/>
  <c r="H115" i="1401"/>
  <c r="I114" i="1401"/>
  <c r="H114" i="1401"/>
  <c r="K113" i="1401"/>
  <c r="I113" i="1401"/>
  <c r="H113" i="1401" s="1"/>
  <c r="I112" i="1401"/>
  <c r="H112" i="1401" s="1"/>
  <c r="H111" i="1401"/>
  <c r="H110" i="1401"/>
  <c r="H109" i="1401"/>
  <c r="H108" i="1401"/>
  <c r="H107" i="1401"/>
  <c r="H106" i="1401"/>
  <c r="H105" i="1401"/>
  <c r="H104" i="1401"/>
  <c r="H103" i="1401"/>
  <c r="H102" i="1401"/>
  <c r="I101" i="1401"/>
  <c r="H101" i="1401" s="1"/>
  <c r="I100" i="1401"/>
  <c r="H100" i="1401" s="1"/>
  <c r="I99" i="1401"/>
  <c r="H99" i="1401" s="1"/>
  <c r="K98" i="1401"/>
  <c r="J98" i="1401"/>
  <c r="I98" i="1401"/>
  <c r="H98" i="1401" s="1"/>
  <c r="K97" i="1401"/>
  <c r="J97" i="1401"/>
  <c r="I97" i="1401"/>
  <c r="H97" i="1401" s="1"/>
  <c r="K96" i="1401"/>
  <c r="J96" i="1401"/>
  <c r="I96" i="1401"/>
  <c r="H96" i="1401" s="1"/>
  <c r="K95" i="1401"/>
  <c r="K130" i="1401" s="1"/>
  <c r="K156" i="1401" s="1"/>
  <c r="J95" i="1401"/>
  <c r="J130" i="1401" s="1"/>
  <c r="I95" i="1401"/>
  <c r="I130" i="1401" s="1"/>
  <c r="H87" i="1401"/>
  <c r="H86" i="1401"/>
  <c r="H85" i="1401"/>
  <c r="H84" i="1401"/>
  <c r="H83" i="1401"/>
  <c r="H82" i="1401"/>
  <c r="K81" i="1401"/>
  <c r="J81" i="1401"/>
  <c r="I81" i="1401"/>
  <c r="H81" i="1401"/>
  <c r="H80" i="1401"/>
  <c r="H79" i="1401"/>
  <c r="I78" i="1401"/>
  <c r="H78" i="1401"/>
  <c r="K77" i="1401"/>
  <c r="J77" i="1401"/>
  <c r="I77" i="1401"/>
  <c r="H77" i="1401"/>
  <c r="H76" i="1401"/>
  <c r="K75" i="1401"/>
  <c r="J75" i="1401"/>
  <c r="I75" i="1401"/>
  <c r="H75" i="1401" s="1"/>
  <c r="K74" i="1401"/>
  <c r="J74" i="1401"/>
  <c r="I74" i="1401"/>
  <c r="H74" i="1401"/>
  <c r="H73" i="1401"/>
  <c r="H72" i="1401"/>
  <c r="H71" i="1401"/>
  <c r="H70" i="1401"/>
  <c r="K69" i="1401"/>
  <c r="J69" i="1401"/>
  <c r="I69" i="1401"/>
  <c r="H69" i="1401"/>
  <c r="H68" i="1401"/>
  <c r="H67" i="1401"/>
  <c r="I66" i="1401"/>
  <c r="H66" i="1401"/>
  <c r="K65" i="1401"/>
  <c r="K88" i="1401" s="1"/>
  <c r="J65" i="1401"/>
  <c r="J88" i="1401" s="1"/>
  <c r="I65" i="1401"/>
  <c r="I88" i="1401" s="1"/>
  <c r="H65" i="1401"/>
  <c r="H63" i="1401"/>
  <c r="H62" i="1401"/>
  <c r="H61" i="1401"/>
  <c r="H60" i="1401"/>
  <c r="K59" i="1401"/>
  <c r="J59" i="1401"/>
  <c r="I59" i="1401"/>
  <c r="H59" i="1401"/>
  <c r="H58" i="1401"/>
  <c r="I57" i="1401"/>
  <c r="H57" i="1401" s="1"/>
  <c r="I56" i="1401"/>
  <c r="H56" i="1401" s="1"/>
  <c r="H55" i="1401"/>
  <c r="K54" i="1401"/>
  <c r="J54" i="1401"/>
  <c r="I54" i="1401"/>
  <c r="H54" i="1401"/>
  <c r="H53" i="1401"/>
  <c r="H52" i="1401"/>
  <c r="H51" i="1401"/>
  <c r="H50" i="1401"/>
  <c r="H49" i="1401"/>
  <c r="K48" i="1401"/>
  <c r="J48" i="1401"/>
  <c r="I48" i="1401"/>
  <c r="H48" i="1401" s="1"/>
  <c r="I47" i="1401"/>
  <c r="H47" i="1401" s="1"/>
  <c r="I46" i="1401"/>
  <c r="H46" i="1401" s="1"/>
  <c r="H45" i="1401"/>
  <c r="H44" i="1401"/>
  <c r="H43" i="1401"/>
  <c r="K42" i="1401"/>
  <c r="J42" i="1401"/>
  <c r="I42" i="1401"/>
  <c r="H42" i="1401" s="1"/>
  <c r="I41" i="1401"/>
  <c r="H41" i="1401" s="1"/>
  <c r="H40" i="1401"/>
  <c r="I39" i="1401"/>
  <c r="H39" i="1401" s="1"/>
  <c r="K38" i="1401"/>
  <c r="J38" i="1401"/>
  <c r="I38" i="1401"/>
  <c r="H38" i="1401" s="1"/>
  <c r="I37" i="1401"/>
  <c r="H37" i="1401"/>
  <c r="K36" i="1401"/>
  <c r="J36" i="1401"/>
  <c r="I36" i="1401"/>
  <c r="H36" i="1401" s="1"/>
  <c r="I35" i="1401"/>
  <c r="H35" i="1401" s="1"/>
  <c r="I34" i="1401"/>
  <c r="H34" i="1401" s="1"/>
  <c r="I33" i="1401"/>
  <c r="H33" i="1401" s="1"/>
  <c r="H32" i="1401"/>
  <c r="I31" i="1401"/>
  <c r="H31" i="1401"/>
  <c r="I30" i="1401"/>
  <c r="H30" i="1401"/>
  <c r="I29" i="1401"/>
  <c r="H29" i="1401"/>
  <c r="K28" i="1401"/>
  <c r="J28" i="1401"/>
  <c r="I28" i="1401"/>
  <c r="H28" i="1401" s="1"/>
  <c r="I27" i="1401"/>
  <c r="H27" i="1401" s="1"/>
  <c r="I26" i="1401"/>
  <c r="H26" i="1401" s="1"/>
  <c r="H25" i="1401"/>
  <c r="H24" i="1401"/>
  <c r="H23" i="1401"/>
  <c r="I22" i="1401"/>
  <c r="H22" i="1401"/>
  <c r="K21" i="1401"/>
  <c r="J21" i="1401"/>
  <c r="I21" i="1401"/>
  <c r="H21" i="1401"/>
  <c r="H20" i="1401"/>
  <c r="J19" i="1401"/>
  <c r="I19" i="1401"/>
  <c r="H19" i="1401" s="1"/>
  <c r="H18" i="1401"/>
  <c r="H17" i="1401"/>
  <c r="H16" i="1401"/>
  <c r="H15" i="1401"/>
  <c r="K14" i="1401"/>
  <c r="J14" i="1401"/>
  <c r="I14" i="1401"/>
  <c r="H14" i="1401" s="1"/>
  <c r="H13" i="1401"/>
  <c r="I12" i="1401"/>
  <c r="H12" i="1401" s="1"/>
  <c r="I11" i="1401"/>
  <c r="H11" i="1401" s="1"/>
  <c r="I10" i="1401"/>
  <c r="H10" i="1401" s="1"/>
  <c r="I9" i="1401"/>
  <c r="H9" i="1401" s="1"/>
  <c r="I8" i="1401"/>
  <c r="H8" i="1401" s="1"/>
  <c r="K7" i="1401"/>
  <c r="K64" i="1401" s="1"/>
  <c r="K89" i="1401" s="1"/>
  <c r="J7" i="1401"/>
  <c r="J64" i="1401" s="1"/>
  <c r="J89" i="1401" s="1"/>
  <c r="I7" i="1401"/>
  <c r="H7" i="1401" s="1"/>
  <c r="H16" i="1407"/>
  <c r="K15" i="1407"/>
  <c r="I15" i="1407"/>
  <c r="I16" i="1407" s="1"/>
  <c r="C15" i="1407"/>
  <c r="D15" i="1407" s="1"/>
  <c r="J14" i="1407"/>
  <c r="G14" i="1407"/>
  <c r="F14" i="1407"/>
  <c r="E14" i="1407"/>
  <c r="K14" i="1407" s="1"/>
  <c r="C14" i="1407" s="1"/>
  <c r="B14" i="1407"/>
  <c r="J13" i="1407"/>
  <c r="G13" i="1407"/>
  <c r="F13" i="1407"/>
  <c r="E13" i="1407"/>
  <c r="K13" i="1407" s="1"/>
  <c r="C13" i="1407" s="1"/>
  <c r="B13" i="1407"/>
  <c r="D13" i="1407" s="1"/>
  <c r="J12" i="1407"/>
  <c r="G12" i="1407"/>
  <c r="F12" i="1407"/>
  <c r="E12" i="1407"/>
  <c r="K12" i="1407" s="1"/>
  <c r="C12" i="1407" s="1"/>
  <c r="B12" i="1407"/>
  <c r="J11" i="1407"/>
  <c r="G11" i="1407"/>
  <c r="F11" i="1407"/>
  <c r="E11" i="1407"/>
  <c r="K11" i="1407" s="1"/>
  <c r="C11" i="1407" s="1"/>
  <c r="B11" i="1407"/>
  <c r="J10" i="1407"/>
  <c r="J16" i="1407" s="1"/>
  <c r="G10" i="1407"/>
  <c r="G16" i="1407" s="1"/>
  <c r="F10" i="1407"/>
  <c r="F16" i="1407" s="1"/>
  <c r="E10" i="1407"/>
  <c r="E16" i="1407" s="1"/>
  <c r="B10" i="1407"/>
  <c r="B16" i="1407" s="1"/>
  <c r="C52" i="1406"/>
  <c r="C51" i="1406"/>
  <c r="C48" i="1406"/>
  <c r="C47" i="1406"/>
  <c r="C46" i="1406"/>
  <c r="C45" i="1406"/>
  <c r="C57" i="1406" s="1"/>
  <c r="C40" i="1406"/>
  <c r="C37" i="1406" s="1"/>
  <c r="C30" i="1406"/>
  <c r="C26" i="1406"/>
  <c r="C20" i="1406"/>
  <c r="C14" i="1406"/>
  <c r="C10" i="1406"/>
  <c r="C9" i="1406"/>
  <c r="C8" i="1406"/>
  <c r="C36" i="1406" s="1"/>
  <c r="C41" i="1406" s="1"/>
  <c r="E60" i="1405"/>
  <c r="F60" i="1405" s="1"/>
  <c r="E59" i="1405"/>
  <c r="F59" i="1405" s="1"/>
  <c r="E58" i="1405"/>
  <c r="F58" i="1405" s="1"/>
  <c r="E57" i="1405"/>
  <c r="F56" i="1405"/>
  <c r="E56" i="1405"/>
  <c r="F55" i="1405"/>
  <c r="E55" i="1405"/>
  <c r="F54" i="1405"/>
  <c r="E54" i="1405"/>
  <c r="F53" i="1405"/>
  <c r="E53" i="1405"/>
  <c r="E52" i="1405"/>
  <c r="C52" i="1405"/>
  <c r="C51" i="1405" s="1"/>
  <c r="F51" i="1405" s="1"/>
  <c r="E51" i="1405"/>
  <c r="F50" i="1405"/>
  <c r="E50" i="1405"/>
  <c r="F49" i="1405"/>
  <c r="E49" i="1405"/>
  <c r="E48" i="1405"/>
  <c r="C48" i="1405"/>
  <c r="F48" i="1405" s="1"/>
  <c r="E47" i="1405"/>
  <c r="C47" i="1405"/>
  <c r="F47" i="1405" s="1"/>
  <c r="E46" i="1405"/>
  <c r="C46" i="1405"/>
  <c r="C45" i="1405" s="1"/>
  <c r="E45" i="1405"/>
  <c r="F44" i="1405"/>
  <c r="E44" i="1405"/>
  <c r="F43" i="1405"/>
  <c r="E43" i="1405"/>
  <c r="F42" i="1405"/>
  <c r="E42" i="1405"/>
  <c r="E41" i="1405"/>
  <c r="E40" i="1405"/>
  <c r="C40" i="1405"/>
  <c r="F40" i="1405" s="1"/>
  <c r="F39" i="1405"/>
  <c r="E39" i="1405"/>
  <c r="F38" i="1405"/>
  <c r="E38" i="1405"/>
  <c r="E37" i="1405"/>
  <c r="C37" i="1405"/>
  <c r="F37" i="1405" s="1"/>
  <c r="E36" i="1405"/>
  <c r="F35" i="1405"/>
  <c r="E35" i="1405"/>
  <c r="F34" i="1405"/>
  <c r="E34" i="1405"/>
  <c r="F33" i="1405"/>
  <c r="E33" i="1405"/>
  <c r="F32" i="1405"/>
  <c r="E32" i="1405"/>
  <c r="F31" i="1405"/>
  <c r="E31" i="1405"/>
  <c r="E30" i="1405"/>
  <c r="C30" i="1405"/>
  <c r="F30" i="1405" s="1"/>
  <c r="E29" i="1405"/>
  <c r="F29" i="1405" s="1"/>
  <c r="E28" i="1405"/>
  <c r="F28" i="1405" s="1"/>
  <c r="E27" i="1405"/>
  <c r="F27" i="1405" s="1"/>
  <c r="E26" i="1405"/>
  <c r="C26" i="1405"/>
  <c r="F26" i="1405" s="1"/>
  <c r="F25" i="1405"/>
  <c r="E25" i="1405"/>
  <c r="F24" i="1405"/>
  <c r="E24" i="1405"/>
  <c r="E23" i="1405"/>
  <c r="C23" i="1405"/>
  <c r="F23" i="1405" s="1"/>
  <c r="E22" i="1405"/>
  <c r="F22" i="1405" s="1"/>
  <c r="E21" i="1405"/>
  <c r="F21" i="1405" s="1"/>
  <c r="E20" i="1405"/>
  <c r="C20" i="1405"/>
  <c r="F20" i="1405" s="1"/>
  <c r="F19" i="1405"/>
  <c r="E19" i="1405"/>
  <c r="F18" i="1405"/>
  <c r="E18" i="1405"/>
  <c r="F17" i="1405"/>
  <c r="E17" i="1405"/>
  <c r="F16" i="1405"/>
  <c r="E16" i="1405"/>
  <c r="F15" i="1405"/>
  <c r="E15" i="1405"/>
  <c r="E14" i="1405"/>
  <c r="C14" i="1405"/>
  <c r="F14" i="1405" s="1"/>
  <c r="E13" i="1405"/>
  <c r="F13" i="1405" s="1"/>
  <c r="E12" i="1405"/>
  <c r="F12" i="1405" s="1"/>
  <c r="E11" i="1405"/>
  <c r="F11" i="1405" s="1"/>
  <c r="E10" i="1405"/>
  <c r="C10" i="1405"/>
  <c r="F10" i="1405" s="1"/>
  <c r="E9" i="1405"/>
  <c r="C9" i="1405"/>
  <c r="C8" i="1405" s="1"/>
  <c r="E8" i="1405"/>
  <c r="E5" i="1378"/>
  <c r="E6" i="1378"/>
  <c r="H6" i="1374"/>
  <c r="H7" i="1374"/>
  <c r="H8" i="1374"/>
  <c r="H9" i="1374"/>
  <c r="H10" i="1374"/>
  <c r="H11" i="1374"/>
  <c r="H12" i="1374"/>
  <c r="H13" i="1374"/>
  <c r="H14" i="1374"/>
  <c r="H15" i="1374"/>
  <c r="H16" i="1374"/>
  <c r="H17" i="1374"/>
  <c r="H18" i="1374"/>
  <c r="H19" i="1374"/>
  <c r="H20" i="1374"/>
  <c r="H21" i="1374"/>
  <c r="H22" i="1374"/>
  <c r="H23" i="1374"/>
  <c r="H24" i="1374"/>
  <c r="H25" i="1374"/>
  <c r="H26" i="1374"/>
  <c r="H27" i="1374"/>
  <c r="H28" i="1374"/>
  <c r="H29" i="1374"/>
  <c r="H30" i="1374"/>
  <c r="H31" i="1374"/>
  <c r="H32" i="1374"/>
  <c r="H33" i="1374"/>
  <c r="H34" i="1374"/>
  <c r="H35" i="1374"/>
  <c r="H36" i="1374"/>
  <c r="H37" i="1374"/>
  <c r="H38" i="1374"/>
  <c r="H39" i="1374"/>
  <c r="H40" i="1374"/>
  <c r="H41" i="1374"/>
  <c r="H42" i="1374"/>
  <c r="H43" i="1374"/>
  <c r="H44" i="1374"/>
  <c r="H45" i="1374"/>
  <c r="H46" i="1374"/>
  <c r="H47" i="1374"/>
  <c r="H48" i="1374"/>
  <c r="H49" i="1374"/>
  <c r="H50" i="1374"/>
  <c r="H51" i="1374"/>
  <c r="H52" i="1374"/>
  <c r="H53" i="1374"/>
  <c r="H54" i="1374"/>
  <c r="H55" i="1374"/>
  <c r="H56" i="1374"/>
  <c r="H57" i="1374"/>
  <c r="H58" i="1374"/>
  <c r="H59" i="1374"/>
  <c r="H60" i="1374"/>
  <c r="H61" i="1374"/>
  <c r="H62" i="1374"/>
  <c r="H63" i="1374"/>
  <c r="H64" i="1374"/>
  <c r="H65" i="1374"/>
  <c r="H66" i="1374"/>
  <c r="H67" i="1374"/>
  <c r="H68" i="1374"/>
  <c r="H69" i="1374"/>
  <c r="H70" i="1374"/>
  <c r="H71" i="1374"/>
  <c r="H72" i="1374"/>
  <c r="H73" i="1374"/>
  <c r="H74" i="1374"/>
  <c r="H75" i="1374"/>
  <c r="H76" i="1374"/>
  <c r="H77" i="1374"/>
  <c r="H78" i="1374"/>
  <c r="H79" i="1374"/>
  <c r="H80" i="1374"/>
  <c r="H81" i="1374"/>
  <c r="H82" i="1374"/>
  <c r="H83" i="1374"/>
  <c r="H84" i="1374"/>
  <c r="H85" i="1374"/>
  <c r="H86" i="1374"/>
  <c r="H87" i="1374"/>
  <c r="H88" i="1374"/>
  <c r="H89" i="1374"/>
  <c r="H90" i="1374"/>
  <c r="H91" i="1374"/>
  <c r="H92" i="1374"/>
  <c r="H93" i="1374"/>
  <c r="H94" i="1374"/>
  <c r="H95" i="1374"/>
  <c r="H96" i="1374"/>
  <c r="H97" i="1374"/>
  <c r="H98" i="1374"/>
  <c r="H99" i="1374"/>
  <c r="H100" i="1374"/>
  <c r="H101" i="1374"/>
  <c r="H102" i="1374"/>
  <c r="H103" i="1374"/>
  <c r="H104" i="1374"/>
  <c r="H105" i="1374"/>
  <c r="H106" i="1374"/>
  <c r="H107" i="1374"/>
  <c r="H108" i="1374"/>
  <c r="H109" i="1374"/>
  <c r="H110" i="1374"/>
  <c r="H111" i="1374"/>
  <c r="H112" i="1374"/>
  <c r="H113" i="1374"/>
  <c r="H114" i="1374"/>
  <c r="H115" i="1374"/>
  <c r="H116" i="1374"/>
  <c r="H117" i="1374"/>
  <c r="H118" i="1374"/>
  <c r="H119" i="1374"/>
  <c r="H120" i="1374"/>
  <c r="H121" i="1374"/>
  <c r="H122" i="1374"/>
  <c r="H123" i="1374"/>
  <c r="H124" i="1374"/>
  <c r="H125" i="1374"/>
  <c r="H126" i="1374"/>
  <c r="H127" i="1374"/>
  <c r="H128" i="1374"/>
  <c r="H129" i="1374"/>
  <c r="H130" i="1374"/>
  <c r="H131" i="1374"/>
  <c r="H132" i="1374"/>
  <c r="H133" i="1374"/>
  <c r="H134" i="1374"/>
  <c r="H135" i="1374"/>
  <c r="H136" i="1374"/>
  <c r="H137" i="1374"/>
  <c r="H138" i="1374"/>
  <c r="H139" i="1374"/>
  <c r="H140" i="1374"/>
  <c r="H141" i="1374"/>
  <c r="H142" i="1374"/>
  <c r="H143" i="1374"/>
  <c r="H144" i="1374"/>
  <c r="H145" i="1374"/>
  <c r="H146" i="1374"/>
  <c r="H147" i="1374"/>
  <c r="H148" i="1374"/>
  <c r="H149" i="1374"/>
  <c r="H150" i="1374"/>
  <c r="H151" i="1374"/>
  <c r="H152" i="1374"/>
  <c r="H153" i="1374"/>
  <c r="H154" i="1374"/>
  <c r="H5" i="1374"/>
  <c r="F95" i="1375"/>
  <c r="F94" i="1375"/>
  <c r="F95" i="1374"/>
  <c r="F94" i="1374"/>
  <c r="I156" i="1401" l="1"/>
  <c r="H130" i="1401"/>
  <c r="J156" i="1401"/>
  <c r="H155" i="1401"/>
  <c r="H95" i="1401"/>
  <c r="H88" i="1401"/>
  <c r="I64" i="1401"/>
  <c r="C57" i="1405"/>
  <c r="F57" i="1405" s="1"/>
  <c r="F45" i="1405"/>
  <c r="D11" i="1407"/>
  <c r="C36" i="1405"/>
  <c r="F8" i="1405"/>
  <c r="D12" i="1407"/>
  <c r="D14" i="1407"/>
  <c r="F9" i="1405"/>
  <c r="F46" i="1405"/>
  <c r="F52" i="1405"/>
  <c r="K10" i="1407"/>
  <c r="P26" i="1402"/>
  <c r="O25" i="1402"/>
  <c r="Q25" i="1402" s="1"/>
  <c r="N24" i="1402"/>
  <c r="L24" i="1402"/>
  <c r="K24" i="1402"/>
  <c r="I24" i="1402"/>
  <c r="O24" i="1402" s="1"/>
  <c r="Q24" i="1402" s="1"/>
  <c r="H24" i="1402"/>
  <c r="J23" i="1402"/>
  <c r="I23" i="1402"/>
  <c r="H23" i="1402"/>
  <c r="O23" i="1402" s="1"/>
  <c r="Q23" i="1402" s="1"/>
  <c r="N22" i="1402"/>
  <c r="M22" i="1402"/>
  <c r="L22" i="1402"/>
  <c r="J22" i="1402"/>
  <c r="I22" i="1402"/>
  <c r="H22" i="1402"/>
  <c r="O22" i="1402" s="1"/>
  <c r="Q22" i="1402" s="1"/>
  <c r="N21" i="1402"/>
  <c r="M21" i="1402"/>
  <c r="L21" i="1402"/>
  <c r="J21" i="1402"/>
  <c r="I21" i="1402"/>
  <c r="F21" i="1402"/>
  <c r="O21" i="1402" s="1"/>
  <c r="Q21" i="1402" s="1"/>
  <c r="N20" i="1402"/>
  <c r="M20" i="1402"/>
  <c r="L20" i="1402"/>
  <c r="K20" i="1402"/>
  <c r="I20" i="1402"/>
  <c r="G20" i="1402"/>
  <c r="O20" i="1402" s="1"/>
  <c r="Q20" i="1402" s="1"/>
  <c r="N19" i="1402"/>
  <c r="M19" i="1402"/>
  <c r="I19" i="1402"/>
  <c r="H19" i="1402"/>
  <c r="O19" i="1402" s="1"/>
  <c r="Q19" i="1402" s="1"/>
  <c r="N18" i="1402"/>
  <c r="M18" i="1402"/>
  <c r="L18" i="1402"/>
  <c r="K18" i="1402"/>
  <c r="J18" i="1402"/>
  <c r="I18" i="1402"/>
  <c r="H18" i="1402"/>
  <c r="H26" i="1402" s="1"/>
  <c r="G18" i="1402"/>
  <c r="G26" i="1402" s="1"/>
  <c r="F18" i="1402"/>
  <c r="E18" i="1402"/>
  <c r="D18" i="1402"/>
  <c r="C18" i="1402"/>
  <c r="C26" i="1402" s="1"/>
  <c r="M17" i="1402"/>
  <c r="L17" i="1402"/>
  <c r="K17" i="1402"/>
  <c r="J17" i="1402"/>
  <c r="I17" i="1402"/>
  <c r="F17" i="1402"/>
  <c r="D17" i="1402"/>
  <c r="O17" i="1402" s="1"/>
  <c r="Q17" i="1402" s="1"/>
  <c r="N26" i="1402"/>
  <c r="M16" i="1402"/>
  <c r="M26" i="1402" s="1"/>
  <c r="L16" i="1402"/>
  <c r="L26" i="1402" s="1"/>
  <c r="K16" i="1402"/>
  <c r="K26" i="1402" s="1"/>
  <c r="J16" i="1402"/>
  <c r="J26" i="1402" s="1"/>
  <c r="I16" i="1402"/>
  <c r="I26" i="1402" s="1"/>
  <c r="F16" i="1402"/>
  <c r="F26" i="1402" s="1"/>
  <c r="E16" i="1402"/>
  <c r="E26" i="1402" s="1"/>
  <c r="D16" i="1402"/>
  <c r="D26" i="1402" s="1"/>
  <c r="Q15" i="1402"/>
  <c r="P14" i="1402"/>
  <c r="D14" i="1402"/>
  <c r="D27" i="1402" s="1"/>
  <c r="N13" i="1402"/>
  <c r="L13" i="1402"/>
  <c r="C13" i="1402"/>
  <c r="C14" i="1402" s="1"/>
  <c r="O12" i="1402"/>
  <c r="Q12" i="1402" s="1"/>
  <c r="N11" i="1402"/>
  <c r="M11" i="1402"/>
  <c r="L11" i="1402"/>
  <c r="K11" i="1402"/>
  <c r="I11" i="1402"/>
  <c r="H11" i="1402"/>
  <c r="O11" i="1402" s="1"/>
  <c r="Q11" i="1402" s="1"/>
  <c r="O10" i="1402"/>
  <c r="Q10" i="1402" s="1"/>
  <c r="N9" i="1402"/>
  <c r="M9" i="1402"/>
  <c r="L9" i="1402"/>
  <c r="K9" i="1402"/>
  <c r="I9" i="1402"/>
  <c r="G9" i="1402"/>
  <c r="G14" i="1402" s="1"/>
  <c r="N8" i="1402"/>
  <c r="K8" i="1402"/>
  <c r="O8" i="1402" s="1"/>
  <c r="Q8" i="1402" s="1"/>
  <c r="N7" i="1402"/>
  <c r="M7" i="1402"/>
  <c r="O7" i="1402" s="1"/>
  <c r="Q7" i="1402" s="1"/>
  <c r="H7" i="1402"/>
  <c r="N6" i="1402"/>
  <c r="L6" i="1402"/>
  <c r="K6" i="1402"/>
  <c r="I6" i="1402"/>
  <c r="H6" i="1402"/>
  <c r="H14" i="1402" s="1"/>
  <c r="H27" i="1402" s="1"/>
  <c r="F6" i="1402"/>
  <c r="O6" i="1402" s="1"/>
  <c r="Q6" i="1402" s="1"/>
  <c r="N5" i="1402"/>
  <c r="N14" i="1402" s="1"/>
  <c r="N27" i="1402" s="1"/>
  <c r="M5" i="1402"/>
  <c r="M14" i="1402" s="1"/>
  <c r="M27" i="1402" s="1"/>
  <c r="L5" i="1402"/>
  <c r="L14" i="1402" s="1"/>
  <c r="L27" i="1402" s="1"/>
  <c r="K5" i="1402"/>
  <c r="K14" i="1402" s="1"/>
  <c r="K27" i="1402" s="1"/>
  <c r="J5" i="1402"/>
  <c r="J14" i="1402" s="1"/>
  <c r="J27" i="1402" s="1"/>
  <c r="I5" i="1402"/>
  <c r="I14" i="1402" s="1"/>
  <c r="I27" i="1402" s="1"/>
  <c r="E5" i="1402"/>
  <c r="E14" i="1402" s="1"/>
  <c r="D154" i="1401"/>
  <c r="D153" i="1401"/>
  <c r="D152" i="1401"/>
  <c r="D151" i="1401"/>
  <c r="D150" i="1401"/>
  <c r="D149" i="1401"/>
  <c r="D148" i="1401"/>
  <c r="G147" i="1401"/>
  <c r="F147" i="1401"/>
  <c r="E147" i="1401"/>
  <c r="D147" i="1401"/>
  <c r="C147" i="1401"/>
  <c r="C155" i="1401" s="1"/>
  <c r="D146" i="1401"/>
  <c r="D145" i="1401"/>
  <c r="E144" i="1401"/>
  <c r="D144" i="1401" s="1"/>
  <c r="D142" i="1401" s="1"/>
  <c r="D155" i="1401" s="1"/>
  <c r="D143" i="1401"/>
  <c r="G142" i="1401"/>
  <c r="F142" i="1401"/>
  <c r="E142" i="1401"/>
  <c r="C142" i="1401"/>
  <c r="D141" i="1401"/>
  <c r="D140" i="1401"/>
  <c r="D139" i="1401"/>
  <c r="D138" i="1401"/>
  <c r="D137" i="1401"/>
  <c r="D136" i="1401"/>
  <c r="G135" i="1401"/>
  <c r="F135" i="1401"/>
  <c r="E135" i="1401"/>
  <c r="D135" i="1401"/>
  <c r="C135" i="1401"/>
  <c r="D134" i="1401"/>
  <c r="D133" i="1401"/>
  <c r="D132" i="1401"/>
  <c r="G131" i="1401"/>
  <c r="G155" i="1401" s="1"/>
  <c r="F131" i="1401"/>
  <c r="F155" i="1401" s="1"/>
  <c r="E131" i="1401"/>
  <c r="E155" i="1401" s="1"/>
  <c r="D131" i="1401"/>
  <c r="C131" i="1401"/>
  <c r="E129" i="1401"/>
  <c r="D129" i="1401"/>
  <c r="D128" i="1401"/>
  <c r="D127" i="1401"/>
  <c r="D126" i="1401"/>
  <c r="D125" i="1401"/>
  <c r="D124" i="1401"/>
  <c r="D123" i="1401"/>
  <c r="D122" i="1401"/>
  <c r="E121" i="1401"/>
  <c r="D121" i="1401"/>
  <c r="D120" i="1401"/>
  <c r="E119" i="1401"/>
  <c r="D119" i="1401" s="1"/>
  <c r="D116" i="1401" s="1"/>
  <c r="E118" i="1401"/>
  <c r="D118" i="1401" s="1"/>
  <c r="E117" i="1401"/>
  <c r="D117" i="1401"/>
  <c r="G116" i="1401"/>
  <c r="F116" i="1401"/>
  <c r="C116" i="1401"/>
  <c r="C130" i="1401" s="1"/>
  <c r="E115" i="1401"/>
  <c r="D115" i="1401" s="1"/>
  <c r="E114" i="1401"/>
  <c r="D114" i="1401" s="1"/>
  <c r="D113" i="1401" s="1"/>
  <c r="D95" i="1401" s="1"/>
  <c r="G113" i="1401"/>
  <c r="E113" i="1401"/>
  <c r="C113" i="1401"/>
  <c r="E112" i="1401"/>
  <c r="D112" i="1401"/>
  <c r="D111" i="1401"/>
  <c r="D110" i="1401"/>
  <c r="D109" i="1401"/>
  <c r="D108" i="1401"/>
  <c r="D107" i="1401"/>
  <c r="D106" i="1401"/>
  <c r="D105" i="1401"/>
  <c r="D104" i="1401"/>
  <c r="D103" i="1401"/>
  <c r="D102" i="1401"/>
  <c r="D101" i="1401"/>
  <c r="F100" i="1401"/>
  <c r="E100" i="1401"/>
  <c r="D100" i="1401"/>
  <c r="E99" i="1401"/>
  <c r="D99" i="1401"/>
  <c r="E98" i="1401"/>
  <c r="D98" i="1401"/>
  <c r="E97" i="1401"/>
  <c r="D97" i="1401"/>
  <c r="E96" i="1401"/>
  <c r="D96" i="1401"/>
  <c r="G95" i="1401"/>
  <c r="G130" i="1401" s="1"/>
  <c r="G156" i="1401" s="1"/>
  <c r="F95" i="1401"/>
  <c r="F130" i="1401" s="1"/>
  <c r="F156" i="1401" s="1"/>
  <c r="E95" i="1401"/>
  <c r="C95" i="1401"/>
  <c r="H93" i="1401"/>
  <c r="D93" i="1401"/>
  <c r="H92" i="1401"/>
  <c r="D87" i="1401"/>
  <c r="D86" i="1401"/>
  <c r="D85" i="1401"/>
  <c r="D84" i="1401"/>
  <c r="D83" i="1401"/>
  <c r="D82" i="1401"/>
  <c r="G81" i="1401"/>
  <c r="F81" i="1401"/>
  <c r="E81" i="1401"/>
  <c r="D81" i="1401"/>
  <c r="C81" i="1401"/>
  <c r="D80" i="1401"/>
  <c r="D79" i="1401"/>
  <c r="D78" i="1401"/>
  <c r="G77" i="1401"/>
  <c r="F77" i="1401"/>
  <c r="E77" i="1401"/>
  <c r="D77" i="1401"/>
  <c r="C77" i="1401"/>
  <c r="D76" i="1401"/>
  <c r="D75" i="1401"/>
  <c r="G74" i="1401"/>
  <c r="F74" i="1401"/>
  <c r="E74" i="1401"/>
  <c r="D74" i="1401"/>
  <c r="C74" i="1401"/>
  <c r="C88" i="1401" s="1"/>
  <c r="D73" i="1401"/>
  <c r="D72" i="1401"/>
  <c r="D71" i="1401"/>
  <c r="D70" i="1401"/>
  <c r="G69" i="1401"/>
  <c r="F69" i="1401"/>
  <c r="E69" i="1401"/>
  <c r="D69" i="1401"/>
  <c r="C69" i="1401"/>
  <c r="D68" i="1401"/>
  <c r="D67" i="1401"/>
  <c r="D65" i="1401" s="1"/>
  <c r="D66" i="1401"/>
  <c r="G65" i="1401"/>
  <c r="G88" i="1401" s="1"/>
  <c r="F65" i="1401"/>
  <c r="F88" i="1401" s="1"/>
  <c r="E65" i="1401"/>
  <c r="E88" i="1401" s="1"/>
  <c r="C65" i="1401"/>
  <c r="D63" i="1401"/>
  <c r="D62" i="1401"/>
  <c r="D61" i="1401"/>
  <c r="D60" i="1401"/>
  <c r="G59" i="1401"/>
  <c r="F59" i="1401"/>
  <c r="E59" i="1401"/>
  <c r="D59" i="1401"/>
  <c r="C59" i="1401"/>
  <c r="D58" i="1401"/>
  <c r="E57" i="1401"/>
  <c r="D57" i="1401"/>
  <c r="E56" i="1401"/>
  <c r="D56" i="1401"/>
  <c r="D55" i="1401"/>
  <c r="G54" i="1401"/>
  <c r="F54" i="1401"/>
  <c r="E54" i="1401"/>
  <c r="D54" i="1401"/>
  <c r="C54" i="1401"/>
  <c r="D53" i="1401"/>
  <c r="D52" i="1401"/>
  <c r="E50" i="1401"/>
  <c r="D50" i="1401" s="1"/>
  <c r="D48" i="1401" s="1"/>
  <c r="D49" i="1401"/>
  <c r="G48" i="1401"/>
  <c r="F48" i="1401"/>
  <c r="E48" i="1401"/>
  <c r="C48" i="1401"/>
  <c r="E47" i="1401"/>
  <c r="D47" i="1401"/>
  <c r="E46" i="1401"/>
  <c r="D46" i="1401"/>
  <c r="D45" i="1401"/>
  <c r="D44" i="1401"/>
  <c r="D43" i="1401"/>
  <c r="E42" i="1401"/>
  <c r="D42" i="1401"/>
  <c r="G41" i="1401"/>
  <c r="D41" i="1401"/>
  <c r="E40" i="1401"/>
  <c r="D40" i="1401" s="1"/>
  <c r="E39" i="1401"/>
  <c r="D39" i="1401" s="1"/>
  <c r="E38" i="1401"/>
  <c r="D38" i="1401" s="1"/>
  <c r="E37" i="1401"/>
  <c r="D37" i="1401" s="1"/>
  <c r="D36" i="1401" s="1"/>
  <c r="G36" i="1401"/>
  <c r="F36" i="1401"/>
  <c r="E36" i="1401"/>
  <c r="C36" i="1401"/>
  <c r="D35" i="1401"/>
  <c r="D34" i="1401"/>
  <c r="E33" i="1401"/>
  <c r="D33" i="1401"/>
  <c r="D32" i="1401"/>
  <c r="E31" i="1401"/>
  <c r="D31" i="1401"/>
  <c r="E30" i="1401"/>
  <c r="D30" i="1401"/>
  <c r="E29" i="1401"/>
  <c r="D29" i="1401"/>
  <c r="D28" i="1401" s="1"/>
  <c r="C29" i="1401"/>
  <c r="G28" i="1401"/>
  <c r="F28" i="1401"/>
  <c r="E28" i="1401"/>
  <c r="C28" i="1401"/>
  <c r="D27" i="1401"/>
  <c r="E26" i="1401"/>
  <c r="D26" i="1401" s="1"/>
  <c r="D25" i="1401"/>
  <c r="D24" i="1401"/>
  <c r="D23" i="1401"/>
  <c r="D22" i="1401"/>
  <c r="G21" i="1401"/>
  <c r="F21" i="1401"/>
  <c r="D21" i="1401"/>
  <c r="D20" i="1401"/>
  <c r="E19" i="1401"/>
  <c r="D19" i="1401" s="1"/>
  <c r="D14" i="1401" s="1"/>
  <c r="D18" i="1401"/>
  <c r="D17" i="1401"/>
  <c r="D16" i="1401"/>
  <c r="D15" i="1401"/>
  <c r="G14" i="1401"/>
  <c r="F14" i="1401"/>
  <c r="E14" i="1401"/>
  <c r="D13" i="1401"/>
  <c r="E12" i="1401"/>
  <c r="D12" i="1401" s="1"/>
  <c r="E11" i="1401"/>
  <c r="D11" i="1401" s="1"/>
  <c r="E10" i="1401"/>
  <c r="D10" i="1401" s="1"/>
  <c r="D9" i="1401"/>
  <c r="D7" i="1401" s="1"/>
  <c r="D8" i="1401"/>
  <c r="G7" i="1401"/>
  <c r="G64" i="1401" s="1"/>
  <c r="G89" i="1401" s="1"/>
  <c r="F7" i="1401"/>
  <c r="E7" i="1401"/>
  <c r="C7" i="1401"/>
  <c r="E28" i="1378"/>
  <c r="C23" i="1378"/>
  <c r="C18" i="1378"/>
  <c r="C28" i="1378" s="1"/>
  <c r="C17" i="1378"/>
  <c r="E10" i="1378"/>
  <c r="E9" i="1378"/>
  <c r="E17" i="1378" s="1"/>
  <c r="E3" i="1378"/>
  <c r="C152" i="1375"/>
  <c r="C151" i="1375"/>
  <c r="C150" i="1375"/>
  <c r="C149" i="1375"/>
  <c r="C148" i="1375"/>
  <c r="C147" i="1375"/>
  <c r="C146" i="1375"/>
  <c r="F145" i="1375"/>
  <c r="E145" i="1375"/>
  <c r="D145" i="1375"/>
  <c r="C145" i="1375" s="1"/>
  <c r="C144" i="1375"/>
  <c r="C143" i="1375"/>
  <c r="C142" i="1375"/>
  <c r="C141" i="1375"/>
  <c r="F140" i="1375"/>
  <c r="E140" i="1375"/>
  <c r="D140" i="1375"/>
  <c r="C140" i="1375" s="1"/>
  <c r="C139" i="1375"/>
  <c r="C138" i="1375"/>
  <c r="C137" i="1375"/>
  <c r="C136" i="1375"/>
  <c r="C135" i="1375"/>
  <c r="C134" i="1375"/>
  <c r="F133" i="1375"/>
  <c r="E133" i="1375"/>
  <c r="D133" i="1375"/>
  <c r="C133" i="1375" s="1"/>
  <c r="C132" i="1375"/>
  <c r="C131" i="1375"/>
  <c r="C130" i="1375"/>
  <c r="F129" i="1375"/>
  <c r="F153" i="1375" s="1"/>
  <c r="E129" i="1375"/>
  <c r="E153" i="1375" s="1"/>
  <c r="D129" i="1375"/>
  <c r="D153" i="1375" s="1"/>
  <c r="C153" i="1375" s="1"/>
  <c r="C129" i="1375"/>
  <c r="D127" i="1375"/>
  <c r="C127" i="1375"/>
  <c r="C126" i="1375"/>
  <c r="C125" i="1375"/>
  <c r="C124" i="1375"/>
  <c r="C123" i="1375"/>
  <c r="C122" i="1375"/>
  <c r="C121" i="1375"/>
  <c r="C120" i="1375"/>
  <c r="D119" i="1375"/>
  <c r="C119" i="1375" s="1"/>
  <c r="D118" i="1375"/>
  <c r="C118" i="1375" s="1"/>
  <c r="D117" i="1375"/>
  <c r="C117" i="1375" s="1"/>
  <c r="D116" i="1375"/>
  <c r="C116" i="1375" s="1"/>
  <c r="F115" i="1375"/>
  <c r="F114" i="1375" s="1"/>
  <c r="C114" i="1375" s="1"/>
  <c r="D115" i="1375"/>
  <c r="C115" i="1375"/>
  <c r="E114" i="1375"/>
  <c r="D114" i="1375"/>
  <c r="D113" i="1375"/>
  <c r="C113" i="1375"/>
  <c r="D112" i="1375"/>
  <c r="C112" i="1375"/>
  <c r="F111" i="1375"/>
  <c r="D111" i="1375"/>
  <c r="C111" i="1375" s="1"/>
  <c r="D110" i="1375"/>
  <c r="C110" i="1375" s="1"/>
  <c r="C109" i="1375"/>
  <c r="C108" i="1375"/>
  <c r="C107" i="1375"/>
  <c r="C106" i="1375"/>
  <c r="C105" i="1375"/>
  <c r="C104" i="1375"/>
  <c r="C103" i="1375"/>
  <c r="C102" i="1375"/>
  <c r="C101" i="1375"/>
  <c r="C100" i="1375"/>
  <c r="D99" i="1375"/>
  <c r="C99" i="1375" s="1"/>
  <c r="D98" i="1375"/>
  <c r="C98" i="1375" s="1"/>
  <c r="D97" i="1375"/>
  <c r="C97" i="1375" s="1"/>
  <c r="F96" i="1375"/>
  <c r="E96" i="1375"/>
  <c r="D96" i="1375"/>
  <c r="C96" i="1375" s="1"/>
  <c r="E95" i="1375"/>
  <c r="D95" i="1375"/>
  <c r="C95" i="1375" s="1"/>
  <c r="E94" i="1375"/>
  <c r="D94" i="1375"/>
  <c r="C94" i="1375" s="1"/>
  <c r="F93" i="1375"/>
  <c r="F128" i="1375" s="1"/>
  <c r="F154" i="1375" s="1"/>
  <c r="E93" i="1375"/>
  <c r="E128" i="1375" s="1"/>
  <c r="E154" i="1375" s="1"/>
  <c r="D93" i="1375"/>
  <c r="D128" i="1375" s="1"/>
  <c r="C91" i="1375"/>
  <c r="C85" i="1375"/>
  <c r="C84" i="1375"/>
  <c r="C83" i="1375"/>
  <c r="C82" i="1375"/>
  <c r="C81" i="1375"/>
  <c r="C80" i="1375"/>
  <c r="F79" i="1375"/>
  <c r="E79" i="1375"/>
  <c r="E86" i="1375" s="1"/>
  <c r="D79" i="1375"/>
  <c r="C79" i="1375"/>
  <c r="C78" i="1375"/>
  <c r="C77" i="1375"/>
  <c r="C76" i="1375"/>
  <c r="F75" i="1375"/>
  <c r="E75" i="1375"/>
  <c r="D75" i="1375"/>
  <c r="C75" i="1375" s="1"/>
  <c r="C74" i="1375"/>
  <c r="E73" i="1375"/>
  <c r="D73" i="1375"/>
  <c r="C73" i="1375" s="1"/>
  <c r="F72" i="1375"/>
  <c r="E72" i="1375"/>
  <c r="D72" i="1375"/>
  <c r="C72" i="1375" s="1"/>
  <c r="C71" i="1375"/>
  <c r="C70" i="1375"/>
  <c r="C69" i="1375"/>
  <c r="C68" i="1375"/>
  <c r="F67" i="1375"/>
  <c r="E67" i="1375"/>
  <c r="D67" i="1375"/>
  <c r="C67" i="1375" s="1"/>
  <c r="C66" i="1375"/>
  <c r="C65" i="1375"/>
  <c r="D64" i="1375"/>
  <c r="C64" i="1375" s="1"/>
  <c r="F63" i="1375"/>
  <c r="F86" i="1375" s="1"/>
  <c r="E63" i="1375"/>
  <c r="D63" i="1375"/>
  <c r="D86" i="1375" s="1"/>
  <c r="C86" i="1375" s="1"/>
  <c r="C159" i="1375" s="1"/>
  <c r="C61" i="1375"/>
  <c r="C60" i="1375"/>
  <c r="C59" i="1375"/>
  <c r="C58" i="1375"/>
  <c r="F57" i="1375"/>
  <c r="E57" i="1375"/>
  <c r="D57" i="1375"/>
  <c r="C57" i="1375" s="1"/>
  <c r="C56" i="1375"/>
  <c r="D55" i="1375"/>
  <c r="C55" i="1375"/>
  <c r="C54" i="1375"/>
  <c r="C53" i="1375"/>
  <c r="F52" i="1375"/>
  <c r="E52" i="1375"/>
  <c r="D52" i="1375"/>
  <c r="C52" i="1375"/>
  <c r="C51" i="1375"/>
  <c r="C50" i="1375"/>
  <c r="C49" i="1375"/>
  <c r="C48" i="1375"/>
  <c r="C47" i="1375"/>
  <c r="F46" i="1375"/>
  <c r="E46" i="1375"/>
  <c r="D46" i="1375"/>
  <c r="C46" i="1375" s="1"/>
  <c r="D45" i="1375"/>
  <c r="C45" i="1375" s="1"/>
  <c r="D44" i="1375"/>
  <c r="C44" i="1375" s="1"/>
  <c r="C43" i="1375"/>
  <c r="C42" i="1375"/>
  <c r="C41" i="1375"/>
  <c r="F40" i="1375"/>
  <c r="E40" i="1375"/>
  <c r="D40" i="1375"/>
  <c r="C40" i="1375"/>
  <c r="F39" i="1375"/>
  <c r="C39" i="1375"/>
  <c r="C38" i="1375"/>
  <c r="D37" i="1375"/>
  <c r="C37" i="1375" s="1"/>
  <c r="E36" i="1375"/>
  <c r="D36" i="1375"/>
  <c r="C36" i="1375"/>
  <c r="F35" i="1375"/>
  <c r="C35" i="1375"/>
  <c r="F34" i="1375"/>
  <c r="E34" i="1375"/>
  <c r="D33" i="1375"/>
  <c r="C33" i="1375"/>
  <c r="D32" i="1375"/>
  <c r="C32" i="1375"/>
  <c r="D31" i="1375"/>
  <c r="C31" i="1375"/>
  <c r="C30" i="1375"/>
  <c r="D29" i="1375"/>
  <c r="C29" i="1375" s="1"/>
  <c r="D28" i="1375"/>
  <c r="C28" i="1375" s="1"/>
  <c r="D27" i="1375"/>
  <c r="C27" i="1375" s="1"/>
  <c r="F26" i="1375"/>
  <c r="E26" i="1375"/>
  <c r="D26" i="1375"/>
  <c r="C26" i="1375" s="1"/>
  <c r="D25" i="1375"/>
  <c r="C25" i="1375" s="1"/>
  <c r="D24" i="1375"/>
  <c r="C24" i="1375" s="1"/>
  <c r="C23" i="1375"/>
  <c r="C22" i="1375"/>
  <c r="C21" i="1375"/>
  <c r="D20" i="1375"/>
  <c r="C20" i="1375"/>
  <c r="F19" i="1375"/>
  <c r="E19" i="1375"/>
  <c r="C18" i="1375"/>
  <c r="E17" i="1375"/>
  <c r="D17" i="1375"/>
  <c r="C17" i="1375"/>
  <c r="C16" i="1375"/>
  <c r="C15" i="1375"/>
  <c r="C14" i="1375"/>
  <c r="C13" i="1375"/>
  <c r="F12" i="1375"/>
  <c r="E12" i="1375"/>
  <c r="D12" i="1375"/>
  <c r="C12" i="1375"/>
  <c r="C11" i="1375"/>
  <c r="D10" i="1375"/>
  <c r="C10" i="1375" s="1"/>
  <c r="D9" i="1375"/>
  <c r="C9" i="1375" s="1"/>
  <c r="D8" i="1375"/>
  <c r="C8" i="1375" s="1"/>
  <c r="D7" i="1375"/>
  <c r="C7" i="1375" s="1"/>
  <c r="D6" i="1375"/>
  <c r="C6" i="1375" s="1"/>
  <c r="F5" i="1375"/>
  <c r="F62" i="1375" s="1"/>
  <c r="F87" i="1375" s="1"/>
  <c r="E5" i="1375"/>
  <c r="E62" i="1375" s="1"/>
  <c r="E87" i="1375" s="1"/>
  <c r="D5" i="1375"/>
  <c r="C5" i="1375" s="1"/>
  <c r="C152" i="1374"/>
  <c r="I152" i="1374" s="1"/>
  <c r="C151" i="1374"/>
  <c r="I151" i="1374" s="1"/>
  <c r="C150" i="1374"/>
  <c r="I150" i="1374" s="1"/>
  <c r="C149" i="1374"/>
  <c r="I149" i="1374" s="1"/>
  <c r="C148" i="1374"/>
  <c r="I148" i="1374" s="1"/>
  <c r="C147" i="1374"/>
  <c r="I147" i="1374" s="1"/>
  <c r="C146" i="1374"/>
  <c r="I146" i="1374" s="1"/>
  <c r="F145" i="1374"/>
  <c r="E145" i="1374"/>
  <c r="D145" i="1374"/>
  <c r="C145" i="1374" s="1"/>
  <c r="I145" i="1374" s="1"/>
  <c r="C144" i="1374"/>
  <c r="I144" i="1374" s="1"/>
  <c r="C143" i="1374"/>
  <c r="I143" i="1374" s="1"/>
  <c r="C142" i="1374"/>
  <c r="I142" i="1374" s="1"/>
  <c r="C141" i="1374"/>
  <c r="I141" i="1374" s="1"/>
  <c r="F140" i="1374"/>
  <c r="E140" i="1374"/>
  <c r="D140" i="1374"/>
  <c r="C140" i="1374" s="1"/>
  <c r="I140" i="1374" s="1"/>
  <c r="C139" i="1374"/>
  <c r="I139" i="1374" s="1"/>
  <c r="C138" i="1374"/>
  <c r="I138" i="1374" s="1"/>
  <c r="C137" i="1374"/>
  <c r="I137" i="1374" s="1"/>
  <c r="C136" i="1374"/>
  <c r="I136" i="1374" s="1"/>
  <c r="C135" i="1374"/>
  <c r="I135" i="1374" s="1"/>
  <c r="C134" i="1374"/>
  <c r="I134" i="1374" s="1"/>
  <c r="F133" i="1374"/>
  <c r="E133" i="1374"/>
  <c r="D133" i="1374"/>
  <c r="C133" i="1374" s="1"/>
  <c r="I133" i="1374" s="1"/>
  <c r="C132" i="1374"/>
  <c r="I132" i="1374" s="1"/>
  <c r="C131" i="1374"/>
  <c r="I131" i="1374" s="1"/>
  <c r="D130" i="1374"/>
  <c r="C130" i="1374" s="1"/>
  <c r="I130" i="1374" s="1"/>
  <c r="F129" i="1374"/>
  <c r="F153" i="1374" s="1"/>
  <c r="E129" i="1374"/>
  <c r="E153" i="1374" s="1"/>
  <c r="D129" i="1374"/>
  <c r="D153" i="1374" s="1"/>
  <c r="D127" i="1374"/>
  <c r="C127" i="1374" s="1"/>
  <c r="C126" i="1374"/>
  <c r="C125" i="1374"/>
  <c r="C124" i="1374"/>
  <c r="C123" i="1374"/>
  <c r="C122" i="1374"/>
  <c r="C121" i="1374"/>
  <c r="C120" i="1374"/>
  <c r="D119" i="1374"/>
  <c r="C119" i="1374"/>
  <c r="I119" i="1374" s="1"/>
  <c r="D118" i="1374"/>
  <c r="C118" i="1374"/>
  <c r="I118" i="1374" s="1"/>
  <c r="D117" i="1374"/>
  <c r="C117" i="1374"/>
  <c r="I117" i="1374" s="1"/>
  <c r="D116" i="1374"/>
  <c r="C116" i="1374"/>
  <c r="I116" i="1374" s="1"/>
  <c r="F115" i="1374"/>
  <c r="D115" i="1374"/>
  <c r="C115" i="1374" s="1"/>
  <c r="I115" i="1374" s="1"/>
  <c r="F114" i="1374"/>
  <c r="E114" i="1374"/>
  <c r="D114" i="1374"/>
  <c r="C114" i="1374" s="1"/>
  <c r="I114" i="1374" s="1"/>
  <c r="D113" i="1374"/>
  <c r="C113" i="1374" s="1"/>
  <c r="I113" i="1374" s="1"/>
  <c r="D112" i="1374"/>
  <c r="C112" i="1374" s="1"/>
  <c r="I112" i="1374" s="1"/>
  <c r="F111" i="1374"/>
  <c r="D110" i="1374"/>
  <c r="C110" i="1374"/>
  <c r="I110" i="1374" s="1"/>
  <c r="C109" i="1374"/>
  <c r="C108" i="1374"/>
  <c r="C107" i="1374"/>
  <c r="C106" i="1374"/>
  <c r="C105" i="1374"/>
  <c r="C104" i="1374"/>
  <c r="C103" i="1374"/>
  <c r="C102" i="1374"/>
  <c r="C101" i="1374"/>
  <c r="C100" i="1374"/>
  <c r="D99" i="1374"/>
  <c r="C99" i="1374"/>
  <c r="I99" i="1374" s="1"/>
  <c r="D98" i="1374"/>
  <c r="C98" i="1374"/>
  <c r="I98" i="1374" s="1"/>
  <c r="D97" i="1374"/>
  <c r="C97" i="1374"/>
  <c r="I97" i="1374" s="1"/>
  <c r="F96" i="1374"/>
  <c r="E96" i="1374"/>
  <c r="D96" i="1374"/>
  <c r="C96" i="1374"/>
  <c r="I96" i="1374" s="1"/>
  <c r="E95" i="1374"/>
  <c r="D95" i="1374"/>
  <c r="C95" i="1374"/>
  <c r="I95" i="1374" s="1"/>
  <c r="E94" i="1374"/>
  <c r="D94" i="1374"/>
  <c r="C94" i="1374"/>
  <c r="I94" i="1374" s="1"/>
  <c r="F93" i="1374"/>
  <c r="F128" i="1374" s="1"/>
  <c r="F154" i="1374" s="1"/>
  <c r="E93" i="1374"/>
  <c r="E128" i="1374" s="1"/>
  <c r="C91" i="1374"/>
  <c r="C85" i="1374"/>
  <c r="I85" i="1374" s="1"/>
  <c r="C84" i="1374"/>
  <c r="I84" i="1374" s="1"/>
  <c r="C83" i="1374"/>
  <c r="I83" i="1374" s="1"/>
  <c r="C82" i="1374"/>
  <c r="I82" i="1374" s="1"/>
  <c r="C81" i="1374"/>
  <c r="I81" i="1374" s="1"/>
  <c r="C80" i="1374"/>
  <c r="I80" i="1374" s="1"/>
  <c r="F79" i="1374"/>
  <c r="E79" i="1374"/>
  <c r="D79" i="1374"/>
  <c r="C79" i="1374"/>
  <c r="I79" i="1374" s="1"/>
  <c r="C78" i="1374"/>
  <c r="C77" i="1374"/>
  <c r="D76" i="1374"/>
  <c r="C76" i="1374"/>
  <c r="I76" i="1374" s="1"/>
  <c r="F75" i="1374"/>
  <c r="E75" i="1374"/>
  <c r="E86" i="1374" s="1"/>
  <c r="D75" i="1374"/>
  <c r="C75" i="1374"/>
  <c r="I75" i="1374" s="1"/>
  <c r="C74" i="1374"/>
  <c r="F73" i="1374"/>
  <c r="E73" i="1374"/>
  <c r="D73" i="1374"/>
  <c r="C73" i="1374" s="1"/>
  <c r="F72" i="1374"/>
  <c r="E72" i="1374"/>
  <c r="D72" i="1374"/>
  <c r="C72" i="1374" s="1"/>
  <c r="C71" i="1374"/>
  <c r="C70" i="1374"/>
  <c r="C69" i="1374"/>
  <c r="C68" i="1374"/>
  <c r="F67" i="1374"/>
  <c r="E67" i="1374"/>
  <c r="D67" i="1374"/>
  <c r="C67" i="1374" s="1"/>
  <c r="C66" i="1374"/>
  <c r="C65" i="1374"/>
  <c r="D64" i="1374"/>
  <c r="C64" i="1374" s="1"/>
  <c r="F63" i="1374"/>
  <c r="E63" i="1374"/>
  <c r="C61" i="1374"/>
  <c r="C60" i="1374"/>
  <c r="C59" i="1374"/>
  <c r="C58" i="1374"/>
  <c r="F57" i="1374"/>
  <c r="E57" i="1374"/>
  <c r="D57" i="1374"/>
  <c r="C57" i="1374" s="1"/>
  <c r="C56" i="1374"/>
  <c r="D55" i="1374"/>
  <c r="C55" i="1374"/>
  <c r="I55" i="1374" s="1"/>
  <c r="D54" i="1374"/>
  <c r="C54" i="1374"/>
  <c r="I54" i="1374" s="1"/>
  <c r="C53" i="1374"/>
  <c r="F52" i="1374"/>
  <c r="E52" i="1374"/>
  <c r="D52" i="1374"/>
  <c r="C52" i="1374" s="1"/>
  <c r="C51" i="1374"/>
  <c r="C50" i="1374"/>
  <c r="C49" i="1374"/>
  <c r="C48" i="1374"/>
  <c r="C47" i="1374"/>
  <c r="F46" i="1374"/>
  <c r="E46" i="1374"/>
  <c r="D46" i="1374"/>
  <c r="C46" i="1374" s="1"/>
  <c r="D45" i="1374"/>
  <c r="C45" i="1374" s="1"/>
  <c r="D44" i="1374"/>
  <c r="C44" i="1374" s="1"/>
  <c r="C43" i="1374"/>
  <c r="C42" i="1374"/>
  <c r="C41" i="1374"/>
  <c r="F40" i="1374"/>
  <c r="E40" i="1374"/>
  <c r="E34" i="1374" s="1"/>
  <c r="D40" i="1374"/>
  <c r="C40" i="1374"/>
  <c r="I40" i="1374" s="1"/>
  <c r="D39" i="1374"/>
  <c r="C39" i="1374"/>
  <c r="I39" i="1374" s="1"/>
  <c r="C38" i="1374"/>
  <c r="D37" i="1374"/>
  <c r="C37" i="1374" s="1"/>
  <c r="F36" i="1374"/>
  <c r="E36" i="1374"/>
  <c r="D36" i="1374"/>
  <c r="C36" i="1374" s="1"/>
  <c r="D35" i="1374"/>
  <c r="C35" i="1374" s="1"/>
  <c r="F34" i="1374"/>
  <c r="D34" i="1374"/>
  <c r="C34" i="1374" s="1"/>
  <c r="I34" i="1374" s="1"/>
  <c r="D33" i="1374"/>
  <c r="C33" i="1374" s="1"/>
  <c r="I33" i="1374" s="1"/>
  <c r="D32" i="1374"/>
  <c r="C32" i="1374" s="1"/>
  <c r="I32" i="1374" s="1"/>
  <c r="D31" i="1374"/>
  <c r="C31" i="1374" s="1"/>
  <c r="I31" i="1374" s="1"/>
  <c r="C30" i="1374"/>
  <c r="I30" i="1374" s="1"/>
  <c r="D29" i="1374"/>
  <c r="C29" i="1374"/>
  <c r="I29" i="1374" s="1"/>
  <c r="D28" i="1374"/>
  <c r="C28" i="1374"/>
  <c r="I28" i="1374" s="1"/>
  <c r="D27" i="1374"/>
  <c r="C27" i="1374"/>
  <c r="I27" i="1374" s="1"/>
  <c r="F26" i="1374"/>
  <c r="E26" i="1374"/>
  <c r="D25" i="1374"/>
  <c r="C25" i="1374"/>
  <c r="I25" i="1374" s="1"/>
  <c r="D24" i="1374"/>
  <c r="C24" i="1374"/>
  <c r="I24" i="1374" s="1"/>
  <c r="C23" i="1374"/>
  <c r="I23" i="1374" s="1"/>
  <c r="C22" i="1374"/>
  <c r="I22" i="1374" s="1"/>
  <c r="C21" i="1374"/>
  <c r="I21" i="1374" s="1"/>
  <c r="D20" i="1374"/>
  <c r="C20" i="1374" s="1"/>
  <c r="I20" i="1374" s="1"/>
  <c r="F19" i="1374"/>
  <c r="E19" i="1374"/>
  <c r="D19" i="1374"/>
  <c r="C19" i="1374" s="1"/>
  <c r="I19" i="1374" s="1"/>
  <c r="C18" i="1374"/>
  <c r="I18" i="1374" s="1"/>
  <c r="E17" i="1374"/>
  <c r="D17" i="1374"/>
  <c r="C17" i="1374" s="1"/>
  <c r="I17" i="1374" s="1"/>
  <c r="C16" i="1374"/>
  <c r="C15" i="1374"/>
  <c r="C14" i="1374"/>
  <c r="C13" i="1374"/>
  <c r="F12" i="1374"/>
  <c r="E12" i="1374"/>
  <c r="D12" i="1374"/>
  <c r="C12" i="1374" s="1"/>
  <c r="C11" i="1374"/>
  <c r="D10" i="1374"/>
  <c r="C10" i="1374"/>
  <c r="I10" i="1374" s="1"/>
  <c r="D9" i="1374"/>
  <c r="C9" i="1374"/>
  <c r="I9" i="1374" s="1"/>
  <c r="D8" i="1374"/>
  <c r="C8" i="1374"/>
  <c r="I8" i="1374" s="1"/>
  <c r="D7" i="1374"/>
  <c r="C7" i="1374"/>
  <c r="I7" i="1374" s="1"/>
  <c r="D6" i="1374"/>
  <c r="C6" i="1374"/>
  <c r="I6" i="1374" s="1"/>
  <c r="F5" i="1374"/>
  <c r="F62" i="1374" s="1"/>
  <c r="E5" i="1374"/>
  <c r="D5" i="1374"/>
  <c r="C5" i="1374"/>
  <c r="I5" i="1374" s="1"/>
  <c r="H156" i="1401" l="1"/>
  <c r="I89" i="1401"/>
  <c r="H89" i="1401" s="1"/>
  <c r="H64" i="1401"/>
  <c r="K16" i="1407"/>
  <c r="C10" i="1407"/>
  <c r="F36" i="1405"/>
  <c r="C41" i="1405"/>
  <c r="F41" i="1405" s="1"/>
  <c r="I11" i="1374"/>
  <c r="I12" i="1374"/>
  <c r="I13" i="1374"/>
  <c r="I14" i="1374"/>
  <c r="I15" i="1374"/>
  <c r="I16" i="1374"/>
  <c r="I35" i="1374"/>
  <c r="I36" i="1374"/>
  <c r="I37" i="1374"/>
  <c r="I38" i="1374"/>
  <c r="I41" i="1374"/>
  <c r="I42" i="1374"/>
  <c r="I43" i="1374"/>
  <c r="I44" i="1374"/>
  <c r="I45" i="1374"/>
  <c r="I46" i="1374"/>
  <c r="I47" i="1374"/>
  <c r="I48" i="1374"/>
  <c r="I49" i="1374"/>
  <c r="I51" i="1374"/>
  <c r="I52" i="1374"/>
  <c r="I56" i="1374"/>
  <c r="I57" i="1374"/>
  <c r="I59" i="1374"/>
  <c r="I60" i="1374"/>
  <c r="I61" i="1374"/>
  <c r="I64" i="1374"/>
  <c r="I66" i="1374"/>
  <c r="I67" i="1374"/>
  <c r="I69" i="1374"/>
  <c r="I70" i="1374"/>
  <c r="I71" i="1374"/>
  <c r="I72" i="1374"/>
  <c r="I73" i="1374"/>
  <c r="I74" i="1374"/>
  <c r="I77" i="1374"/>
  <c r="I78" i="1374"/>
  <c r="I100" i="1374"/>
  <c r="I101" i="1374"/>
  <c r="I102" i="1374"/>
  <c r="I103" i="1374"/>
  <c r="I104" i="1374"/>
  <c r="I105" i="1374"/>
  <c r="I106" i="1374"/>
  <c r="I107" i="1374"/>
  <c r="I108" i="1374"/>
  <c r="I109" i="1374"/>
  <c r="I120" i="1374"/>
  <c r="I121" i="1374"/>
  <c r="I122" i="1374"/>
  <c r="I123" i="1374"/>
  <c r="I124" i="1374"/>
  <c r="I125" i="1374"/>
  <c r="I126" i="1374"/>
  <c r="I127" i="1374"/>
  <c r="O26" i="1402"/>
  <c r="Q26" i="1402" s="1"/>
  <c r="E27" i="1402"/>
  <c r="G27" i="1402"/>
  <c r="C27" i="1402"/>
  <c r="O9" i="1402"/>
  <c r="Q9" i="1402" s="1"/>
  <c r="F14" i="1402"/>
  <c r="F27" i="1402" s="1"/>
  <c r="O16" i="1402"/>
  <c r="Q16" i="1402" s="1"/>
  <c r="O18" i="1402"/>
  <c r="Q18" i="1402" s="1"/>
  <c r="O5" i="1402"/>
  <c r="Q5" i="1402" s="1"/>
  <c r="O13" i="1402"/>
  <c r="Q13" i="1402" s="1"/>
  <c r="F64" i="1401"/>
  <c r="F89" i="1401" s="1"/>
  <c r="D130" i="1401"/>
  <c r="D156" i="1401" s="1"/>
  <c r="C156" i="1401"/>
  <c r="D64" i="1401"/>
  <c r="C64" i="1401"/>
  <c r="C89" i="1401" s="1"/>
  <c r="D88" i="1401"/>
  <c r="E21" i="1401"/>
  <c r="E64" i="1401" s="1"/>
  <c r="E89" i="1401" s="1"/>
  <c r="E116" i="1401"/>
  <c r="E130" i="1401" s="1"/>
  <c r="E156" i="1401" s="1"/>
  <c r="E30" i="1378"/>
  <c r="E29" i="1378"/>
  <c r="C29" i="1378"/>
  <c r="C30" i="1378"/>
  <c r="D154" i="1375"/>
  <c r="C154" i="1375" s="1"/>
  <c r="C128" i="1375"/>
  <c r="D19" i="1375"/>
  <c r="C19" i="1375" s="1"/>
  <c r="D34" i="1375"/>
  <c r="C34" i="1375" s="1"/>
  <c r="C63" i="1375"/>
  <c r="C93" i="1375"/>
  <c r="D26" i="1374"/>
  <c r="C26" i="1374" s="1"/>
  <c r="I26" i="1374" s="1"/>
  <c r="I50" i="1374"/>
  <c r="I53" i="1374"/>
  <c r="I58" i="1374"/>
  <c r="D63" i="1374"/>
  <c r="F86" i="1374"/>
  <c r="F87" i="1374" s="1"/>
  <c r="I65" i="1374"/>
  <c r="I68" i="1374"/>
  <c r="E154" i="1374"/>
  <c r="C153" i="1374"/>
  <c r="I153" i="1374" s="1"/>
  <c r="E62" i="1374"/>
  <c r="E87" i="1374" s="1"/>
  <c r="D111" i="1374"/>
  <c r="C129" i="1374"/>
  <c r="I129" i="1374" s="1"/>
  <c r="C16" i="1407" l="1"/>
  <c r="D10" i="1407"/>
  <c r="D16" i="1407" s="1"/>
  <c r="O14" i="1402"/>
  <c r="D89" i="1401"/>
  <c r="E31" i="1378"/>
  <c r="C31" i="1378"/>
  <c r="D62" i="1375"/>
  <c r="C111" i="1374"/>
  <c r="I111" i="1374" s="1"/>
  <c r="D93" i="1374"/>
  <c r="D86" i="1374"/>
  <c r="C86" i="1374" s="1"/>
  <c r="C63" i="1374"/>
  <c r="I63" i="1374" s="1"/>
  <c r="D62" i="1374"/>
  <c r="O27" i="1402" l="1"/>
  <c r="Q14" i="1402"/>
  <c r="D87" i="1375"/>
  <c r="C87" i="1375" s="1"/>
  <c r="C62" i="1375"/>
  <c r="C158" i="1375" s="1"/>
  <c r="D128" i="1374"/>
  <c r="C93" i="1374"/>
  <c r="I93" i="1374" s="1"/>
  <c r="D87" i="1374"/>
  <c r="C87" i="1374" s="1"/>
  <c r="I87" i="1374" s="1"/>
  <c r="C62" i="1374"/>
  <c r="C159" i="1374"/>
  <c r="I86" i="1374"/>
  <c r="I62" i="1374" l="1"/>
  <c r="D154" i="1374"/>
  <c r="C154" i="1374" s="1"/>
  <c r="C128" i="1374"/>
  <c r="I128" i="1374" s="1"/>
  <c r="H159" i="1374" l="1"/>
  <c r="I154" i="1374"/>
  <c r="C158" i="1374"/>
</calcChain>
</file>

<file path=xl/sharedStrings.xml><?xml version="1.0" encoding="utf-8"?>
<sst xmlns="http://schemas.openxmlformats.org/spreadsheetml/2006/main" count="1347" uniqueCount="442">
  <si>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</si>
  <si>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</si>
  <si>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</si>
  <si>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</si>
  <si>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</si>
  <si>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</si>
  <si>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</si>
  <si>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</si>
  <si>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</si>
  <si>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</si>
  <si>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</si>
  <si>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</si>
  <si>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</si>
  <si>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</si>
  <si>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</si>
  <si>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</si>
  <si>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</si>
  <si>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</si>
  <si>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</si>
  <si>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</si>
  <si>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</si>
  <si>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</si>
  <si>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</si>
  <si>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</si>
  <si>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</si>
  <si>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</si>
  <si>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</si>
  <si>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</si>
  <si>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</si>
  <si>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</si>
  <si>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</si>
  <si>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</si>
  <si>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</si>
  <si>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K I A D Á S O K</t>
  </si>
  <si>
    <t>Kiadási jogcímek</t>
  </si>
  <si>
    <t>Személyi  juttatások</t>
  </si>
  <si>
    <t>Összesen: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</si>
  <si>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</si>
  <si>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</si>
  <si>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</si>
  <si>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</si>
  <si>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</si>
  <si>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</si>
  <si>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</si>
  <si>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>Sor-
szám</t>
  </si>
  <si>
    <t>5.1.</t>
  </si>
  <si>
    <t>5.2.</t>
  </si>
  <si>
    <t>5.3.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</si>
  <si>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</si>
  <si>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</si>
  <si>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</si>
  <si>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</si>
  <si>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</si>
  <si>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</si>
  <si>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</si>
  <si>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</si>
  <si>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</si>
  <si>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</si>
  <si>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1.8.</t>
  </si>
  <si>
    <t>1.9.</t>
  </si>
  <si>
    <t>1.10.</t>
  </si>
  <si>
    <t>1.11.</t>
  </si>
  <si>
    <t>Dologi  kiadások</t>
  </si>
  <si>
    <t>1.5.</t>
  </si>
  <si>
    <t>1. sz. táblázat</t>
  </si>
  <si>
    <t>2. sz. táblázat</t>
  </si>
  <si>
    <t xml:space="preserve">4. </t>
  </si>
  <si>
    <t>Közhatalmi bevételek</t>
  </si>
  <si>
    <t xml:space="preserve">7. </t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</si>
  <si>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</si>
  <si>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</si>
  <si>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</si>
  <si>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</si>
  <si>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Feladat megnevezése</t>
  </si>
  <si>
    <t>Költségvetési szerv megnevezése</t>
  </si>
  <si>
    <t>Száma</t>
  </si>
  <si>
    <t>Közfoglalkoztatottak létszáma (fő)</t>
  </si>
  <si>
    <t>Beruházások</t>
  </si>
  <si>
    <t>Egyéb felhalmozási kiadások</t>
  </si>
  <si>
    <t>Költségvetési maradvány igénybevétele</t>
  </si>
  <si>
    <t>Elvonások és befizetések bevételei</t>
  </si>
  <si>
    <t>Felhalmozási célú önkormányzati támogatások</t>
  </si>
  <si>
    <t>Közhatalmi bevételek (4.1.+4.2.+4.3.+4.4.)</t>
  </si>
  <si>
    <t>4.1.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</si>
  <si>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</si>
  <si>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</si>
  <si>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</si>
  <si>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</si>
  <si>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</si>
  <si>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</si>
  <si>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</si>
  <si>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</si>
  <si>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</si>
  <si>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</si>
  <si>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</si>
  <si>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</si>
  <si>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</si>
  <si>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</si>
  <si>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</si>
  <si>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</si>
  <si>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</si>
  <si>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</si>
  <si>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KÖLTSÉGVETÉSI BEVÉTELEK ÖSSZESEN: (1+…+8)</t>
  </si>
  <si>
    <t>Működési célú támogatások államháztartáson belülről</t>
  </si>
  <si>
    <t>Működési célú átvett pénzeszközök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</si>
  <si>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</si>
  <si>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</si>
  <si>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</si>
  <si>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</si>
  <si>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</si>
  <si>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</si>
  <si>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</si>
  <si>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</si>
  <si>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</si>
  <si>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</si>
  <si>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</si>
  <si>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</si>
  <si>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</si>
  <si>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</si>
  <si>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</si>
  <si>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</si>
  <si>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</si>
  <si>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A</t>
  </si>
  <si>
    <t>B</t>
  </si>
  <si>
    <t>C</t>
  </si>
  <si>
    <t>Helyi adók  (4.1.1.+...+4.1.3.)</t>
  </si>
  <si>
    <t>Biztosító által fizetett kártérítés</t>
  </si>
  <si>
    <t>KÖLTSÉGVETÉSI KIADÁSOK ÖSSZESEN (1+2)</t>
  </si>
  <si>
    <t>D</t>
  </si>
  <si>
    <t>E</t>
  </si>
  <si>
    <t>Éves tervezett létszám előirányzat (fő)</t>
  </si>
  <si>
    <t>Működési bevételek (1.1.+…+1.11.)</t>
  </si>
  <si>
    <t xml:space="preserve"> 2.3.-ból EU-s támogatásból megvalósuló programok, projektek kiadása</t>
  </si>
  <si>
    <t>KIADÁSOK ÖSSZESEN: (1.+2.+3.)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</si>
  <si>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</si>
  <si>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</si>
  <si>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</si>
  <si>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</si>
  <si>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Tiszavasvári Bölcsőde</t>
  </si>
  <si>
    <t xml:space="preserve"> Értékesítési és forgalmi adók</t>
  </si>
  <si>
    <t>Jövedelemadó</t>
  </si>
  <si>
    <t>4.5.</t>
  </si>
  <si>
    <t>Tiszavasvári Polgármesteri Hivatal</t>
  </si>
  <si>
    <t>4.6.</t>
  </si>
  <si>
    <t>4.7.</t>
  </si>
  <si>
    <t>Egyesített Közművelédési Intérmény és Könyvtár</t>
  </si>
  <si>
    <t>Forintban !</t>
  </si>
  <si>
    <t>Forintban!</t>
  </si>
  <si>
    <t>2018. évi előirányzat</t>
  </si>
  <si>
    <t>Forintban</t>
  </si>
  <si>
    <t>Önk</t>
  </si>
  <si>
    <t>PH</t>
  </si>
  <si>
    <t>INT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</si>
  <si>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</si>
  <si>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</si>
  <si>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</si>
  <si>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szociális, gyermekjóléti és étkeztetési feladatainak támogatása</t>
  </si>
  <si>
    <t>Önkormányzatok kulturális feladatainak támogatása</t>
  </si>
  <si>
    <t xml:space="preserve">Működési célú kvi támogatások és kiegészítő támogatások </t>
  </si>
  <si>
    <t>Elszámolásból származó bevételek</t>
  </si>
  <si>
    <t>Működési célú támogatások államháztartáson belülről (2.1.+…+.2.5.)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</si>
  <si>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</si>
  <si>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</si>
  <si>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</si>
  <si>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</si>
  <si>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</si>
  <si>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</si>
  <si>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</si>
  <si>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</si>
  <si>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</si>
  <si>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</si>
  <si>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</si>
  <si>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</si>
  <si>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</si>
  <si>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</si>
  <si>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</si>
  <si>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</si>
  <si>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</si>
  <si>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</si>
  <si>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</si>
  <si>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4.1.1.</t>
  </si>
  <si>
    <t>4.1.2.</t>
  </si>
  <si>
    <t>4.3</t>
  </si>
  <si>
    <t>Működési bevételek (5.1.+…+ 5.11.)</t>
  </si>
  <si>
    <t>5.4.</t>
  </si>
  <si>
    <t>5.5.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</si>
  <si>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</si>
  <si>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</si>
  <si>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</si>
  <si>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</si>
  <si>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</si>
  <si>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</si>
  <si>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</si>
  <si>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5.10.</t>
  </si>
  <si>
    <t>5.11.</t>
  </si>
  <si>
    <t>Felhalmozási bevételek (6.1.+…+6.5.)</t>
  </si>
  <si>
    <t>6.1.</t>
  </si>
  <si>
    <t>6.2.</t>
  </si>
  <si>
    <t>6.3.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</si>
  <si>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</si>
  <si>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</si>
  <si>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</si>
  <si>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</si>
  <si>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</si>
  <si>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</si>
  <si>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</si>
  <si>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</si>
  <si>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</si>
  <si>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</si>
  <si>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</si>
  <si>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</si>
  <si>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</si>
  <si>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</si>
  <si>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</si>
  <si>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</si>
  <si>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</si>
  <si>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</si>
  <si>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</si>
  <si>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</si>
  <si>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</si>
  <si>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</si>
  <si>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</si>
  <si>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</si>
  <si>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</si>
  <si>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</si>
  <si>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</si>
  <si>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</si>
  <si>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</si>
  <si>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</si>
  <si>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</si>
  <si>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</si>
  <si>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</si>
  <si>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</si>
  <si>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</si>
  <si>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</si>
  <si>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</si>
  <si>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</si>
  <si>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</si>
  <si>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</si>
  <si>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</si>
  <si>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</si>
  <si>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</si>
  <si>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</si>
  <si>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</si>
  <si>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</si>
  <si>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</si>
  <si>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</si>
  <si>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</si>
  <si>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</si>
  <si>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</si>
  <si>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</si>
  <si>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</si>
  <si>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</si>
  <si>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</si>
  <si>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</si>
  <si>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</si>
  <si>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</si>
  <si>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</si>
  <si>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</si>
  <si>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</si>
  <si>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</si>
  <si>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</si>
  <si>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</si>
  <si>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</si>
  <si>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</si>
  <si>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</si>
  <si>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</si>
  <si>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</si>
  <si>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</si>
  <si>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</si>
  <si>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</si>
  <si>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</si>
  <si>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</si>
  <si>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1.5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</si>
  <si>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</si>
  <si>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</si>
  <si>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</si>
  <si>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</si>
  <si>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</si>
  <si>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</si>
  <si>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</si>
  <si>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</si>
  <si>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</si>
  <si>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</si>
  <si>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</si>
  <si>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</si>
  <si>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</si>
  <si>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</si>
  <si>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</si>
  <si>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</si>
  <si>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</si>
  <si>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</si>
  <si>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</si>
  <si>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</si>
  <si>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</si>
  <si>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</si>
  <si>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</si>
  <si>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</si>
  <si>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</si>
  <si>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</si>
  <si>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</si>
  <si>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</si>
  <si>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</si>
  <si>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</si>
  <si>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</si>
  <si>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</si>
  <si>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</si>
  <si>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</si>
  <si>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</si>
  <si>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</si>
  <si>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</si>
  <si>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</si>
  <si>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</si>
  <si>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</si>
  <si>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</si>
  <si>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</si>
  <si>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</si>
  <si>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</si>
  <si>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</si>
  <si>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</si>
  <si>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</si>
  <si>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</si>
  <si>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</si>
  <si>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</si>
  <si>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</si>
  <si>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</si>
  <si>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</si>
  <si>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</si>
  <si>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</si>
  <si>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</si>
  <si>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</si>
  <si>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</si>
  <si>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</si>
  <si>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</si>
  <si>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</si>
  <si>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</si>
  <si>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</si>
  <si>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</si>
  <si>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</si>
  <si>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</si>
  <si>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</si>
  <si>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</si>
  <si>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</si>
  <si>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</si>
  <si>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</si>
  <si>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Önkormányzatok szociális, gyermekjóléti és étkeztetési  feladatainak támogatása</t>
  </si>
  <si>
    <t>Értékesítési és forgalmi adók</t>
  </si>
  <si>
    <t>4.1.3.</t>
  </si>
  <si>
    <t>Kamatbevételek és nyereség jellegű bevételek</t>
  </si>
  <si>
    <t>I. Működési célú bevételek és kiadások mérlege
(Önkormányzati szinten)</t>
  </si>
  <si>
    <t>Megnevezés</t>
  </si>
  <si>
    <t>2018.évi előirányzat</t>
  </si>
  <si>
    <t>Önkormányzatok működési támogatásai</t>
  </si>
  <si>
    <t>Személyi juttatások</t>
  </si>
  <si>
    <t>2.-ból EU-s támogatás</t>
  </si>
  <si>
    <t xml:space="preserve">Dologi kiadások </t>
  </si>
  <si>
    <t>Működési bevételek</t>
  </si>
  <si>
    <t>6.-ból EU-s támogatás (közvetlen)</t>
  </si>
  <si>
    <t>Költségvetési bevételek összesen (1.+2.+4.+5.+6.+8.+…+12.)</t>
  </si>
  <si>
    <t>Költségvetési kiadások összesen (1.+...+12.)</t>
  </si>
  <si>
    <t>Hiány belső finanszírozásának bevételei (15.+…+18. )</t>
  </si>
  <si>
    <t>Értékpapír vásárlása, visszavásárlása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</si>
  <si>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</si>
  <si>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</si>
  <si>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</si>
  <si>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>Rövid lejáratú hitelek törlesztése</t>
  </si>
  <si>
    <t xml:space="preserve">   Betét visszavonásából származó bevétel </t>
  </si>
  <si>
    <t>Hosszú lejáratú hitelek törlesztése</t>
  </si>
  <si>
    <t xml:space="preserve">   Egyéb belső finanszírozási bevételek</t>
  </si>
  <si>
    <t>Kölcsön törlesztése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</si>
  <si>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</si>
  <si>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</si>
  <si>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</si>
  <si>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 xml:space="preserve">   Értékpapírok bevételei</t>
  </si>
  <si>
    <t>Államháztartáson belüli megelőlegezés visszafizetése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</si>
  <si>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</si>
  <si>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</si>
  <si>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</si>
  <si>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</si>
  <si>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Költségvetési hiány:</t>
  </si>
  <si>
    <t>Költségvetési többlet:</t>
  </si>
  <si>
    <t>Tárgyévi  hiány:</t>
  </si>
  <si>
    <t>Tárgyévi  többlet:</t>
  </si>
  <si>
    <t>01</t>
  </si>
  <si>
    <t>Összes bevétel, kiadás</t>
  </si>
  <si>
    <t>Önkormányzatok szociális és gyermekjóléti feladatainak támogatása</t>
  </si>
  <si>
    <t xml:space="preserve">Az önkormányzat intézményeinek </t>
  </si>
  <si>
    <t xml:space="preserve">2018.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</si>
  <si>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</si>
  <si>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</si>
  <si>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</si>
  <si>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</si>
  <si>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</si>
  <si>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</si>
  <si>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</si>
  <si>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</si>
  <si>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</si>
  <si>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</si>
  <si>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</si>
  <si>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</si>
  <si>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</si>
  <si>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</si>
  <si>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</si>
  <si>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</si>
  <si>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</si>
  <si>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</si>
  <si>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</si>
  <si>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</si>
  <si>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</si>
  <si>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</si>
  <si>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</si>
  <si>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</si>
  <si>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</si>
  <si>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Intézmények összesen:</t>
  </si>
  <si>
    <t xml:space="preserve">"
Tiszavasvári Város Önkormányzata
2018. ÉVI KÖLTSÉGVETÉSÉNEK PÉNZÜGYI MÉRLEGE"    
</t>
  </si>
  <si>
    <t>2016. évi tény</t>
  </si>
  <si>
    <t>2017. évi módosított előirányzat</t>
  </si>
  <si>
    <t>Helyi adók</t>
  </si>
  <si>
    <t>Vagyoni típusú adók</t>
  </si>
  <si>
    <t>Jövedelem adó</t>
  </si>
  <si>
    <t>Kamatbevételek és más nyereségjellegű bevételek</t>
  </si>
  <si>
    <t>Hitel-, kölcsönfelvétel államháztartáson kívülről  (10.1.+…+10.3.)</t>
  </si>
  <si>
    <t>Előirányzat-felhasználási terv
2018.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</si>
  <si>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</si>
  <si>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</si>
  <si>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</si>
  <si>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</si>
  <si>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</si>
  <si>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</si>
  <si>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</si>
  <si>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</si>
  <si>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</si>
  <si>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</si>
  <si>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</si>
  <si>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</si>
  <si>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</si>
  <si>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</si>
  <si>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Finanszírozási bevételek</t>
  </si>
  <si>
    <t>Bevételek összesen:</t>
  </si>
  <si>
    <t xml:space="preserve"> Egyéb működési célú kiadások</t>
  </si>
  <si>
    <t>Kiadások összesen: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</si>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</sst>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color indexed="10"/>
      <name val="Times New Roman CE"/>
      <charset val="238"/>
    </font>
    <font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indexed="8"/>
      <name val="Times New Roman CE"/>
      <charset val="238"/>
    </font>
    <font>
      <sz val="10"/>
      <name val="Arial CE"/>
      <charset val="238"/>
    </font>
    <font>
      <i/>
      <sz val="10"/>
      <name val="Times New Roman CE"/>
      <charset val="238"/>
    </font>
    <font>
      <b/>
      <sz val="14"/>
      <color indexed="10"/>
      <name val="Times New Roman CE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10"/>
      <name val="MS Sans Serif"/>
      <family val="2"/>
      <charset val="238"/>
    </font>
    <font>
      <b/>
      <sz val="8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MS Sans Serif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2" borderId="0" applyNumberFormat="0" applyBorder="0" applyAlignment="0" applyProtection="0"/>
    <xf numFmtId="0" fontId="32" fillId="6" borderId="0" applyNumberFormat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4" fillId="0" borderId="0"/>
    <xf numFmtId="0" fontId="36" fillId="0" borderId="0"/>
    <xf numFmtId="0" fontId="3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/>
    <xf numFmtId="0" fontId="34" fillId="0" borderId="0"/>
    <xf numFmtId="0" fontId="10" fillId="0" borderId="0"/>
    <xf numFmtId="0" fontId="51" fillId="0" borderId="0"/>
    <xf numFmtId="0" fontId="34" fillId="0" borderId="0"/>
    <xf numFmtId="0" fontId="1" fillId="0" borderId="0"/>
  </cellStyleXfs>
  <cellXfs count="497">
    <xf numFmtId="0" fontId="0" fillId="0" borderId="0" xfId="0"/>
    <xf numFmtId="0" fontId="18" fillId="0" borderId="1" xfId="18" applyFont="1" applyFill="1" applyBorder="1" applyAlignment="1" applyProtection="1">
      <alignment horizontal="left" vertical="center" wrapText="1" indent="1"/>
    </xf>
    <xf numFmtId="0" fontId="18" fillId="0" borderId="2" xfId="18" applyFont="1" applyFill="1" applyBorder="1" applyAlignment="1" applyProtection="1">
      <alignment horizontal="left" vertical="center" wrapText="1" indent="1"/>
    </xf>
    <xf numFmtId="0" fontId="18" fillId="0" borderId="3" xfId="18" applyFont="1" applyFill="1" applyBorder="1" applyAlignment="1" applyProtection="1">
      <alignment horizontal="left" vertical="center" wrapText="1" indent="1"/>
    </xf>
    <xf numFmtId="0" fontId="18" fillId="0" borderId="4" xfId="18" applyFont="1" applyFill="1" applyBorder="1" applyAlignment="1" applyProtection="1">
      <alignment horizontal="left" vertical="center" wrapText="1" indent="1"/>
    </xf>
    <xf numFmtId="0" fontId="18" fillId="0" borderId="5" xfId="18" applyFont="1" applyFill="1" applyBorder="1" applyAlignment="1" applyProtection="1">
      <alignment horizontal="left" vertical="center" wrapText="1" indent="1"/>
    </xf>
    <xf numFmtId="49" fontId="18" fillId="0" borderId="7" xfId="18" applyNumberFormat="1" applyFont="1" applyFill="1" applyBorder="1" applyAlignment="1" applyProtection="1">
      <alignment horizontal="left" vertical="center" wrapText="1" indent="1"/>
    </xf>
    <xf numFmtId="49" fontId="18" fillId="0" borderId="8" xfId="18" applyNumberFormat="1" applyFont="1" applyFill="1" applyBorder="1" applyAlignment="1" applyProtection="1">
      <alignment horizontal="left" vertical="center" wrapText="1" indent="1"/>
    </xf>
    <xf numFmtId="49" fontId="18" fillId="0" borderId="9" xfId="18" applyNumberFormat="1" applyFont="1" applyFill="1" applyBorder="1" applyAlignment="1" applyProtection="1">
      <alignment horizontal="left" vertical="center" wrapText="1" indent="1"/>
    </xf>
    <xf numFmtId="0" fontId="16" fillId="0" borderId="12" xfId="18" applyFont="1" applyFill="1" applyBorder="1" applyAlignment="1" applyProtection="1">
      <alignment horizontal="left" vertical="center" wrapText="1" indent="1"/>
    </xf>
    <xf numFmtId="0" fontId="7" fillId="0" borderId="12" xfId="18" applyFont="1" applyFill="1" applyBorder="1" applyAlignment="1" applyProtection="1">
      <alignment horizontal="center" vertical="center" wrapText="1"/>
    </xf>
    <xf numFmtId="0" fontId="7" fillId="0" borderId="13" xfId="18" applyFont="1" applyFill="1" applyBorder="1" applyAlignment="1" applyProtection="1">
      <alignment horizontal="center" vertical="center" wrapText="1"/>
    </xf>
    <xf numFmtId="0" fontId="16" fillId="0" borderId="13" xfId="18" applyFont="1" applyFill="1" applyBorder="1" applyAlignment="1" applyProtection="1">
      <alignment vertical="center" wrapText="1"/>
    </xf>
    <xf numFmtId="0" fontId="16" fillId="0" borderId="12" xfId="18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18" applyFont="1" applyFill="1" applyBorder="1" applyAlignment="1" applyProtection="1">
      <alignment horizontal="left" vertical="center" wrapText="1" indent="1"/>
    </xf>
    <xf numFmtId="0" fontId="24" fillId="0" borderId="24" xfId="18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18" fillId="0" borderId="35" xfId="18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5" xfId="0" applyFont="1" applyBorder="1" applyAlignment="1" applyProtection="1">
      <alignment horizontal="left" vertical="center" wrapText="1" indent="1"/>
    </xf>
    <xf numFmtId="0" fontId="22" fillId="0" borderId="38" xfId="0" applyFont="1" applyBorder="1" applyAlignment="1" applyProtection="1">
      <alignment horizontal="left" vertical="center" wrapText="1" indent="1"/>
    </xf>
    <xf numFmtId="0" fontId="5" fillId="0" borderId="23" xfId="0" applyFont="1" applyFill="1" applyBorder="1" applyAlignment="1" applyProtection="1">
      <alignment horizontal="right" vertical="center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8" xfId="0" applyNumberFormat="1" applyFont="1" applyFill="1" applyBorder="1" applyAlignment="1" applyProtection="1">
      <alignment horizontal="right" vertical="center" wrapText="1" indent="1"/>
    </xf>
    <xf numFmtId="164" fontId="24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4" xfId="0" applyFont="1" applyBorder="1" applyAlignment="1" applyProtection="1">
      <alignment horizontal="left" vertical="center" wrapText="1" indent="1"/>
    </xf>
    <xf numFmtId="0" fontId="10" fillId="0" borderId="0" xfId="18" applyFont="1" applyFill="1" applyProtection="1"/>
    <xf numFmtId="0" fontId="10" fillId="0" borderId="0" xfId="18" applyFont="1" applyFill="1" applyAlignment="1" applyProtection="1">
      <alignment horizontal="right" vertical="center" indent="1"/>
    </xf>
    <xf numFmtId="0" fontId="16" fillId="0" borderId="14" xfId="18" applyFont="1" applyFill="1" applyBorder="1" applyAlignment="1" applyProtection="1">
      <alignment horizontal="center" vertical="center" wrapText="1"/>
    </xf>
    <xf numFmtId="0" fontId="16" fillId="0" borderId="15" xfId="18" applyFont="1" applyFill="1" applyBorder="1" applyAlignment="1" applyProtection="1">
      <alignment horizontal="center" vertical="center" wrapText="1"/>
    </xf>
    <xf numFmtId="0" fontId="10" fillId="0" borderId="0" xfId="18" applyFill="1" applyProtection="1"/>
    <xf numFmtId="0" fontId="18" fillId="0" borderId="0" xfId="18" applyFont="1" applyFill="1" applyProtection="1"/>
    <xf numFmtId="0" fontId="13" fillId="0" borderId="0" xfId="18" applyFont="1" applyFill="1" applyProtection="1"/>
    <xf numFmtId="0" fontId="19" fillId="0" borderId="0" xfId="18" applyFont="1" applyFill="1" applyProtection="1"/>
    <xf numFmtId="0" fontId="24" fillId="0" borderId="3" xfId="18" applyFont="1" applyFill="1" applyBorder="1" applyAlignment="1" applyProtection="1">
      <alignment horizontal="left" vertical="center" wrapText="1" indent="1"/>
    </xf>
    <xf numFmtId="0" fontId="24" fillId="0" borderId="2" xfId="18" applyFont="1" applyFill="1" applyBorder="1" applyAlignment="1" applyProtection="1">
      <alignment horizontal="left" vertical="center" wrapText="1" indent="1"/>
    </xf>
    <xf numFmtId="164" fontId="16" fillId="0" borderId="18" xfId="18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8" xfId="18" applyFont="1" applyFill="1" applyBorder="1" applyAlignment="1" applyProtection="1">
      <alignment horizontal="left" vertical="center" wrapText="1" indent="1"/>
    </xf>
    <xf numFmtId="0" fontId="18" fillId="0" borderId="0" xfId="18" applyFont="1" applyFill="1"/>
    <xf numFmtId="164" fontId="16" fillId="0" borderId="42" xfId="18" applyNumberFormat="1" applyFont="1" applyFill="1" applyBorder="1" applyAlignment="1" applyProtection="1">
      <alignment horizontal="right" vertical="center" wrapText="1" indent="1"/>
    </xf>
    <xf numFmtId="164" fontId="18" fillId="0" borderId="46" xfId="18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7" xfId="18" applyFont="1" applyFill="1" applyBorder="1" applyAlignment="1" applyProtection="1">
      <alignment horizontal="center" vertical="center" wrapText="1"/>
    </xf>
    <xf numFmtId="0" fontId="6" fillId="0" borderId="47" xfId="18" applyFont="1" applyFill="1" applyBorder="1" applyAlignment="1" applyProtection="1">
      <alignment vertical="center" wrapText="1"/>
    </xf>
    <xf numFmtId="164" fontId="20" fillId="0" borderId="42" xfId="0" quotePrefix="1" applyNumberFormat="1" applyFont="1" applyBorder="1" applyAlignment="1" applyProtection="1">
      <alignment horizontal="right" vertical="center" wrapText="1" indent="1"/>
    </xf>
    <xf numFmtId="0" fontId="21" fillId="0" borderId="55" xfId="0" applyFont="1" applyBorder="1" applyAlignment="1" applyProtection="1">
      <alignment horizontal="left" wrapText="1" indent="1"/>
    </xf>
    <xf numFmtId="0" fontId="21" fillId="0" borderId="45" xfId="0" applyFont="1" applyBorder="1" applyAlignment="1" applyProtection="1">
      <alignment horizontal="left" wrapText="1" indent="1"/>
    </xf>
    <xf numFmtId="0" fontId="21" fillId="0" borderId="56" xfId="0" applyFont="1" applyBorder="1" applyAlignment="1" applyProtection="1">
      <alignment horizontal="left" wrapText="1" indent="1"/>
    </xf>
    <xf numFmtId="0" fontId="16" fillId="0" borderId="57" xfId="18" applyFont="1" applyFill="1" applyBorder="1" applyAlignment="1" applyProtection="1">
      <alignment horizontal="center" vertical="center" wrapText="1"/>
    </xf>
    <xf numFmtId="0" fontId="16" fillId="0" borderId="57" xfId="18" applyFont="1" applyFill="1" applyBorder="1" applyAlignment="1" applyProtection="1">
      <alignment horizontal="left" vertical="center" wrapText="1" indent="1"/>
    </xf>
    <xf numFmtId="0" fontId="22" fillId="0" borderId="57" xfId="0" applyFont="1" applyBorder="1" applyAlignment="1" applyProtection="1">
      <alignment horizontal="left" vertical="center" wrapText="1" indent="1"/>
    </xf>
    <xf numFmtId="0" fontId="7" fillId="0" borderId="57" xfId="18" applyFont="1" applyFill="1" applyBorder="1" applyAlignment="1" applyProtection="1">
      <alignment horizontal="center" vertical="center" wrapText="1"/>
    </xf>
    <xf numFmtId="164" fontId="3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0" xfId="18" applyNumberFormat="1" applyFont="1" applyFill="1" applyProtection="1"/>
    <xf numFmtId="0" fontId="24" fillId="0" borderId="0" xfId="18" applyFont="1" applyFill="1" applyProtection="1"/>
    <xf numFmtId="0" fontId="7" fillId="0" borderId="18" xfId="18" applyFont="1" applyFill="1" applyBorder="1" applyAlignment="1" applyProtection="1">
      <alignment horizontal="center" vertical="center" wrapText="1"/>
    </xf>
    <xf numFmtId="0" fontId="16" fillId="0" borderId="27" xfId="18" applyFont="1" applyFill="1" applyBorder="1" applyAlignment="1" applyProtection="1">
      <alignment horizontal="center" vertical="center" wrapText="1"/>
    </xf>
    <xf numFmtId="0" fontId="16" fillId="0" borderId="13" xfId="18" applyFont="1" applyFill="1" applyBorder="1" applyAlignment="1" applyProtection="1">
      <alignment horizontal="left" vertical="center" wrapText="1" indent="1"/>
    </xf>
    <xf numFmtId="164" fontId="16" fillId="0" borderId="18" xfId="18" applyNumberFormat="1" applyFont="1" applyFill="1" applyBorder="1" applyAlignment="1" applyProtection="1">
      <alignment horizontal="right" vertical="center" wrapText="1" indent="1"/>
    </xf>
    <xf numFmtId="3" fontId="23" fillId="0" borderId="26" xfId="18" applyNumberFormat="1" applyFont="1" applyFill="1" applyBorder="1" applyProtection="1"/>
    <xf numFmtId="0" fontId="21" fillId="0" borderId="3" xfId="0" applyFont="1" applyBorder="1" applyAlignment="1" applyProtection="1">
      <alignment horizontal="left" wrapText="1" indent="1"/>
    </xf>
    <xf numFmtId="164" fontId="24" fillId="0" borderId="19" xfId="18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9" xfId="18" applyNumberFormat="1" applyFont="1" applyFill="1" applyBorder="1" applyProtection="1"/>
    <xf numFmtId="0" fontId="21" fillId="0" borderId="2" xfId="0" applyFont="1" applyBorder="1" applyAlignment="1" applyProtection="1">
      <alignment horizontal="left" wrapText="1" indent="1"/>
    </xf>
    <xf numFmtId="164" fontId="37" fillId="0" borderId="17" xfId="18" applyNumberFormat="1" applyFont="1" applyFill="1" applyBorder="1" applyAlignment="1" applyProtection="1">
      <alignment horizontal="right" vertical="center" wrapText="1" indent="1"/>
    </xf>
    <xf numFmtId="164" fontId="24" fillId="0" borderId="17" xfId="18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18" applyNumberFormat="1" applyFont="1" applyFill="1" applyBorder="1" applyProtection="1"/>
    <xf numFmtId="0" fontId="21" fillId="0" borderId="2" xfId="0" applyFont="1" applyBorder="1" applyAlignment="1" applyProtection="1">
      <alignment horizontal="left" vertical="center" wrapText="1" indent="1"/>
    </xf>
    <xf numFmtId="164" fontId="24" fillId="0" borderId="21" xfId="18" applyNumberFormat="1" applyFont="1" applyFill="1" applyBorder="1" applyAlignment="1" applyProtection="1">
      <alignment horizontal="right" vertical="center" wrapText="1" indent="1"/>
    </xf>
    <xf numFmtId="164" fontId="18" fillId="0" borderId="17" xfId="18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2" xfId="18" applyNumberFormat="1" applyFont="1" applyFill="1" applyBorder="1" applyProtection="1"/>
    <xf numFmtId="0" fontId="22" fillId="0" borderId="13" xfId="0" applyFont="1" applyBorder="1" applyAlignment="1" applyProtection="1">
      <alignment horizontal="left" vertical="center" wrapText="1" indent="1"/>
    </xf>
    <xf numFmtId="164" fontId="24" fillId="0" borderId="16" xfId="18" applyNumberFormat="1" applyFont="1" applyFill="1" applyBorder="1" applyAlignment="1" applyProtection="1">
      <alignment horizontal="right" vertical="center" wrapText="1" indent="1"/>
    </xf>
    <xf numFmtId="164" fontId="18" fillId="0" borderId="19" xfId="18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18" applyNumberFormat="1" applyFont="1" applyFill="1" applyBorder="1" applyAlignment="1" applyProtection="1">
      <alignment horizontal="right" vertical="center" wrapText="1" indent="1"/>
    </xf>
    <xf numFmtId="164" fontId="50" fillId="0" borderId="35" xfId="18" applyNumberFormat="1" applyFont="1" applyFill="1" applyBorder="1" applyAlignment="1" applyProtection="1">
      <alignment horizontal="right" vertical="center" wrapText="1" indent="1"/>
      <protection locked="0"/>
    </xf>
    <xf numFmtId="164" fontId="50" fillId="0" borderId="17" xfId="18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1" xfId="18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6" xfId="18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19" xfId="18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18" applyNumberFormat="1" applyFont="1" applyFill="1" applyBorder="1" applyAlignment="1" applyProtection="1">
      <alignment horizontal="right" vertical="center" wrapText="1" indent="1"/>
    </xf>
    <xf numFmtId="164" fontId="24" fillId="0" borderId="35" xfId="18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5" xfId="0" applyFont="1" applyBorder="1" applyAlignment="1" applyProtection="1">
      <alignment horizontal="left" wrapText="1" indent="1"/>
    </xf>
    <xf numFmtId="164" fontId="23" fillId="0" borderId="42" xfId="18" applyNumberFormat="1" applyFont="1" applyFill="1" applyBorder="1" applyAlignment="1" applyProtection="1">
      <alignment horizontal="right" vertical="center" wrapText="1" indent="1"/>
    </xf>
    <xf numFmtId="164" fontId="23" fillId="0" borderId="18" xfId="18" applyNumberFormat="1" applyFont="1" applyFill="1" applyBorder="1" applyAlignment="1" applyProtection="1">
      <alignment horizontal="right" vertical="center" wrapText="1" indent="1"/>
    </xf>
    <xf numFmtId="164" fontId="18" fillId="0" borderId="46" xfId="18" applyNumberFormat="1" applyFont="1" applyFill="1" applyBorder="1" applyAlignment="1" applyProtection="1">
      <alignment horizontal="right" vertical="center" wrapText="1" indent="1"/>
    </xf>
    <xf numFmtId="164" fontId="18" fillId="0" borderId="19" xfId="18" applyNumberFormat="1" applyFont="1" applyFill="1" applyBorder="1" applyAlignment="1" applyProtection="1">
      <alignment horizontal="right" vertical="center" wrapText="1" indent="1"/>
    </xf>
    <xf numFmtId="164" fontId="37" fillId="0" borderId="35" xfId="18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18" applyNumberFormat="1" applyFont="1" applyFill="1" applyBorder="1" applyAlignment="1" applyProtection="1">
      <alignment horizontal="right" vertical="center" wrapText="1" indent="1"/>
    </xf>
    <xf numFmtId="164" fontId="16" fillId="0" borderId="21" xfId="18" applyNumberFormat="1" applyFont="1" applyFill="1" applyBorder="1" applyAlignment="1" applyProtection="1">
      <alignment horizontal="right" vertical="center" wrapText="1" indent="1"/>
    </xf>
    <xf numFmtId="164" fontId="16" fillId="0" borderId="26" xfId="18" applyNumberFormat="1" applyFont="1" applyFill="1" applyBorder="1" applyAlignment="1" applyProtection="1">
      <alignment horizontal="right" vertical="center" wrapText="1" indent="1"/>
    </xf>
    <xf numFmtId="164" fontId="16" fillId="0" borderId="19" xfId="18" applyNumberFormat="1" applyFont="1" applyFill="1" applyBorder="1" applyAlignment="1" applyProtection="1">
      <alignment horizontal="right" vertical="center" wrapText="1" indent="1"/>
    </xf>
    <xf numFmtId="164" fontId="18" fillId="0" borderId="31" xfId="18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2" xfId="18" applyFont="1" applyFill="1" applyBorder="1" applyAlignment="1" applyProtection="1">
      <alignment horizontal="left" vertical="center" wrapText="1"/>
    </xf>
    <xf numFmtId="0" fontId="22" fillId="0" borderId="12" xfId="0" applyFont="1" applyBorder="1" applyAlignment="1" applyProtection="1">
      <alignment vertical="center" wrapText="1"/>
    </xf>
    <xf numFmtId="0" fontId="21" fillId="0" borderId="5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wrapText="1"/>
    </xf>
    <xf numFmtId="0" fontId="21" fillId="0" borderId="7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164" fontId="16" fillId="0" borderId="42" xfId="18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wrapText="1"/>
    </xf>
    <xf numFmtId="0" fontId="22" fillId="0" borderId="38" xfId="0" applyFont="1" applyBorder="1" applyAlignment="1" applyProtection="1">
      <alignment vertical="center" wrapText="1"/>
    </xf>
    <xf numFmtId="0" fontId="22" fillId="0" borderId="24" xfId="0" applyFont="1" applyBorder="1" applyAlignment="1" applyProtection="1">
      <alignment wrapText="1"/>
    </xf>
    <xf numFmtId="0" fontId="6" fillId="0" borderId="0" xfId="18" applyFont="1" applyFill="1" applyBorder="1" applyAlignment="1" applyProtection="1">
      <alignment horizontal="center" vertical="center" wrapText="1"/>
    </xf>
    <xf numFmtId="0" fontId="6" fillId="0" borderId="0" xfId="18" applyFont="1" applyFill="1" applyBorder="1" applyAlignment="1" applyProtection="1">
      <alignment vertical="center" wrapText="1"/>
    </xf>
    <xf numFmtId="164" fontId="6" fillId="0" borderId="0" xfId="18" applyNumberFormat="1" applyFont="1" applyFill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horizontal="right"/>
    </xf>
    <xf numFmtId="0" fontId="10" fillId="0" borderId="0" xfId="18" applyFill="1" applyAlignment="1" applyProtection="1"/>
    <xf numFmtId="0" fontId="16" fillId="0" borderId="13" xfId="18" applyFont="1" applyFill="1" applyBorder="1" applyAlignment="1" applyProtection="1">
      <alignment horizontal="center" vertical="center" wrapText="1"/>
    </xf>
    <xf numFmtId="0" fontId="16" fillId="0" borderId="14" xfId="18" applyFont="1" applyFill="1" applyBorder="1" applyAlignment="1" applyProtection="1">
      <alignment horizontal="left" vertical="center" wrapText="1" indent="1"/>
    </xf>
    <xf numFmtId="0" fontId="16" fillId="0" borderId="15" xfId="18" applyFont="1" applyFill="1" applyBorder="1" applyAlignment="1" applyProtection="1">
      <alignment vertical="center" wrapText="1"/>
    </xf>
    <xf numFmtId="164" fontId="16" fillId="0" borderId="18" xfId="18" applyNumberFormat="1" applyFont="1" applyFill="1" applyBorder="1" applyAlignment="1" applyProtection="1">
      <alignment horizontal="center" vertical="center" wrapText="1"/>
    </xf>
    <xf numFmtId="164" fontId="16" fillId="0" borderId="48" xfId="18" applyNumberFormat="1" applyFont="1" applyFill="1" applyBorder="1" applyAlignment="1" applyProtection="1">
      <alignment horizontal="right" vertical="center" wrapText="1" indent="1"/>
    </xf>
    <xf numFmtId="164" fontId="16" fillId="0" borderId="27" xfId="18" applyNumberFormat="1" applyFont="1" applyFill="1" applyBorder="1" applyAlignment="1" applyProtection="1">
      <alignment horizontal="right" vertical="center" wrapText="1" indent="1"/>
    </xf>
    <xf numFmtId="49" fontId="18" fillId="0" borderId="10" xfId="18" applyNumberFormat="1" applyFont="1" applyFill="1" applyBorder="1" applyAlignment="1" applyProtection="1">
      <alignment horizontal="left" vertical="center" wrapText="1" indent="1"/>
    </xf>
    <xf numFmtId="164" fontId="37" fillId="0" borderId="19" xfId="18" applyNumberFormat="1" applyFont="1" applyFill="1" applyBorder="1" applyAlignment="1" applyProtection="1">
      <alignment horizontal="center" vertical="center" wrapText="1"/>
    </xf>
    <xf numFmtId="164" fontId="24" fillId="0" borderId="50" xfId="18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18" applyNumberFormat="1" applyFont="1" applyFill="1" applyBorder="1" applyAlignment="1" applyProtection="1">
      <alignment horizontal="right" vertical="center" wrapText="1" indent="1"/>
      <protection locked="0"/>
    </xf>
    <xf numFmtId="164" fontId="50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18" applyNumberFormat="1" applyFont="1" applyFill="1" applyBorder="1" applyAlignment="1" applyProtection="1">
      <alignment horizontal="center" vertical="center" wrapText="1"/>
    </xf>
    <xf numFmtId="0" fontId="18" fillId="0" borderId="5" xfId="18" applyFont="1" applyFill="1" applyBorder="1" applyAlignment="1" applyProtection="1">
      <alignment horizontal="left" vertical="center" wrapText="1" indent="6"/>
    </xf>
    <xf numFmtId="0" fontId="18" fillId="0" borderId="2" xfId="18" applyFont="1" applyFill="1" applyBorder="1" applyAlignment="1" applyProtection="1">
      <alignment horizontal="left" indent="6"/>
    </xf>
    <xf numFmtId="0" fontId="18" fillId="0" borderId="2" xfId="18" applyFont="1" applyFill="1" applyBorder="1" applyAlignment="1" applyProtection="1">
      <alignment horizontal="left" vertical="center" wrapText="1" indent="6"/>
    </xf>
    <xf numFmtId="49" fontId="18" fillId="0" borderId="6" xfId="18" applyNumberFormat="1" applyFont="1" applyFill="1" applyBorder="1" applyAlignment="1" applyProtection="1">
      <alignment horizontal="left" vertical="center" wrapText="1" indent="1"/>
    </xf>
    <xf numFmtId="49" fontId="18" fillId="0" borderId="11" xfId="18" applyNumberFormat="1" applyFont="1" applyFill="1" applyBorder="1" applyAlignment="1" applyProtection="1">
      <alignment horizontal="left" vertical="center" wrapText="1" indent="1"/>
    </xf>
    <xf numFmtId="0" fontId="18" fillId="0" borderId="20" xfId="18" applyFont="1" applyFill="1" applyBorder="1" applyAlignment="1" applyProtection="1">
      <alignment horizontal="left" vertical="center" wrapText="1" indent="7"/>
    </xf>
    <xf numFmtId="164" fontId="24" fillId="0" borderId="39" xfId="18" applyNumberFormat="1" applyFont="1" applyFill="1" applyBorder="1" applyAlignment="1" applyProtection="1">
      <alignment horizontal="center" vertical="center" wrapText="1"/>
    </xf>
    <xf numFmtId="164" fontId="24" fillId="0" borderId="59" xfId="18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18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58" xfId="18" applyFont="1" applyFill="1" applyBorder="1" applyAlignment="1" applyProtection="1">
      <alignment vertical="center" wrapText="1"/>
    </xf>
    <xf numFmtId="164" fontId="23" fillId="0" borderId="26" xfId="18" applyNumberFormat="1" applyFont="1" applyFill="1" applyBorder="1" applyAlignment="1" applyProtection="1">
      <alignment horizontal="center" vertical="center" wrapText="1"/>
    </xf>
    <xf numFmtId="164" fontId="16" fillId="0" borderId="25" xfId="18" applyNumberFormat="1" applyFont="1" applyFill="1" applyBorder="1" applyAlignment="1" applyProtection="1">
      <alignment horizontal="right" vertical="center" wrapText="1" indent="1"/>
    </xf>
    <xf numFmtId="164" fontId="24" fillId="7" borderId="46" xfId="18" applyNumberFormat="1" applyFont="1" applyFill="1" applyBorder="1" applyAlignment="1" applyProtection="1">
      <alignment horizontal="right" vertical="center" wrapText="1" indent="1"/>
      <protection locked="0"/>
    </xf>
    <xf numFmtId="164" fontId="24" fillId="7" borderId="35" xfId="18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5" xfId="18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" xfId="18" applyFont="1" applyFill="1" applyBorder="1" applyAlignment="1" applyProtection="1">
      <alignment horizontal="left" vertical="center" wrapText="1" indent="6"/>
    </xf>
    <xf numFmtId="0" fontId="23" fillId="0" borderId="57" xfId="18" applyFont="1" applyFill="1" applyBorder="1" applyAlignment="1" applyProtection="1">
      <alignment horizontal="left" vertical="center" wrapText="1" indent="1"/>
    </xf>
    <xf numFmtId="164" fontId="23" fillId="0" borderId="39" xfId="18" applyNumberFormat="1" applyFont="1" applyFill="1" applyBorder="1" applyAlignment="1" applyProtection="1">
      <alignment horizontal="center" vertical="center" wrapText="1"/>
    </xf>
    <xf numFmtId="164" fontId="23" fillId="0" borderId="19" xfId="18" applyNumberFormat="1" applyFont="1" applyFill="1" applyBorder="1" applyAlignment="1" applyProtection="1">
      <alignment horizontal="center" vertical="center" wrapText="1"/>
    </xf>
    <xf numFmtId="164" fontId="22" fillId="0" borderId="42" xfId="0" applyNumberFormat="1" applyFont="1" applyBorder="1" applyAlignment="1" applyProtection="1">
      <alignment horizontal="right" vertical="center" wrapText="1" indent="1"/>
    </xf>
    <xf numFmtId="164" fontId="22" fillId="0" borderId="18" xfId="0" applyNumberFormat="1" applyFont="1" applyBorder="1" applyAlignment="1" applyProtection="1">
      <alignment horizontal="right" vertical="center" wrapText="1" indent="1"/>
    </xf>
    <xf numFmtId="164" fontId="22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18" xfId="0" quotePrefix="1" applyNumberFormat="1" applyFont="1" applyBorder="1" applyAlignment="1" applyProtection="1">
      <alignment horizontal="right" vertical="center" wrapText="1" indent="1"/>
    </xf>
    <xf numFmtId="0" fontId="20" fillId="0" borderId="58" xfId="0" applyFont="1" applyBorder="1" applyAlignment="1" applyProtection="1">
      <alignment horizontal="left" vertical="center" wrapText="1" indent="1"/>
    </xf>
    <xf numFmtId="0" fontId="3" fillId="0" borderId="0" xfId="18" applyFont="1" applyFill="1" applyAlignment="1" applyProtection="1">
      <alignment horizontal="right" vertical="center" indent="1"/>
    </xf>
    <xf numFmtId="164" fontId="37" fillId="0" borderId="19" xfId="18" applyNumberFormat="1" applyFont="1" applyFill="1" applyBorder="1" applyAlignment="1" applyProtection="1">
      <alignment horizontal="right" vertical="center" wrapText="1" indent="1"/>
    </xf>
    <xf numFmtId="164" fontId="24" fillId="0" borderId="22" xfId="18" applyNumberFormat="1" applyFont="1" applyFill="1" applyBorder="1" applyAlignment="1" applyProtection="1">
      <alignment horizontal="right" vertical="center" wrapText="1" indent="1"/>
    </xf>
    <xf numFmtId="164" fontId="18" fillId="0" borderId="17" xfId="18" applyNumberFormat="1" applyFont="1" applyFill="1" applyBorder="1" applyAlignment="1" applyProtection="1">
      <alignment horizontal="right" vertical="center" wrapText="1" indent="1"/>
    </xf>
    <xf numFmtId="164" fontId="24" fillId="0" borderId="19" xfId="18" applyNumberFormat="1" applyFont="1" applyFill="1" applyBorder="1" applyAlignment="1" applyProtection="1">
      <alignment horizontal="right" vertical="center" wrapText="1" indent="1"/>
    </xf>
    <xf numFmtId="164" fontId="18" fillId="0" borderId="22" xfId="18" applyNumberFormat="1" applyFont="1" applyFill="1" applyBorder="1" applyAlignment="1" applyProtection="1">
      <alignment horizontal="right" vertical="center" wrapText="1" indent="1"/>
    </xf>
    <xf numFmtId="164" fontId="18" fillId="0" borderId="18" xfId="18" applyNumberFormat="1" applyFont="1" applyFill="1" applyBorder="1" applyAlignment="1" applyProtection="1">
      <alignment horizontal="right" vertical="center" wrapText="1" indent="1"/>
    </xf>
    <xf numFmtId="164" fontId="18" fillId="0" borderId="27" xfId="18" applyNumberFormat="1" applyFont="1" applyFill="1" applyBorder="1" applyAlignment="1" applyProtection="1">
      <alignment horizontal="right" vertical="center" wrapText="1" indent="1"/>
    </xf>
    <xf numFmtId="164" fontId="24" fillId="0" borderId="3" xfId="18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18" applyNumberFormat="1" applyFont="1" applyFill="1" applyBorder="1" applyAlignment="1" applyProtection="1">
      <alignment horizontal="right" vertical="center" wrapText="1" indent="1"/>
      <protection locked="0"/>
    </xf>
    <xf numFmtId="164" fontId="35" fillId="0" borderId="31" xfId="18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4" xfId="18" applyFont="1" applyFill="1" applyBorder="1" applyAlignment="1" applyProtection="1">
      <alignment vertical="center" wrapText="1"/>
    </xf>
    <xf numFmtId="164" fontId="10" fillId="0" borderId="0" xfId="18" applyNumberFormat="1" applyFill="1" applyProtection="1"/>
    <xf numFmtId="0" fontId="18" fillId="0" borderId="0" xfId="18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8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3" fillId="0" borderId="26" xfId="0" applyNumberFormat="1" applyFont="1" applyFill="1" applyBorder="1" applyAlignment="1" applyProtection="1">
      <alignment horizontal="center" vertical="center" wrapText="1"/>
    </xf>
    <xf numFmtId="164" fontId="23" fillId="0" borderId="12" xfId="0" applyNumberFormat="1" applyFont="1" applyFill="1" applyBorder="1" applyAlignment="1" applyProtection="1">
      <alignment horizontal="center" vertical="center" wrapText="1"/>
    </xf>
    <xf numFmtId="164" fontId="23" fillId="0" borderId="13" xfId="0" applyNumberFormat="1" applyFont="1" applyFill="1" applyBorder="1" applyAlignment="1" applyProtection="1">
      <alignment horizontal="center" vertical="center" wrapText="1"/>
    </xf>
    <xf numFmtId="164" fontId="23" fillId="0" borderId="18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60" xfId="0" applyNumberFormat="1" applyFont="1" applyFill="1" applyBorder="1" applyAlignment="1" applyProtection="1">
      <alignment horizontal="left" vertical="center" wrapText="1" indent="1"/>
    </xf>
    <xf numFmtId="164" fontId="24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6" xfId="0" applyNumberFormat="1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right" vertical="center" wrapText="1" indent="1"/>
    </xf>
    <xf numFmtId="164" fontId="1" fillId="0" borderId="37" xfId="0" applyNumberFormat="1" applyFont="1" applyFill="1" applyBorder="1" applyAlignment="1" applyProtection="1">
      <alignment horizontal="left" vertical="center" wrapText="1" indent="1"/>
    </xf>
    <xf numFmtId="164" fontId="24" fillId="0" borderId="6" xfId="0" applyNumberFormat="1" applyFont="1" applyFill="1" applyBorder="1" applyAlignment="1" applyProtection="1">
      <alignment horizontal="lef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164" fontId="1" fillId="0" borderId="41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8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12" xfId="0" applyNumberFormat="1" applyFont="1" applyFill="1" applyBorder="1" applyAlignment="1" applyProtection="1">
      <alignment horizontal="left" vertical="center" wrapText="1" indent="1"/>
    </xf>
    <xf numFmtId="164" fontId="25" fillId="0" borderId="42" xfId="0" applyNumberFormat="1" applyFont="1" applyFill="1" applyBorder="1" applyAlignment="1" applyProtection="1">
      <alignment horizontal="right" vertical="center" wrapText="1" indent="1"/>
    </xf>
    <xf numFmtId="164" fontId="26" fillId="0" borderId="42" xfId="0" applyNumberFormat="1" applyFont="1" applyFill="1" applyBorder="1" applyAlignment="1" applyProtection="1">
      <alignment horizontal="right" vertical="center" wrapText="1" indent="1"/>
    </xf>
    <xf numFmtId="0" fontId="13" fillId="0" borderId="0" xfId="25" applyFont="1"/>
    <xf numFmtId="0" fontId="46" fillId="0" borderId="0" xfId="25" applyFont="1"/>
    <xf numFmtId="0" fontId="54" fillId="0" borderId="0" xfId="25" applyFont="1"/>
    <xf numFmtId="0" fontId="55" fillId="0" borderId="0" xfId="25" applyFont="1"/>
    <xf numFmtId="0" fontId="56" fillId="0" borderId="0" xfId="25" applyFont="1" applyAlignment="1">
      <alignment horizontal="centerContinuous"/>
    </xf>
    <xf numFmtId="0" fontId="56" fillId="0" borderId="0" xfId="22" applyFont="1" applyAlignment="1">
      <alignment horizontal="centerContinuous"/>
    </xf>
    <xf numFmtId="0" fontId="34" fillId="0" borderId="0" xfId="25"/>
    <xf numFmtId="0" fontId="57" fillId="0" borderId="0" xfId="25" applyFont="1" applyAlignment="1">
      <alignment horizontal="centerContinuous"/>
    </xf>
    <xf numFmtId="0" fontId="58" fillId="0" borderId="0" xfId="22" applyFont="1" applyFill="1" applyAlignment="1">
      <alignment horizontal="centerContinuous"/>
    </xf>
    <xf numFmtId="0" fontId="58" fillId="0" borderId="0" xfId="25" applyFont="1" applyAlignment="1">
      <alignment horizontal="centerContinuous"/>
    </xf>
    <xf numFmtId="0" fontId="59" fillId="0" borderId="0" xfId="25" applyFont="1" applyAlignment="1">
      <alignment horizontal="centerContinuous"/>
    </xf>
    <xf numFmtId="0" fontId="60" fillId="0" borderId="0" xfId="25" applyFont="1" applyAlignment="1">
      <alignment horizontal="centerContinuous"/>
    </xf>
    <xf numFmtId="0" fontId="61" fillId="0" borderId="0" xfId="25" applyFont="1" applyAlignment="1">
      <alignment horizontal="right"/>
    </xf>
    <xf numFmtId="0" fontId="42" fillId="0" borderId="2" xfId="25" applyFont="1" applyBorder="1" applyAlignment="1">
      <alignment horizontal="center"/>
    </xf>
    <xf numFmtId="0" fontId="42" fillId="0" borderId="17" xfId="25" applyFont="1" applyBorder="1" applyAlignment="1">
      <alignment horizontal="center"/>
    </xf>
    <xf numFmtId="0" fontId="24" fillId="0" borderId="7" xfId="25" applyFont="1" applyBorder="1" applyAlignment="1">
      <alignment horizontal="left"/>
    </xf>
    <xf numFmtId="3" fontId="38" fillId="0" borderId="2" xfId="25" applyNumberFormat="1" applyFont="1" applyBorder="1" applyAlignment="1">
      <alignment horizontal="right"/>
    </xf>
    <xf numFmtId="3" fontId="39" fillId="0" borderId="2" xfId="25" applyNumberFormat="1" applyFont="1" applyBorder="1" applyAlignment="1">
      <alignment horizontal="right"/>
    </xf>
    <xf numFmtId="3" fontId="39" fillId="0" borderId="17" xfId="25" applyNumberFormat="1" applyFont="1" applyBorder="1" applyAlignment="1">
      <alignment horizontal="right"/>
    </xf>
    <xf numFmtId="0" fontId="34" fillId="0" borderId="0" xfId="25" applyFont="1"/>
    <xf numFmtId="3" fontId="34" fillId="0" borderId="0" xfId="25" applyNumberFormat="1"/>
    <xf numFmtId="0" fontId="24" fillId="0" borderId="7" xfId="24" applyFont="1" applyBorder="1" applyAlignment="1">
      <alignment horizontal="left"/>
    </xf>
    <xf numFmtId="3" fontId="38" fillId="0" borderId="2" xfId="19" quotePrefix="1" applyNumberFormat="1" applyFont="1" applyBorder="1" applyAlignment="1">
      <alignment horizontal="right"/>
    </xf>
    <xf numFmtId="3" fontId="38" fillId="0" borderId="2" xfId="19" applyNumberFormat="1" applyFont="1" applyBorder="1" applyAlignment="1">
      <alignment horizontal="right"/>
    </xf>
    <xf numFmtId="3" fontId="39" fillId="0" borderId="2" xfId="19" quotePrefix="1" applyNumberFormat="1" applyFont="1" applyBorder="1" applyAlignment="1">
      <alignment horizontal="right"/>
    </xf>
    <xf numFmtId="3" fontId="39" fillId="0" borderId="2" xfId="19" applyNumberFormat="1" applyFont="1" applyBorder="1" applyAlignment="1">
      <alignment horizontal="right"/>
    </xf>
    <xf numFmtId="0" fontId="26" fillId="0" borderId="11" xfId="24" applyFont="1" applyBorder="1"/>
    <xf numFmtId="3" fontId="23" fillId="0" borderId="20" xfId="19" applyNumberFormat="1" applyFont="1" applyBorder="1" applyAlignment="1">
      <alignment horizontal="right"/>
    </xf>
    <xf numFmtId="3" fontId="23" fillId="0" borderId="21" xfId="19" applyNumberFormat="1" applyFont="1" applyBorder="1" applyAlignment="1">
      <alignment horizontal="right"/>
    </xf>
    <xf numFmtId="0" fontId="62" fillId="0" borderId="0" xfId="25" applyFont="1"/>
    <xf numFmtId="3" fontId="47" fillId="0" borderId="0" xfId="25" applyNumberFormat="1" applyFont="1"/>
    <xf numFmtId="3" fontId="63" fillId="0" borderId="0" xfId="25" applyNumberFormat="1" applyFont="1"/>
    <xf numFmtId="3" fontId="21" fillId="0" borderId="0" xfId="25" applyNumberFormat="1" applyFont="1"/>
    <xf numFmtId="3" fontId="49" fillId="0" borderId="0" xfId="25" applyNumberFormat="1" applyFont="1"/>
    <xf numFmtId="3" fontId="48" fillId="0" borderId="0" xfId="25" applyNumberFormat="1" applyFont="1"/>
    <xf numFmtId="3" fontId="64" fillId="0" borderId="0" xfId="25" applyNumberFormat="1" applyFont="1"/>
    <xf numFmtId="3" fontId="55" fillId="0" borderId="0" xfId="25" applyNumberFormat="1" applyFont="1"/>
    <xf numFmtId="0" fontId="65" fillId="0" borderId="0" xfId="25" applyFont="1"/>
    <xf numFmtId="0" fontId="10" fillId="0" borderId="0" xfId="18" applyFill="1"/>
    <xf numFmtId="1" fontId="30" fillId="0" borderId="23" xfId="18" applyNumberFormat="1" applyFont="1" applyFill="1" applyBorder="1" applyAlignment="1" applyProtection="1">
      <alignment horizontal="right" vertical="center" indent="1"/>
    </xf>
    <xf numFmtId="1" fontId="30" fillId="0" borderId="0" xfId="18" applyNumberFormat="1" applyFont="1" applyFill="1" applyBorder="1" applyAlignment="1" applyProtection="1">
      <alignment horizontal="right" vertical="center" indent="1"/>
    </xf>
    <xf numFmtId="1" fontId="5" fillId="0" borderId="0" xfId="0" applyNumberFormat="1" applyFont="1" applyFill="1" applyBorder="1" applyAlignment="1" applyProtection="1">
      <alignment horizontal="right" vertical="center" indent="1"/>
    </xf>
    <xf numFmtId="1" fontId="7" fillId="0" borderId="13" xfId="18" applyNumberFormat="1" applyFont="1" applyFill="1" applyBorder="1" applyAlignment="1" applyProtection="1">
      <alignment horizontal="right" vertical="center" wrapText="1" indent="1"/>
    </xf>
    <xf numFmtId="1" fontId="7" fillId="0" borderId="57" xfId="18" applyNumberFormat="1" applyFont="1" applyFill="1" applyBorder="1" applyAlignment="1" applyProtection="1">
      <alignment horizontal="right" vertical="center" wrapText="1" indent="1"/>
    </xf>
    <xf numFmtId="1" fontId="7" fillId="0" borderId="18" xfId="18" applyNumberFormat="1" applyFont="1" applyFill="1" applyBorder="1" applyAlignment="1" applyProtection="1">
      <alignment horizontal="right" vertical="center" wrapText="1" indent="1"/>
    </xf>
    <xf numFmtId="1" fontId="16" fillId="0" borderId="57" xfId="18" applyNumberFormat="1" applyFont="1" applyFill="1" applyBorder="1" applyAlignment="1" applyProtection="1">
      <alignment horizontal="right" vertical="center" wrapText="1" indent="1"/>
    </xf>
    <xf numFmtId="1" fontId="16" fillId="0" borderId="54" xfId="18" applyNumberFormat="1" applyFont="1" applyFill="1" applyBorder="1" applyAlignment="1" applyProtection="1">
      <alignment horizontal="right" vertical="center" wrapText="1" indent="1"/>
    </xf>
    <xf numFmtId="1" fontId="16" fillId="0" borderId="27" xfId="18" applyNumberFormat="1" applyFont="1" applyFill="1" applyBorder="1" applyAlignment="1" applyProtection="1">
      <alignment horizontal="right" vertical="center" wrapText="1" indent="1"/>
    </xf>
    <xf numFmtId="1" fontId="16" fillId="0" borderId="18" xfId="18" applyNumberFormat="1" applyFont="1" applyFill="1" applyBorder="1" applyAlignment="1" applyProtection="1">
      <alignment horizontal="right" vertical="center" wrapText="1" indent="1"/>
    </xf>
    <xf numFmtId="1" fontId="16" fillId="0" borderId="42" xfId="18" applyNumberFormat="1" applyFont="1" applyFill="1" applyBorder="1" applyAlignment="1" applyProtection="1">
      <alignment horizontal="right" vertical="center" wrapText="1" indent="1"/>
    </xf>
    <xf numFmtId="0" fontId="13" fillId="0" borderId="0" xfId="18" applyFont="1" applyFill="1"/>
    <xf numFmtId="1" fontId="21" fillId="0" borderId="51" xfId="20" applyNumberFormat="1" applyFont="1" applyBorder="1" applyAlignment="1" applyProtection="1">
      <alignment horizontal="right" wrapText="1" indent="1"/>
    </xf>
    <xf numFmtId="1" fontId="18" fillId="0" borderId="46" xfId="18" applyNumberFormat="1" applyFont="1" applyFill="1" applyBorder="1" applyAlignment="1" applyProtection="1">
      <alignment horizontal="right" vertical="center" wrapText="1" indent="1"/>
    </xf>
    <xf numFmtId="1" fontId="24" fillId="0" borderId="46" xfId="18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19" xfId="18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40" xfId="20" applyNumberFormat="1" applyFont="1" applyBorder="1" applyAlignment="1" applyProtection="1">
      <alignment horizontal="right" wrapText="1" indent="1"/>
    </xf>
    <xf numFmtId="1" fontId="24" fillId="0" borderId="35" xfId="18" applyNumberFormat="1" applyFont="1" applyFill="1" applyBorder="1" applyAlignment="1" applyProtection="1">
      <alignment horizontal="right" vertical="center" wrapText="1" indent="1"/>
    </xf>
    <xf numFmtId="1" fontId="24" fillId="0" borderId="35" xfId="18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17" xfId="18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45" xfId="0" applyFont="1" applyBorder="1" applyAlignment="1" applyProtection="1">
      <alignment horizontal="left" vertical="center" wrapText="1" indent="1"/>
    </xf>
    <xf numFmtId="0" fontId="21" fillId="0" borderId="56" xfId="0" applyFont="1" applyBorder="1" applyAlignment="1" applyProtection="1">
      <alignment horizontal="left" vertical="center" wrapText="1" indent="1"/>
    </xf>
    <xf numFmtId="1" fontId="21" fillId="0" borderId="37" xfId="20" applyNumberFormat="1" applyFont="1" applyBorder="1" applyAlignment="1" applyProtection="1">
      <alignment horizontal="right" wrapText="1" indent="1"/>
    </xf>
    <xf numFmtId="1" fontId="24" fillId="0" borderId="31" xfId="18" applyNumberFormat="1" applyFont="1" applyFill="1" applyBorder="1" applyAlignment="1" applyProtection="1">
      <alignment horizontal="right" vertical="center" wrapText="1" indent="1"/>
    </xf>
    <xf numFmtId="1" fontId="18" fillId="0" borderId="35" xfId="18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17" xfId="18" applyNumberFormat="1" applyFont="1" applyFill="1" applyBorder="1" applyAlignment="1" applyProtection="1">
      <alignment horizontal="right" vertical="center" wrapText="1" indent="1"/>
      <protection locked="0"/>
    </xf>
    <xf numFmtId="1" fontId="22" fillId="0" borderId="26" xfId="20" applyNumberFormat="1" applyFont="1" applyBorder="1" applyAlignment="1" applyProtection="1">
      <alignment horizontal="right" wrapText="1" indent="1"/>
    </xf>
    <xf numFmtId="1" fontId="18" fillId="0" borderId="46" xfId="18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19" xfId="18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35" xfId="18" applyNumberFormat="1" applyFont="1" applyFill="1" applyBorder="1" applyAlignment="1" applyProtection="1">
      <alignment horizontal="right" vertical="center" wrapText="1" indent="1"/>
    </xf>
    <xf numFmtId="1" fontId="24" fillId="0" borderId="31" xfId="18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1" fontId="23" fillId="0" borderId="46" xfId="18" applyNumberFormat="1" applyFont="1" applyFill="1" applyBorder="1" applyAlignment="1" applyProtection="1">
      <alignment horizontal="right" vertical="center" wrapText="1" indent="1"/>
      <protection locked="0"/>
    </xf>
    <xf numFmtId="1" fontId="23" fillId="0" borderId="19" xfId="18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31" xfId="18" applyNumberFormat="1" applyFont="1" applyFill="1" applyBorder="1" applyAlignment="1" applyProtection="1">
      <alignment horizontal="right" vertical="center" wrapText="1" indent="1"/>
    </xf>
    <xf numFmtId="1" fontId="23" fillId="0" borderId="42" xfId="18" applyNumberFormat="1" applyFont="1" applyFill="1" applyBorder="1" applyAlignment="1" applyProtection="1">
      <alignment horizontal="right" vertical="center" wrapText="1" indent="1"/>
    </xf>
    <xf numFmtId="1" fontId="23" fillId="0" borderId="18" xfId="18" applyNumberFormat="1" applyFont="1" applyFill="1" applyBorder="1" applyAlignment="1" applyProtection="1">
      <alignment horizontal="right" vertical="center" wrapText="1" indent="1"/>
    </xf>
    <xf numFmtId="1" fontId="18" fillId="0" borderId="19" xfId="18" applyNumberFormat="1" applyFont="1" applyFill="1" applyBorder="1" applyAlignment="1" applyProtection="1">
      <alignment horizontal="right" vertical="center" wrapText="1" indent="1"/>
    </xf>
    <xf numFmtId="1" fontId="24" fillId="0" borderId="46" xfId="18" applyNumberFormat="1" applyFont="1" applyFill="1" applyBorder="1" applyAlignment="1" applyProtection="1">
      <alignment horizontal="right" vertical="center" wrapText="1" indent="1"/>
    </xf>
    <xf numFmtId="1" fontId="18" fillId="0" borderId="31" xfId="18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22" xfId="18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26" xfId="18" applyNumberFormat="1" applyFont="1" applyFill="1" applyBorder="1" applyAlignment="1" applyProtection="1">
      <alignment horizontal="right" vertical="center" wrapText="1" indent="1"/>
    </xf>
    <xf numFmtId="1" fontId="16" fillId="0" borderId="43" xfId="18" applyNumberFormat="1" applyFont="1" applyFill="1" applyBorder="1" applyAlignment="1" applyProtection="1">
      <alignment horizontal="right" vertical="center" wrapText="1" indent="1"/>
    </xf>
    <xf numFmtId="0" fontId="21" fillId="0" borderId="56" xfId="0" applyFont="1" applyBorder="1" applyAlignment="1" applyProtection="1">
      <alignment vertical="center" wrapText="1"/>
    </xf>
    <xf numFmtId="1" fontId="18" fillId="0" borderId="42" xfId="18" applyNumberFormat="1" applyFont="1" applyFill="1" applyBorder="1" applyAlignment="1" applyProtection="1">
      <alignment horizontal="right" vertical="center" wrapText="1" indent="1"/>
    </xf>
    <xf numFmtId="1" fontId="23" fillId="0" borderId="26" xfId="18" applyNumberFormat="1" applyFont="1" applyFill="1" applyBorder="1" applyAlignment="1" applyProtection="1">
      <alignment horizontal="right" vertical="center" wrapText="1" indent="1"/>
    </xf>
    <xf numFmtId="1" fontId="21" fillId="0" borderId="26" xfId="20" applyNumberFormat="1" applyFont="1" applyBorder="1" applyAlignment="1" applyProtection="1">
      <alignment horizontal="right" wrapText="1" indent="1"/>
    </xf>
    <xf numFmtId="1" fontId="16" fillId="0" borderId="48" xfId="18" applyNumberFormat="1" applyFont="1" applyFill="1" applyBorder="1" applyAlignment="1" applyProtection="1">
      <alignment horizontal="right" vertical="center" wrapText="1" indent="1"/>
    </xf>
    <xf numFmtId="1" fontId="16" fillId="0" borderId="42" xfId="18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18" xfId="18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57" xfId="0" applyFont="1" applyBorder="1" applyAlignment="1" applyProtection="1">
      <alignment wrapText="1"/>
    </xf>
    <xf numFmtId="0" fontId="22" fillId="0" borderId="58" xfId="0" applyFont="1" applyBorder="1" applyAlignment="1" applyProtection="1">
      <alignment wrapText="1"/>
    </xf>
    <xf numFmtId="1" fontId="6" fillId="0" borderId="47" xfId="18" applyNumberFormat="1" applyFont="1" applyFill="1" applyBorder="1" applyAlignment="1" applyProtection="1">
      <alignment horizontal="right" vertical="center" wrapText="1" indent="1"/>
    </xf>
    <xf numFmtId="1" fontId="18" fillId="0" borderId="47" xfId="18" applyNumberFormat="1" applyFont="1" applyFill="1" applyBorder="1" applyAlignment="1" applyProtection="1">
      <alignment horizontal="right" vertical="center" wrapText="1" indent="1"/>
      <protection locked="0"/>
    </xf>
    <xf numFmtId="1" fontId="18" fillId="0" borderId="0" xfId="18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0" xfId="18" applyNumberFormat="1" applyFont="1" applyFill="1" applyBorder="1" applyAlignment="1" applyProtection="1">
      <alignment horizontal="right" vertical="center" wrapText="1" indent="1"/>
      <protection locked="0"/>
    </xf>
    <xf numFmtId="1" fontId="30" fillId="0" borderId="23" xfId="18" applyNumberFormat="1" applyFont="1" applyFill="1" applyBorder="1" applyAlignment="1" applyProtection="1">
      <alignment horizontal="right" indent="1"/>
    </xf>
    <xf numFmtId="1" fontId="5" fillId="0" borderId="23" xfId="0" applyNumberFormat="1" applyFont="1" applyFill="1" applyBorder="1" applyAlignment="1" applyProtection="1">
      <alignment horizontal="right" vertical="center" indent="1"/>
    </xf>
    <xf numFmtId="1" fontId="7" fillId="0" borderId="26" xfId="18" applyNumberFormat="1" applyFont="1" applyFill="1" applyBorder="1" applyAlignment="1" applyProtection="1">
      <alignment horizontal="right" vertical="center" wrapText="1" indent="1"/>
    </xf>
    <xf numFmtId="1" fontId="7" fillId="0" borderId="32" xfId="18" applyNumberFormat="1" applyFont="1" applyFill="1" applyBorder="1" applyAlignment="1" applyProtection="1">
      <alignment horizontal="right" vertical="center" wrapText="1" indent="1"/>
    </xf>
    <xf numFmtId="1" fontId="16" fillId="0" borderId="32" xfId="18" applyNumberFormat="1" applyFont="1" applyFill="1" applyBorder="1" applyAlignment="1" applyProtection="1">
      <alignment horizontal="right" vertical="center" wrapText="1" indent="1"/>
    </xf>
    <xf numFmtId="0" fontId="16" fillId="0" borderId="54" xfId="18" applyFont="1" applyFill="1" applyBorder="1" applyAlignment="1" applyProtection="1">
      <alignment vertical="center" wrapText="1"/>
    </xf>
    <xf numFmtId="0" fontId="18" fillId="0" borderId="64" xfId="18" applyFont="1" applyFill="1" applyBorder="1" applyAlignment="1" applyProtection="1">
      <alignment horizontal="left" vertical="center" wrapText="1" indent="1"/>
    </xf>
    <xf numFmtId="1" fontId="18" fillId="0" borderId="51" xfId="20" applyNumberFormat="1" applyFont="1" applyFill="1" applyBorder="1" applyAlignment="1" applyProtection="1">
      <alignment horizontal="right" wrapText="1" indent="1"/>
    </xf>
    <xf numFmtId="1" fontId="24" fillId="0" borderId="50" xfId="18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16" xfId="18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45" xfId="18" applyFont="1" applyFill="1" applyBorder="1" applyAlignment="1" applyProtection="1">
      <alignment horizontal="left" vertical="center" wrapText="1" indent="1"/>
    </xf>
    <xf numFmtId="1" fontId="18" fillId="0" borderId="41" xfId="20" applyNumberFormat="1" applyFont="1" applyFill="1" applyBorder="1" applyAlignment="1" applyProtection="1">
      <alignment horizontal="right" wrapText="1" indent="1"/>
    </xf>
    <xf numFmtId="1" fontId="18" fillId="0" borderId="49" xfId="20" applyNumberFormat="1" applyFont="1" applyFill="1" applyBorder="1" applyAlignment="1" applyProtection="1">
      <alignment horizontal="right" wrapText="1" indent="1"/>
    </xf>
    <xf numFmtId="0" fontId="18" fillId="0" borderId="63" xfId="18" applyFont="1" applyFill="1" applyBorder="1" applyAlignment="1" applyProtection="1">
      <alignment horizontal="left" vertical="center" wrapText="1" indent="1"/>
    </xf>
    <xf numFmtId="0" fontId="18" fillId="0" borderId="56" xfId="18" applyFont="1" applyFill="1" applyBorder="1" applyAlignment="1" applyProtection="1">
      <alignment horizontal="left" vertical="center" wrapText="1" indent="6"/>
    </xf>
    <xf numFmtId="0" fontId="18" fillId="0" borderId="45" xfId="18" applyFont="1" applyFill="1" applyBorder="1" applyAlignment="1" applyProtection="1">
      <alignment horizontal="left" indent="6"/>
    </xf>
    <xf numFmtId="1" fontId="18" fillId="0" borderId="49" xfId="20" applyNumberFormat="1" applyFont="1" applyFill="1" applyBorder="1" applyAlignment="1" applyProtection="1">
      <alignment horizontal="right" indent="1"/>
    </xf>
    <xf numFmtId="0" fontId="18" fillId="0" borderId="45" xfId="18" applyFont="1" applyFill="1" applyBorder="1" applyAlignment="1" applyProtection="1">
      <alignment horizontal="left" vertical="center" wrapText="1" indent="6"/>
    </xf>
    <xf numFmtId="1" fontId="18" fillId="0" borderId="49" xfId="20" applyNumberFormat="1" applyFont="1" applyFill="1" applyBorder="1" applyAlignment="1" applyProtection="1">
      <alignment horizontal="right" vertical="center" wrapText="1" indent="1"/>
    </xf>
    <xf numFmtId="1" fontId="24" fillId="0" borderId="41" xfId="20" applyNumberFormat="1" applyFont="1" applyFill="1" applyBorder="1" applyAlignment="1" applyProtection="1">
      <alignment horizontal="right" vertical="center" wrapText="1" indent="1"/>
    </xf>
    <xf numFmtId="1" fontId="18" fillId="0" borderId="41" xfId="20" applyNumberFormat="1" applyFont="1" applyFill="1" applyBorder="1" applyAlignment="1" applyProtection="1">
      <alignment horizontal="right" vertical="center" wrapText="1" indent="1"/>
    </xf>
    <xf numFmtId="0" fontId="18" fillId="0" borderId="36" xfId="18" applyFont="1" applyFill="1" applyBorder="1" applyAlignment="1" applyProtection="1">
      <alignment horizontal="left" vertical="center" wrapText="1" indent="7"/>
    </xf>
    <xf numFmtId="1" fontId="18" fillId="0" borderId="61" xfId="20" applyNumberFormat="1" applyFont="1" applyFill="1" applyBorder="1" applyAlignment="1" applyProtection="1">
      <alignment horizontal="right" vertical="center" wrapText="1" indent="1"/>
    </xf>
    <xf numFmtId="1" fontId="24" fillId="0" borderId="59" xfId="18" applyNumberFormat="1" applyFont="1" applyFill="1" applyBorder="1" applyAlignment="1" applyProtection="1">
      <alignment horizontal="right" vertical="center" wrapText="1" indent="1"/>
      <protection locked="0"/>
    </xf>
    <xf numFmtId="1" fontId="24" fillId="0" borderId="21" xfId="18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25" xfId="18" applyNumberFormat="1" applyFont="1" applyFill="1" applyBorder="1" applyAlignment="1" applyProtection="1">
      <alignment horizontal="right" vertical="center" wrapText="1" indent="1"/>
    </xf>
    <xf numFmtId="1" fontId="18" fillId="0" borderId="40" xfId="20" applyNumberFormat="1" applyFont="1" applyFill="1" applyBorder="1" applyAlignment="1" applyProtection="1">
      <alignment horizontal="right" vertical="center" wrapText="1" indent="1"/>
    </xf>
    <xf numFmtId="0" fontId="18" fillId="0" borderId="56" xfId="18" applyFont="1" applyFill="1" applyBorder="1" applyAlignment="1" applyProtection="1">
      <alignment horizontal="left" vertical="center" wrapText="1" indent="1"/>
    </xf>
    <xf numFmtId="1" fontId="18" fillId="0" borderId="37" xfId="20" applyNumberFormat="1" applyFont="1" applyFill="1" applyBorder="1" applyAlignment="1" applyProtection="1">
      <alignment horizontal="right" vertical="center" wrapText="1" indent="1"/>
    </xf>
    <xf numFmtId="1" fontId="18" fillId="0" borderId="49" xfId="18" applyNumberFormat="1" applyFont="1" applyFill="1" applyBorder="1" applyAlignment="1" applyProtection="1">
      <alignment horizontal="right" vertical="center" wrapText="1" indent="1"/>
    </xf>
    <xf numFmtId="1" fontId="23" fillId="0" borderId="35" xfId="18" applyNumberFormat="1" applyFont="1" applyFill="1" applyBorder="1" applyAlignment="1" applyProtection="1">
      <alignment horizontal="right" vertical="center" wrapText="1" indent="1"/>
      <protection locked="0"/>
    </xf>
    <xf numFmtId="1" fontId="21" fillId="0" borderId="49" xfId="0" applyNumberFormat="1" applyFont="1" applyBorder="1" applyAlignment="1" applyProtection="1">
      <alignment horizontal="right" vertical="center" wrapText="1" indent="1"/>
    </xf>
    <xf numFmtId="1" fontId="21" fillId="0" borderId="41" xfId="0" applyNumberFormat="1" applyFont="1" applyBorder="1" applyAlignment="1" applyProtection="1">
      <alignment horizontal="right" vertical="center" wrapText="1" indent="1"/>
    </xf>
    <xf numFmtId="0" fontId="18" fillId="0" borderId="55" xfId="18" applyFont="1" applyFill="1" applyBorder="1" applyAlignment="1" applyProtection="1">
      <alignment horizontal="left" vertical="center" wrapText="1" indent="6"/>
    </xf>
    <xf numFmtId="1" fontId="18" fillId="0" borderId="40" xfId="18" applyNumberFormat="1" applyFont="1" applyFill="1" applyBorder="1" applyAlignment="1" applyProtection="1">
      <alignment horizontal="right" vertical="center" wrapText="1" indent="1"/>
    </xf>
    <xf numFmtId="1" fontId="18" fillId="0" borderId="41" xfId="18" applyNumberFormat="1" applyFont="1" applyFill="1" applyBorder="1" applyAlignment="1" applyProtection="1">
      <alignment horizontal="right" vertical="center" wrapText="1" indent="1"/>
    </xf>
    <xf numFmtId="1" fontId="18" fillId="0" borderId="26" xfId="18" applyNumberFormat="1" applyFont="1" applyFill="1" applyBorder="1" applyAlignment="1" applyProtection="1">
      <alignment horizontal="right" vertical="center" wrapText="1" indent="1"/>
    </xf>
    <xf numFmtId="0" fontId="18" fillId="0" borderId="55" xfId="18" applyFont="1" applyFill="1" applyBorder="1" applyAlignment="1" applyProtection="1">
      <alignment horizontal="left" vertical="center" wrapText="1" indent="1"/>
    </xf>
    <xf numFmtId="0" fontId="18" fillId="0" borderId="62" xfId="18" applyFont="1" applyFill="1" applyBorder="1" applyAlignment="1" applyProtection="1">
      <alignment horizontal="left" vertical="center" wrapText="1" indent="1"/>
    </xf>
    <xf numFmtId="1" fontId="18" fillId="0" borderId="37" xfId="18" applyNumberFormat="1" applyFont="1" applyFill="1" applyBorder="1" applyAlignment="1" applyProtection="1">
      <alignment horizontal="right" vertical="center" wrapText="1" indent="1"/>
    </xf>
    <xf numFmtId="1" fontId="22" fillId="0" borderId="42" xfId="0" applyNumberFormat="1" applyFont="1" applyBorder="1" applyAlignment="1" applyProtection="1">
      <alignment horizontal="right" vertical="center" wrapText="1" indent="1"/>
    </xf>
    <xf numFmtId="1" fontId="22" fillId="0" borderId="18" xfId="0" applyNumberFormat="1" applyFont="1" applyBorder="1" applyAlignment="1" applyProtection="1">
      <alignment horizontal="right" vertical="center" wrapText="1" indent="1"/>
    </xf>
    <xf numFmtId="1" fontId="22" fillId="0" borderId="18" xfId="0" applyNumberFormat="1" applyFont="1" applyBorder="1" applyAlignment="1" applyProtection="1">
      <alignment horizontal="right" vertical="center" wrapText="1" indent="1"/>
      <protection locked="0"/>
    </xf>
    <xf numFmtId="1" fontId="20" fillId="0" borderId="42" xfId="0" quotePrefix="1" applyNumberFormat="1" applyFont="1" applyBorder="1" applyAlignment="1" applyProtection="1">
      <alignment horizontal="right" vertical="center" wrapText="1" indent="1"/>
    </xf>
    <xf numFmtId="1" fontId="20" fillId="0" borderId="18" xfId="0" quotePrefix="1" applyNumberFormat="1" applyFont="1" applyBorder="1" applyAlignment="1" applyProtection="1">
      <alignment horizontal="right" vertical="center" wrapText="1" indent="1"/>
    </xf>
    <xf numFmtId="0" fontId="10" fillId="0" borderId="0" xfId="18" applyFont="1" applyFill="1"/>
    <xf numFmtId="1" fontId="10" fillId="0" borderId="0" xfId="18" applyNumberFormat="1" applyFont="1" applyFill="1" applyAlignment="1">
      <alignment horizontal="right" indent="1"/>
    </xf>
    <xf numFmtId="3" fontId="24" fillId="0" borderId="0" xfId="23" applyNumberFormat="1" applyFont="1" applyFill="1" applyProtection="1">
      <protection locked="0"/>
    </xf>
    <xf numFmtId="0" fontId="10" fillId="0" borderId="0" xfId="23" applyFill="1" applyProtection="1">
      <protection locked="0"/>
    </xf>
    <xf numFmtId="0" fontId="10" fillId="0" borderId="0" xfId="23" applyFill="1" applyProtection="1"/>
    <xf numFmtId="0" fontId="27" fillId="0" borderId="0" xfId="0" applyFont="1" applyFill="1" applyAlignment="1">
      <alignment horizontal="right"/>
    </xf>
    <xf numFmtId="0" fontId="25" fillId="0" borderId="14" xfId="23" applyFont="1" applyFill="1" applyBorder="1" applyAlignment="1" applyProtection="1">
      <alignment horizontal="center" vertical="center" wrapText="1"/>
      <protection locked="0"/>
    </xf>
    <xf numFmtId="0" fontId="25" fillId="0" borderId="15" xfId="23" applyFont="1" applyFill="1" applyBorder="1" applyAlignment="1" applyProtection="1">
      <alignment horizontal="center" vertical="center"/>
      <protection locked="0"/>
    </xf>
    <xf numFmtId="0" fontId="25" fillId="0" borderId="27" xfId="23" applyFont="1" applyFill="1" applyBorder="1" applyAlignment="1" applyProtection="1">
      <alignment horizontal="center" vertical="center"/>
      <protection locked="0"/>
    </xf>
    <xf numFmtId="0" fontId="18" fillId="0" borderId="12" xfId="23" applyFont="1" applyFill="1" applyBorder="1" applyAlignment="1" applyProtection="1">
      <alignment horizontal="left" vertical="center" indent="1"/>
    </xf>
    <xf numFmtId="3" fontId="24" fillId="0" borderId="0" xfId="23" applyNumberFormat="1" applyFont="1" applyFill="1" applyAlignment="1" applyProtection="1">
      <alignment vertical="center"/>
    </xf>
    <xf numFmtId="0" fontId="10" fillId="0" borderId="0" xfId="23" applyFill="1" applyAlignment="1" applyProtection="1">
      <alignment vertical="center"/>
    </xf>
    <xf numFmtId="0" fontId="18" fillId="0" borderId="6" xfId="23" applyFont="1" applyFill="1" applyBorder="1" applyAlignment="1" applyProtection="1">
      <alignment horizontal="left" vertical="center" indent="1"/>
    </xf>
    <xf numFmtId="0" fontId="18" fillId="0" borderId="1" xfId="23" applyFont="1" applyFill="1" applyBorder="1" applyAlignment="1" applyProtection="1">
      <alignment horizontal="left" vertical="center" wrapText="1" indent="1"/>
    </xf>
    <xf numFmtId="164" fontId="24" fillId="0" borderId="1" xfId="23" applyNumberFormat="1" applyFont="1" applyFill="1" applyBorder="1" applyAlignment="1" applyProtection="1">
      <alignment vertical="center"/>
      <protection locked="0"/>
    </xf>
    <xf numFmtId="3" fontId="24" fillId="0" borderId="10" xfId="23" applyNumberFormat="1" applyFont="1" applyFill="1" applyBorder="1" applyAlignment="1" applyProtection="1">
      <alignment vertical="center"/>
    </xf>
    <xf numFmtId="3" fontId="24" fillId="0" borderId="16" xfId="23" applyNumberFormat="1" applyFont="1" applyFill="1" applyBorder="1" applyAlignment="1" applyProtection="1">
      <alignment vertical="center"/>
      <protection locked="0"/>
    </xf>
    <xf numFmtId="0" fontId="18" fillId="0" borderId="7" xfId="23" applyFont="1" applyFill="1" applyBorder="1" applyAlignment="1" applyProtection="1">
      <alignment horizontal="left" vertical="center" indent="1"/>
    </xf>
    <xf numFmtId="0" fontId="18" fillId="0" borderId="2" xfId="23" applyFont="1" applyFill="1" applyBorder="1" applyAlignment="1" applyProtection="1">
      <alignment horizontal="left" vertical="center" wrapText="1" indent="1"/>
    </xf>
    <xf numFmtId="164" fontId="24" fillId="0" borderId="2" xfId="23" applyNumberFormat="1" applyFont="1" applyFill="1" applyBorder="1" applyAlignment="1" applyProtection="1">
      <alignment vertical="center"/>
      <protection locked="0"/>
    </xf>
    <xf numFmtId="164" fontId="37" fillId="0" borderId="17" xfId="23" applyNumberFormat="1" applyFont="1" applyFill="1" applyBorder="1" applyAlignment="1" applyProtection="1">
      <alignment vertical="center"/>
    </xf>
    <xf numFmtId="3" fontId="24" fillId="0" borderId="7" xfId="23" applyNumberFormat="1" applyFont="1" applyFill="1" applyBorder="1" applyAlignment="1" applyProtection="1">
      <alignment vertical="center"/>
      <protection locked="0"/>
    </xf>
    <xf numFmtId="3" fontId="24" fillId="0" borderId="17" xfId="23" applyNumberFormat="1" applyFont="1" applyFill="1" applyBorder="1" applyAlignment="1" applyProtection="1">
      <alignment vertical="center"/>
      <protection locked="0"/>
    </xf>
    <xf numFmtId="0" fontId="10" fillId="0" borderId="0" xfId="23" applyFill="1" applyAlignment="1" applyProtection="1">
      <alignment vertical="center"/>
      <protection locked="0"/>
    </xf>
    <xf numFmtId="0" fontId="18" fillId="0" borderId="3" xfId="23" applyFont="1" applyFill="1" applyBorder="1" applyAlignment="1" applyProtection="1">
      <alignment horizontal="left" vertical="center" wrapText="1" indent="1"/>
    </xf>
    <xf numFmtId="164" fontId="24" fillId="0" borderId="3" xfId="23" applyNumberFormat="1" applyFont="1" applyFill="1" applyBorder="1" applyAlignment="1" applyProtection="1">
      <alignment vertical="center"/>
      <protection locked="0"/>
    </xf>
    <xf numFmtId="0" fontId="18" fillId="0" borderId="2" xfId="23" applyFont="1" applyFill="1" applyBorder="1" applyAlignment="1" applyProtection="1">
      <alignment horizontal="left" vertical="center" indent="1"/>
    </xf>
    <xf numFmtId="164" fontId="23" fillId="0" borderId="17" xfId="23" applyNumberFormat="1" applyFont="1" applyFill="1" applyBorder="1" applyAlignment="1" applyProtection="1">
      <alignment vertical="center"/>
    </xf>
    <xf numFmtId="164" fontId="18" fillId="0" borderId="2" xfId="23" applyNumberFormat="1" applyFont="1" applyFill="1" applyBorder="1" applyAlignment="1" applyProtection="1">
      <alignment vertical="center"/>
      <protection locked="0"/>
    </xf>
    <xf numFmtId="3" fontId="24" fillId="0" borderId="9" xfId="23" applyNumberFormat="1" applyFont="1" applyFill="1" applyBorder="1" applyAlignment="1" applyProtection="1">
      <alignment vertical="center"/>
      <protection locked="0"/>
    </xf>
    <xf numFmtId="3" fontId="24" fillId="0" borderId="22" xfId="23" applyNumberFormat="1" applyFont="1" applyFill="1" applyBorder="1" applyAlignment="1" applyProtection="1">
      <alignment vertical="center"/>
      <protection locked="0"/>
    </xf>
    <xf numFmtId="0" fontId="7" fillId="0" borderId="13" xfId="23" applyFont="1" applyFill="1" applyBorder="1" applyAlignment="1" applyProtection="1">
      <alignment horizontal="left" vertical="center" indent="1"/>
    </xf>
    <xf numFmtId="164" fontId="16" fillId="0" borderId="13" xfId="23" applyNumberFormat="1" applyFont="1" applyFill="1" applyBorder="1" applyAlignment="1" applyProtection="1">
      <alignment vertical="center"/>
    </xf>
    <xf numFmtId="164" fontId="23" fillId="0" borderId="18" xfId="23" applyNumberFormat="1" applyFont="1" applyFill="1" applyBorder="1" applyAlignment="1" applyProtection="1">
      <alignment vertical="center"/>
    </xf>
    <xf numFmtId="3" fontId="24" fillId="0" borderId="26" xfId="23" applyNumberFormat="1" applyFont="1" applyFill="1" applyBorder="1" applyAlignment="1" applyProtection="1">
      <alignment vertical="center"/>
    </xf>
    <xf numFmtId="3" fontId="24" fillId="0" borderId="26" xfId="23" applyNumberFormat="1" applyFont="1" applyFill="1" applyBorder="1" applyAlignment="1" applyProtection="1">
      <alignment vertical="center"/>
      <protection locked="0"/>
    </xf>
    <xf numFmtId="3" fontId="24" fillId="0" borderId="0" xfId="23" applyNumberFormat="1" applyFont="1" applyFill="1" applyAlignment="1" applyProtection="1">
      <alignment vertical="center"/>
      <protection locked="0"/>
    </xf>
    <xf numFmtId="0" fontId="18" fillId="0" borderId="10" xfId="23" applyFont="1" applyFill="1" applyBorder="1" applyAlignment="1" applyProtection="1">
      <alignment horizontal="left" vertical="center" indent="1"/>
    </xf>
    <xf numFmtId="0" fontId="18" fillId="0" borderId="4" xfId="23" applyFont="1" applyFill="1" applyBorder="1" applyAlignment="1" applyProtection="1">
      <alignment horizontal="left" vertical="center" indent="1"/>
    </xf>
    <xf numFmtId="164" fontId="24" fillId="0" borderId="4" xfId="23" applyNumberFormat="1" applyFont="1" applyFill="1" applyBorder="1" applyAlignment="1" applyProtection="1">
      <alignment vertical="center"/>
      <protection locked="0"/>
    </xf>
    <xf numFmtId="164" fontId="37" fillId="0" borderId="16" xfId="23" applyNumberFormat="1" applyFont="1" applyFill="1" applyBorder="1" applyAlignment="1" applyProtection="1">
      <alignment vertical="center"/>
    </xf>
    <xf numFmtId="3" fontId="24" fillId="0" borderId="10" xfId="23" applyNumberFormat="1" applyFont="1" applyFill="1" applyBorder="1" applyAlignment="1" applyProtection="1">
      <alignment vertical="center"/>
      <protection locked="0"/>
    </xf>
    <xf numFmtId="0" fontId="16" fillId="0" borderId="12" xfId="23" applyFont="1" applyFill="1" applyBorder="1" applyAlignment="1" applyProtection="1">
      <alignment horizontal="left" vertical="center" indent="1"/>
    </xf>
    <xf numFmtId="0" fontId="7" fillId="0" borderId="13" xfId="23" applyFont="1" applyFill="1" applyBorder="1" applyAlignment="1" applyProtection="1">
      <alignment horizontal="left" indent="1"/>
    </xf>
    <xf numFmtId="164" fontId="16" fillId="0" borderId="13" xfId="23" applyNumberFormat="1" applyFont="1" applyFill="1" applyBorder="1" applyProtection="1"/>
    <xf numFmtId="164" fontId="23" fillId="0" borderId="18" xfId="23" applyNumberFormat="1" applyFont="1" applyFill="1" applyBorder="1" applyProtection="1"/>
    <xf numFmtId="0" fontId="13" fillId="0" borderId="0" xfId="23" applyFont="1" applyFill="1" applyProtection="1"/>
    <xf numFmtId="0" fontId="10" fillId="0" borderId="0" xfId="23" applyFont="1" applyFill="1" applyProtection="1"/>
    <xf numFmtId="0" fontId="29" fillId="0" borderId="0" xfId="23" applyFont="1" applyFill="1" applyProtection="1">
      <protection locked="0"/>
    </xf>
    <xf numFmtId="0" fontId="19" fillId="0" borderId="0" xfId="23" applyFont="1" applyFill="1" applyProtection="1">
      <protection locked="0"/>
    </xf>
    <xf numFmtId="0" fontId="10" fillId="0" borderId="0" xfId="23" applyFont="1" applyFill="1" applyProtection="1">
      <protection locked="0"/>
    </xf>
    <xf numFmtId="0" fontId="10" fillId="0" borderId="0" xfId="18" applyFont="1" applyFill="1" applyAlignment="1" applyProtection="1"/>
    <xf numFmtId="164" fontId="23" fillId="0" borderId="35" xfId="18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26" applyNumberFormat="1" applyFont="1" applyFill="1" applyAlignment="1" applyProtection="1">
      <alignment horizontal="left" vertical="center" wrapText="1"/>
    </xf>
    <xf numFmtId="164" fontId="15" fillId="0" borderId="0" xfId="26" applyNumberFormat="1" applyFont="1" applyFill="1" applyAlignment="1" applyProtection="1">
      <alignment vertical="center" wrapText="1"/>
    </xf>
    <xf numFmtId="0" fontId="43" fillId="0" borderId="0" xfId="26" applyFont="1" applyAlignment="1" applyProtection="1">
      <alignment horizontal="right" vertical="top"/>
    </xf>
    <xf numFmtId="164" fontId="3" fillId="0" borderId="0" xfId="26" applyNumberFormat="1" applyFont="1" applyFill="1" applyAlignment="1" applyProtection="1">
      <alignment vertical="center" wrapText="1"/>
    </xf>
    <xf numFmtId="3" fontId="24" fillId="0" borderId="0" xfId="26" applyNumberFormat="1" applyFont="1" applyFill="1" applyAlignment="1" applyProtection="1">
      <alignment vertical="center" wrapText="1"/>
    </xf>
    <xf numFmtId="0" fontId="7" fillId="0" borderId="44" xfId="26" applyFont="1" applyFill="1" applyBorder="1" applyAlignment="1" applyProtection="1">
      <alignment horizontal="center" vertical="center" wrapText="1"/>
    </xf>
    <xf numFmtId="0" fontId="7" fillId="0" borderId="4" xfId="26" applyFont="1" applyFill="1" applyBorder="1" applyAlignment="1" applyProtection="1">
      <alignment horizontal="center" vertical="center"/>
    </xf>
    <xf numFmtId="49" fontId="44" fillId="0" borderId="16" xfId="26" applyNumberFormat="1" applyFont="1" applyFill="1" applyBorder="1" applyAlignment="1" applyProtection="1">
      <alignment horizontal="right" vertical="center"/>
    </xf>
    <xf numFmtId="0" fontId="6" fillId="0" borderId="0" xfId="26" applyFont="1" applyFill="1" applyAlignment="1" applyProtection="1">
      <alignment vertical="center"/>
    </xf>
    <xf numFmtId="3" fontId="23" fillId="0" borderId="0" xfId="26" applyNumberFormat="1" applyFont="1" applyFill="1" applyAlignment="1" applyProtection="1">
      <alignment vertical="center"/>
    </xf>
    <xf numFmtId="0" fontId="7" fillId="0" borderId="28" xfId="26" applyFont="1" applyFill="1" applyBorder="1" applyAlignment="1" applyProtection="1">
      <alignment horizontal="center" vertical="center" wrapText="1"/>
    </xf>
    <xf numFmtId="0" fontId="7" fillId="0" borderId="20" xfId="26" applyFont="1" applyFill="1" applyBorder="1" applyAlignment="1" applyProtection="1">
      <alignment horizontal="center" vertical="center"/>
    </xf>
    <xf numFmtId="49" fontId="44" fillId="0" borderId="43" xfId="26" applyNumberFormat="1" applyFont="1" applyFill="1" applyBorder="1" applyAlignment="1" applyProtection="1">
      <alignment horizontal="right" vertical="center"/>
    </xf>
    <xf numFmtId="0" fontId="7" fillId="0" borderId="0" xfId="26" applyFont="1" applyFill="1" applyAlignment="1" applyProtection="1">
      <alignment vertical="center"/>
    </xf>
    <xf numFmtId="0" fontId="45" fillId="0" borderId="0" xfId="26" applyFont="1" applyFill="1" applyAlignment="1" applyProtection="1">
      <alignment horizontal="right"/>
    </xf>
    <xf numFmtId="0" fontId="4" fillId="0" borderId="0" xfId="26" applyFont="1" applyFill="1" applyAlignment="1" applyProtection="1">
      <alignment vertical="center"/>
    </xf>
    <xf numFmtId="0" fontId="7" fillId="0" borderId="33" xfId="26" applyFont="1" applyFill="1" applyBorder="1" applyAlignment="1" applyProtection="1">
      <alignment horizontal="center" vertical="center" wrapText="1"/>
    </xf>
    <xf numFmtId="0" fontId="7" fillId="0" borderId="15" xfId="26" applyFont="1" applyFill="1" applyBorder="1" applyAlignment="1" applyProtection="1">
      <alignment horizontal="center" vertical="center" wrapText="1"/>
    </xf>
    <xf numFmtId="0" fontId="44" fillId="0" borderId="27" xfId="26" applyFont="1" applyFill="1" applyBorder="1" applyAlignment="1" applyProtection="1">
      <alignment horizontal="center" vertical="center" wrapText="1"/>
    </xf>
    <xf numFmtId="0" fontId="1" fillId="0" borderId="0" xfId="26" applyFill="1" applyAlignment="1" applyProtection="1">
      <alignment vertical="center" wrapText="1"/>
    </xf>
    <xf numFmtId="0" fontId="16" fillId="0" borderId="12" xfId="26" applyFont="1" applyFill="1" applyBorder="1" applyAlignment="1" applyProtection="1">
      <alignment horizontal="center" vertical="center" wrapText="1"/>
    </xf>
    <xf numFmtId="0" fontId="16" fillId="0" borderId="13" xfId="26" applyFont="1" applyFill="1" applyBorder="1" applyAlignment="1" applyProtection="1">
      <alignment horizontal="center" vertical="center" wrapText="1"/>
    </xf>
    <xf numFmtId="0" fontId="42" fillId="0" borderId="18" xfId="26" applyFont="1" applyFill="1" applyBorder="1" applyAlignment="1" applyProtection="1">
      <alignment horizontal="center" vertical="center" wrapText="1"/>
    </xf>
    <xf numFmtId="0" fontId="6" fillId="0" borderId="0" xfId="26" applyFont="1" applyFill="1" applyAlignment="1" applyProtection="1">
      <alignment horizontal="center" vertical="center" wrapText="1"/>
    </xf>
    <xf numFmtId="3" fontId="23" fillId="0" borderId="0" xfId="26" applyNumberFormat="1" applyFont="1" applyFill="1" applyAlignment="1" applyProtection="1">
      <alignment horizontal="center" vertical="center" wrapText="1"/>
    </xf>
    <xf numFmtId="0" fontId="7" fillId="0" borderId="29" xfId="26" applyFont="1" applyFill="1" applyBorder="1" applyAlignment="1" applyProtection="1">
      <alignment horizontal="center" vertical="center" wrapText="1"/>
    </xf>
    <xf numFmtId="0" fontId="7" fillId="0" borderId="30" xfId="26" applyFont="1" applyFill="1" applyBorder="1" applyAlignment="1" applyProtection="1">
      <alignment horizontal="center" vertical="center" wrapText="1"/>
    </xf>
    <xf numFmtId="164" fontId="44" fillId="0" borderId="31" xfId="26" applyNumberFormat="1" applyFont="1" applyFill="1" applyBorder="1" applyAlignment="1" applyProtection="1">
      <alignment horizontal="center" vertical="center" wrapText="1"/>
    </xf>
    <xf numFmtId="0" fontId="23" fillId="0" borderId="13" xfId="26" applyFont="1" applyFill="1" applyBorder="1" applyAlignment="1" applyProtection="1">
      <alignment horizontal="left" vertical="center" wrapText="1" indent="1"/>
    </xf>
    <xf numFmtId="164" fontId="39" fillId="0" borderId="18" xfId="26" applyNumberFormat="1" applyFont="1" applyFill="1" applyBorder="1" applyAlignment="1" applyProtection="1">
      <alignment horizontal="right" vertical="center" wrapText="1" indent="1"/>
    </xf>
    <xf numFmtId="0" fontId="9" fillId="0" borderId="0" xfId="26" applyFont="1" applyFill="1" applyAlignment="1" applyProtection="1">
      <alignment vertical="center" wrapText="1"/>
    </xf>
    <xf numFmtId="3" fontId="28" fillId="0" borderId="0" xfId="26" applyNumberFormat="1" applyFont="1" applyFill="1" applyAlignment="1" applyProtection="1">
      <alignment vertical="center" wrapText="1"/>
    </xf>
    <xf numFmtId="49" fontId="24" fillId="0" borderId="10" xfId="26" applyNumberFormat="1" applyFont="1" applyFill="1" applyBorder="1" applyAlignment="1" applyProtection="1">
      <alignment horizontal="center" vertical="center" wrapText="1"/>
    </xf>
    <xf numFmtId="164" fontId="41" fillId="0" borderId="16" xfId="26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7" xfId="26" applyNumberFormat="1" applyFont="1" applyFill="1" applyBorder="1" applyAlignment="1" applyProtection="1">
      <alignment horizontal="center" vertical="center" wrapText="1"/>
    </xf>
    <xf numFmtId="164" fontId="38" fillId="0" borderId="17" xfId="26" applyNumberFormat="1" applyFont="1" applyFill="1" applyBorder="1" applyAlignment="1" applyProtection="1">
      <alignment horizontal="right" vertical="center" wrapText="1" indent="1"/>
      <protection locked="0"/>
    </xf>
    <xf numFmtId="164" fontId="41" fillId="0" borderId="17" xfId="26" applyNumberFormat="1" applyFont="1" applyFill="1" applyBorder="1" applyAlignment="1" applyProtection="1">
      <alignment horizontal="right" vertical="center" wrapText="1" indent="1"/>
      <protection locked="0"/>
    </xf>
    <xf numFmtId="164" fontId="41" fillId="0" borderId="39" xfId="26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26" applyFont="1" applyFill="1" applyAlignment="1" applyProtection="1">
      <alignment vertical="center" wrapText="1"/>
    </xf>
    <xf numFmtId="164" fontId="41" fillId="0" borderId="22" xfId="26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22" xfId="2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2" xfId="26" applyFont="1" applyFill="1" applyBorder="1" applyAlignment="1" applyProtection="1">
      <alignment horizontal="center" vertical="center" wrapText="1"/>
    </xf>
    <xf numFmtId="164" fontId="39" fillId="0" borderId="18" xfId="26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8" xfId="26" applyNumberFormat="1" applyFont="1" applyFill="1" applyBorder="1" applyAlignment="1" applyProtection="1">
      <alignment horizontal="center" vertical="center" wrapText="1"/>
    </xf>
    <xf numFmtId="164" fontId="38" fillId="0" borderId="19" xfId="26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39" xfId="26" applyNumberFormat="1" applyFont="1" applyFill="1" applyBorder="1" applyAlignment="1" applyProtection="1">
      <alignment horizontal="right" vertical="center" wrapText="1" indent="1"/>
      <protection locked="0"/>
    </xf>
    <xf numFmtId="164" fontId="38" fillId="0" borderId="21" xfId="26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42" xfId="26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42" xfId="26" applyNumberFormat="1" applyFont="1" applyFill="1" applyBorder="1" applyAlignment="1" applyProtection="1">
      <alignment horizontal="right" vertical="center" wrapText="1" indent="1"/>
    </xf>
    <xf numFmtId="0" fontId="22" fillId="0" borderId="12" xfId="26" applyFont="1" applyBorder="1" applyAlignment="1" applyProtection="1">
      <alignment horizontal="center" vertical="center" wrapText="1"/>
    </xf>
    <xf numFmtId="164" fontId="39" fillId="0" borderId="21" xfId="26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32" xfId="26" applyFont="1" applyBorder="1" applyAlignment="1" applyProtection="1">
      <alignment horizontal="left" wrapText="1" indent="1"/>
    </xf>
    <xf numFmtId="0" fontId="18" fillId="0" borderId="0" xfId="26" applyFont="1" applyFill="1" applyBorder="1" applyAlignment="1" applyProtection="1">
      <alignment horizontal="center" vertical="center" wrapText="1"/>
    </xf>
    <xf numFmtId="0" fontId="7" fillId="0" borderId="0" xfId="26" applyFont="1" applyFill="1" applyBorder="1" applyAlignment="1" applyProtection="1">
      <alignment horizontal="left" vertical="center" wrapText="1" indent="1"/>
    </xf>
    <xf numFmtId="164" fontId="39" fillId="0" borderId="0" xfId="26" applyNumberFormat="1" applyFont="1" applyFill="1" applyBorder="1" applyAlignment="1" applyProtection="1">
      <alignment horizontal="right" vertical="center" wrapText="1" indent="1"/>
    </xf>
    <xf numFmtId="0" fontId="18" fillId="0" borderId="0" xfId="26" applyFont="1" applyFill="1" applyAlignment="1" applyProtection="1">
      <alignment horizontal="left" vertical="center" wrapText="1"/>
    </xf>
    <xf numFmtId="0" fontId="18" fillId="0" borderId="0" xfId="26" applyFont="1" applyFill="1" applyAlignment="1" applyProtection="1">
      <alignment vertical="center" wrapText="1"/>
    </xf>
    <xf numFmtId="0" fontId="38" fillId="0" borderId="0" xfId="26" applyFont="1" applyFill="1" applyAlignment="1" applyProtection="1">
      <alignment horizontal="right" vertical="center" wrapText="1" indent="1"/>
    </xf>
    <xf numFmtId="0" fontId="16" fillId="0" borderId="33" xfId="26" applyFont="1" applyFill="1" applyBorder="1" applyAlignment="1" applyProtection="1">
      <alignment horizontal="center" vertical="center" wrapText="1"/>
    </xf>
    <xf numFmtId="0" fontId="7" fillId="0" borderId="34" xfId="26" applyFont="1" applyFill="1" applyBorder="1" applyAlignment="1" applyProtection="1">
      <alignment horizontal="center" vertical="center" wrapText="1"/>
    </xf>
    <xf numFmtId="0" fontId="8" fillId="0" borderId="0" xfId="26" applyFont="1" applyFill="1" applyAlignment="1" applyProtection="1">
      <alignment vertical="center" wrapText="1"/>
    </xf>
    <xf numFmtId="164" fontId="37" fillId="0" borderId="19" xfId="26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17" xfId="26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17" xfId="26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3" xfId="26" applyFont="1" applyFill="1" applyBorder="1" applyAlignment="1" applyProtection="1">
      <alignment horizontal="left" vertical="center" wrapText="1" indent="1"/>
    </xf>
    <xf numFmtId="0" fontId="1" fillId="0" borderId="0" xfId="26" applyFill="1" applyAlignment="1" applyProtection="1">
      <alignment horizontal="left" vertical="center" wrapText="1"/>
    </xf>
    <xf numFmtId="0" fontId="40" fillId="0" borderId="0" xfId="26" applyFont="1" applyFill="1" applyAlignment="1" applyProtection="1">
      <alignment horizontal="right" vertical="center" wrapText="1" indent="1"/>
    </xf>
    <xf numFmtId="0" fontId="4" fillId="0" borderId="12" xfId="26" applyFont="1" applyFill="1" applyBorder="1" applyAlignment="1" applyProtection="1">
      <alignment horizontal="left" vertical="center"/>
    </xf>
    <xf numFmtId="0" fontId="4" fillId="0" borderId="32" xfId="26" applyFont="1" applyFill="1" applyBorder="1" applyAlignment="1" applyProtection="1">
      <alignment vertical="center" wrapText="1"/>
    </xf>
    <xf numFmtId="4" fontId="54" fillId="0" borderId="18" xfId="26" applyNumberFormat="1" applyFont="1" applyFill="1" applyBorder="1" applyAlignment="1" applyProtection="1">
      <alignment horizontal="right" vertical="center" wrapText="1" indent="1"/>
      <protection locked="0"/>
    </xf>
    <xf numFmtId="3" fontId="54" fillId="0" borderId="18" xfId="26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26" applyFont="1" applyFill="1" applyAlignment="1" applyProtection="1">
      <alignment vertical="center" wrapText="1"/>
    </xf>
    <xf numFmtId="164" fontId="39" fillId="0" borderId="22" xfId="26" applyNumberFormat="1" applyFont="1" applyFill="1" applyBorder="1" applyAlignment="1" applyProtection="1">
      <alignment horizontal="right" vertical="center" wrapText="1" indent="1"/>
      <protection locked="0"/>
    </xf>
    <xf numFmtId="3" fontId="37" fillId="0" borderId="2" xfId="25" applyNumberFormat="1" applyFont="1" applyBorder="1" applyAlignment="1">
      <alignment horizontal="right"/>
    </xf>
    <xf numFmtId="3" fontId="37" fillId="0" borderId="20" xfId="19" applyNumberFormat="1" applyFont="1" applyBorder="1" applyAlignment="1">
      <alignment horizontal="right"/>
    </xf>
    <xf numFmtId="164" fontId="23" fillId="0" borderId="39" xfId="23" applyNumberFormat="1" applyFont="1" applyFill="1" applyBorder="1" applyAlignment="1" applyProtection="1">
      <alignment vertical="center"/>
    </xf>
    <xf numFmtId="164" fontId="30" fillId="0" borderId="23" xfId="18" applyNumberFormat="1" applyFont="1" applyFill="1" applyBorder="1" applyAlignment="1" applyProtection="1">
      <alignment horizontal="left" vertical="center"/>
    </xf>
    <xf numFmtId="164" fontId="6" fillId="0" borderId="0" xfId="18" applyNumberFormat="1" applyFont="1" applyFill="1" applyBorder="1" applyAlignment="1" applyProtection="1">
      <alignment horizontal="center" vertical="center"/>
    </xf>
    <xf numFmtId="164" fontId="30" fillId="0" borderId="23" xfId="18" applyNumberFormat="1" applyFont="1" applyFill="1" applyBorder="1" applyAlignment="1" applyProtection="1">
      <alignment horizontal="left"/>
    </xf>
    <xf numFmtId="0" fontId="19" fillId="0" borderId="0" xfId="18" applyFont="1" applyFill="1" applyAlignment="1" applyProtection="1">
      <alignment horizontal="center"/>
    </xf>
    <xf numFmtId="164" fontId="52" fillId="0" borderId="0" xfId="0" applyNumberFormat="1" applyFont="1" applyFill="1" applyAlignment="1" applyProtection="1">
      <alignment horizontal="center" textRotation="180" wrapText="1"/>
    </xf>
    <xf numFmtId="164" fontId="25" fillId="0" borderId="53" xfId="0" applyNumberFormat="1" applyFont="1" applyFill="1" applyBorder="1" applyAlignment="1" applyProtection="1">
      <alignment horizontal="center" vertical="center" wrapText="1"/>
    </xf>
    <xf numFmtId="164" fontId="25" fillId="0" borderId="52" xfId="0" applyNumberFormat="1" applyFont="1" applyFill="1" applyBorder="1" applyAlignment="1" applyProtection="1">
      <alignment horizontal="center" vertical="center" wrapText="1"/>
    </xf>
    <xf numFmtId="164" fontId="53" fillId="0" borderId="47" xfId="0" applyNumberFormat="1" applyFont="1" applyFill="1" applyBorder="1" applyAlignment="1" applyProtection="1">
      <alignment horizontal="center" vertical="center" wrapText="1"/>
    </xf>
    <xf numFmtId="0" fontId="16" fillId="0" borderId="14" xfId="25" applyFont="1" applyBorder="1" applyAlignment="1">
      <alignment horizontal="center" vertical="center"/>
    </xf>
    <xf numFmtId="0" fontId="16" fillId="0" borderId="6" xfId="25" applyFont="1" applyBorder="1" applyAlignment="1">
      <alignment horizontal="center" vertical="center"/>
    </xf>
    <xf numFmtId="0" fontId="16" fillId="0" borderId="8" xfId="25" applyFont="1" applyBorder="1" applyAlignment="1">
      <alignment horizontal="center" vertical="center"/>
    </xf>
    <xf numFmtId="0" fontId="42" fillId="0" borderId="4" xfId="25" applyFont="1" applyBorder="1" applyAlignment="1">
      <alignment horizontal="left"/>
    </xf>
    <xf numFmtId="0" fontId="55" fillId="0" borderId="4" xfId="25" applyFont="1" applyBorder="1" applyAlignment="1">
      <alignment horizontal="left"/>
    </xf>
    <xf numFmtId="0" fontId="42" fillId="0" borderId="4" xfId="25" applyFont="1" applyBorder="1" applyAlignment="1">
      <alignment horizontal="center"/>
    </xf>
    <xf numFmtId="0" fontId="55" fillId="0" borderId="4" xfId="25" applyFont="1" applyBorder="1" applyAlignment="1">
      <alignment horizontal="center"/>
    </xf>
    <xf numFmtId="0" fontId="55" fillId="0" borderId="16" xfId="25" applyFont="1" applyBorder="1" applyAlignment="1">
      <alignment horizontal="center"/>
    </xf>
    <xf numFmtId="0" fontId="42" fillId="0" borderId="5" xfId="25" applyFont="1" applyBorder="1" applyAlignment="1">
      <alignment horizontal="center" vertical="top" wrapText="1"/>
    </xf>
    <xf numFmtId="0" fontId="42" fillId="0" borderId="3" xfId="25" applyFont="1" applyBorder="1" applyAlignment="1">
      <alignment horizontal="center" vertical="top" wrapText="1"/>
    </xf>
    <xf numFmtId="0" fontId="19" fillId="0" borderId="0" xfId="18" applyFont="1" applyFill="1" applyAlignment="1">
      <alignment horizontal="center" wrapText="1"/>
    </xf>
    <xf numFmtId="0" fontId="19" fillId="0" borderId="0" xfId="18" applyFont="1" applyFill="1" applyAlignment="1">
      <alignment horizontal="center"/>
    </xf>
    <xf numFmtId="0" fontId="19" fillId="0" borderId="0" xfId="23" applyFont="1" applyFill="1" applyAlignment="1" applyProtection="1">
      <alignment horizontal="center" wrapText="1"/>
    </xf>
    <xf numFmtId="0" fontId="19" fillId="0" borderId="0" xfId="23" applyFont="1" applyFill="1" applyAlignment="1" applyProtection="1">
      <alignment horizontal="center"/>
    </xf>
    <xf numFmtId="0" fontId="17" fillId="0" borderId="57" xfId="23" applyFont="1" applyFill="1" applyBorder="1" applyAlignment="1" applyProtection="1">
      <alignment horizontal="left" vertical="center" indent="1"/>
    </xf>
    <xf numFmtId="0" fontId="17" fillId="0" borderId="34" xfId="23" applyFont="1" applyFill="1" applyBorder="1" applyAlignment="1" applyProtection="1">
      <alignment horizontal="left" vertical="center" indent="1"/>
    </xf>
    <xf numFmtId="0" fontId="17" fillId="0" borderId="42" xfId="23" applyFont="1" applyFill="1" applyBorder="1" applyAlignment="1" applyProtection="1">
      <alignment horizontal="left" vertical="center" indent="1"/>
    </xf>
  </cellXfs>
  <cellStyles count="27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0" builtinId="3"/>
    <cellStyle name="Ezres 2" xfId="7"/>
    <cellStyle name="Ezres 3" xfId="8"/>
    <cellStyle name="Ezres 4" xfId="9"/>
    <cellStyle name="Ezres 4 2" xfId="10"/>
    <cellStyle name="Ezres 4 2 2" xfId="19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1"/>
    <cellStyle name="Normál 2 3" xfId="26"/>
    <cellStyle name="Normál 3" xfId="15"/>
    <cellStyle name="Normál 3 2" xfId="16"/>
    <cellStyle name="Normál 3 2 2" xfId="17"/>
    <cellStyle name="Normál_KVRENMUNKA" xfId="18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K%20k&#233;relem/2019_6(II.28)%202018.%20&#233;vi%20k&#246;lts&#233;gvet&#233;s%20rend.%20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4.sz.mell."/>
      <sheetName val="8. sz. mell. "/>
      <sheetName val="8.1. sz. mell."/>
      <sheetName val="9.1. sz. mell."/>
      <sheetName val="9.1.1. sz. mell. "/>
      <sheetName val="9.1.2. sz. mell."/>
      <sheetName val="9.2. sz. mell. "/>
      <sheetName val="9.2.2. sz. 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>
        <row r="8">
          <cell r="C8">
            <v>12429074</v>
          </cell>
        </row>
        <row r="9">
          <cell r="C9">
            <v>20000</v>
          </cell>
        </row>
        <row r="10">
          <cell r="C10">
            <v>9870000</v>
          </cell>
        </row>
        <row r="11">
          <cell r="C11">
            <v>50000</v>
          </cell>
        </row>
        <row r="14">
          <cell r="C14">
            <v>1152900</v>
          </cell>
        </row>
        <row r="15">
          <cell r="C15">
            <v>1170000</v>
          </cell>
        </row>
        <row r="19">
          <cell r="C19">
            <v>166174</v>
          </cell>
        </row>
        <row r="20">
          <cell r="C20">
            <v>136269</v>
          </cell>
        </row>
        <row r="23">
          <cell r="C23">
            <v>136269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12565343</v>
          </cell>
        </row>
        <row r="37">
          <cell r="C37">
            <v>81326046</v>
          </cell>
        </row>
        <row r="38">
          <cell r="C38">
            <v>361287</v>
          </cell>
        </row>
        <row r="40">
          <cell r="C40">
            <v>80964759</v>
          </cell>
        </row>
        <row r="41">
          <cell r="C41">
            <v>93891389</v>
          </cell>
        </row>
        <row r="45">
          <cell r="C45">
            <v>88595580</v>
          </cell>
        </row>
        <row r="46">
          <cell r="C46">
            <v>43087635</v>
          </cell>
        </row>
        <row r="47">
          <cell r="C47">
            <v>8247095</v>
          </cell>
        </row>
        <row r="48">
          <cell r="C48">
            <v>37260850</v>
          </cell>
        </row>
        <row r="51">
          <cell r="C51">
            <v>5295809</v>
          </cell>
        </row>
        <row r="52">
          <cell r="C52">
            <v>5295809</v>
          </cell>
        </row>
        <row r="57">
          <cell r="C57">
            <v>93891389</v>
          </cell>
        </row>
        <row r="59">
          <cell r="C59">
            <v>16.75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9"/>
  <sheetViews>
    <sheetView tabSelected="1" view="pageLayout" zoomScale="115" zoomScaleNormal="115" zoomScaleSheetLayoutView="100" zoomScalePageLayoutView="115" workbookViewId="0">
      <selection activeCell="J91" sqref="J91"/>
    </sheetView>
  </sheetViews>
  <sheetFormatPr defaultRowHeight="15.75" x14ac:dyDescent="0.25"/>
  <cols>
    <col min="1" max="1" width="9.5" style="30" customWidth="1"/>
    <col min="2" max="2" width="91.6640625" style="30" customWidth="1"/>
    <col min="3" max="3" width="21.6640625" style="150" customWidth="1"/>
    <col min="4" max="4" width="18" style="34" hidden="1" customWidth="1"/>
    <col min="5" max="5" width="14.5" style="34" hidden="1" customWidth="1"/>
    <col min="6" max="6" width="15.33203125" style="34" hidden="1" customWidth="1"/>
    <col min="7" max="7" width="11.1640625" style="34" hidden="1" customWidth="1"/>
    <col min="8" max="8" width="15.5" style="57" hidden="1" customWidth="1"/>
    <col min="9" max="9" width="17.83203125" style="58" hidden="1" customWidth="1"/>
    <col min="10" max="10" width="9.33203125" style="34" customWidth="1"/>
    <col min="11" max="16384" width="9.33203125" style="34"/>
  </cols>
  <sheetData>
    <row r="1" spans="1:9" ht="15.95" customHeight="1" x14ac:dyDescent="0.25">
      <c r="A1" s="473" t="s">
        <v>3</v>
      </c>
      <c r="B1" s="473"/>
      <c r="C1" s="473"/>
    </row>
    <row r="2" spans="1:9" ht="15.95" customHeight="1" thickBot="1" x14ac:dyDescent="0.3">
      <c r="A2" s="472" t="s">
        <v>64</v>
      </c>
      <c r="B2" s="472"/>
      <c r="C2" s="25" t="s">
        <v>149</v>
      </c>
    </row>
    <row r="3" spans="1:9" ht="38.1" customHeight="1" thickBot="1" x14ac:dyDescent="0.3">
      <c r="A3" s="10" t="s">
        <v>44</v>
      </c>
      <c r="B3" s="11" t="s">
        <v>5</v>
      </c>
      <c r="C3" s="59" t="s">
        <v>148</v>
      </c>
      <c r="D3" s="30" t="s">
        <v>150</v>
      </c>
      <c r="E3" s="30" t="s">
        <v>151</v>
      </c>
      <c r="F3" s="30" t="s">
        <v>152</v>
      </c>
      <c r="G3" s="30"/>
    </row>
    <row r="4" spans="1:9" s="35" customFormat="1" ht="12" customHeight="1" thickBot="1" x14ac:dyDescent="0.25">
      <c r="A4" s="32" t="s">
        <v>122</v>
      </c>
      <c r="B4" s="33" t="s">
        <v>123</v>
      </c>
      <c r="C4" s="60" t="s">
        <v>124</v>
      </c>
      <c r="H4" s="57"/>
      <c r="I4" s="58"/>
    </row>
    <row r="5" spans="1:9" s="36" customFormat="1" ht="12" customHeight="1" thickBot="1" x14ac:dyDescent="0.25">
      <c r="A5" s="9" t="s">
        <v>6</v>
      </c>
      <c r="B5" s="61" t="s">
        <v>153</v>
      </c>
      <c r="C5" s="62">
        <f t="shared" ref="C5:C36" si="0">SUM(D5:F5)</f>
        <v>1170233686</v>
      </c>
      <c r="D5" s="43">
        <f>+D6+D7+D8+D9+D10+D11</f>
        <v>1170233686</v>
      </c>
      <c r="E5" s="62">
        <f>+E6+E7+E8+E9+E10+E11</f>
        <v>0</v>
      </c>
      <c r="F5" s="62">
        <f>+F6+F7+F8+F9+F10+F11</f>
        <v>0</v>
      </c>
      <c r="H5" s="63" t="e">
        <f>'1.2.sz.mell. '!C5+#REF!+#REF!</f>
        <v>#REF!</v>
      </c>
      <c r="I5" s="63" t="e">
        <f t="shared" ref="I5:I68" si="1">C5-H5</f>
        <v>#REF!</v>
      </c>
    </row>
    <row r="6" spans="1:9" s="36" customFormat="1" ht="12" customHeight="1" thickBot="1" x14ac:dyDescent="0.25">
      <c r="A6" s="7" t="s">
        <v>48</v>
      </c>
      <c r="B6" s="64" t="s">
        <v>154</v>
      </c>
      <c r="C6" s="76">
        <f t="shared" si="0"/>
        <v>228389971</v>
      </c>
      <c r="D6" s="65">
        <f>227855923+534048</f>
        <v>228389971</v>
      </c>
      <c r="E6" s="65"/>
      <c r="F6" s="65"/>
      <c r="H6" s="63" t="e">
        <f>'1.2.sz.mell. '!C6+#REF!+#REF!</f>
        <v>#REF!</v>
      </c>
      <c r="I6" s="66" t="e">
        <f t="shared" si="1"/>
        <v>#REF!</v>
      </c>
    </row>
    <row r="7" spans="1:9" s="36" customFormat="1" ht="12" customHeight="1" thickBot="1" x14ac:dyDescent="0.25">
      <c r="A7" s="6" t="s">
        <v>49</v>
      </c>
      <c r="B7" s="67" t="s">
        <v>155</v>
      </c>
      <c r="C7" s="78">
        <f t="shared" si="0"/>
        <v>227307468</v>
      </c>
      <c r="D7" s="69">
        <f>224734134+735168+2268933-430767</f>
        <v>227307468</v>
      </c>
      <c r="E7" s="69"/>
      <c r="F7" s="69"/>
      <c r="H7" s="63" t="e">
        <f>'1.2.sz.mell. '!C7+#REF!+#REF!</f>
        <v>#REF!</v>
      </c>
      <c r="I7" s="70" t="e">
        <f t="shared" si="1"/>
        <v>#REF!</v>
      </c>
    </row>
    <row r="8" spans="1:9" s="36" customFormat="1" ht="12" customHeight="1" thickBot="1" x14ac:dyDescent="0.25">
      <c r="A8" s="6" t="s">
        <v>50</v>
      </c>
      <c r="B8" s="67" t="s">
        <v>156</v>
      </c>
      <c r="C8" s="78">
        <f t="shared" si="0"/>
        <v>660574907</v>
      </c>
      <c r="D8" s="69">
        <f>126991000+65060600+119410000+192410145+62092600+71339813+9672244+16010694-2412189</f>
        <v>660574907</v>
      </c>
      <c r="E8" s="69"/>
      <c r="F8" s="69"/>
      <c r="H8" s="63" t="e">
        <f>'1.2.sz.mell. '!C8+#REF!+#REF!</f>
        <v>#REF!</v>
      </c>
      <c r="I8" s="70" t="e">
        <f t="shared" si="1"/>
        <v>#REF!</v>
      </c>
    </row>
    <row r="9" spans="1:9" s="36" customFormat="1" ht="12" customHeight="1" thickBot="1" x14ac:dyDescent="0.25">
      <c r="A9" s="6" t="s">
        <v>51</v>
      </c>
      <c r="B9" s="67" t="s">
        <v>157</v>
      </c>
      <c r="C9" s="78">
        <f t="shared" si="0"/>
        <v>34596226</v>
      </c>
      <c r="D9" s="69">
        <f>16122040+12622000+1398336+4545780+305691-397621</f>
        <v>34596226</v>
      </c>
      <c r="E9" s="69"/>
      <c r="F9" s="69"/>
      <c r="H9" s="63" t="e">
        <f>'1.2.sz.mell. '!C9+#REF!+#REF!</f>
        <v>#REF!</v>
      </c>
      <c r="I9" s="70" t="e">
        <f t="shared" si="1"/>
        <v>#REF!</v>
      </c>
    </row>
    <row r="10" spans="1:9" s="36" customFormat="1" ht="12" customHeight="1" thickBot="1" x14ac:dyDescent="0.25">
      <c r="A10" s="6" t="s">
        <v>63</v>
      </c>
      <c r="B10" s="71" t="s">
        <v>158</v>
      </c>
      <c r="C10" s="78">
        <f t="shared" si="0"/>
        <v>19365114</v>
      </c>
      <c r="D10" s="69">
        <f>16254886+63796813+190231327+1309600+1013108-68342593-9455567-15000000-50668000-109774460</f>
        <v>19365114</v>
      </c>
      <c r="E10" s="69"/>
      <c r="F10" s="69"/>
      <c r="H10" s="63" t="e">
        <f>'1.2.sz.mell. '!C10+#REF!+#REF!</f>
        <v>#REF!</v>
      </c>
      <c r="I10" s="70" t="e">
        <f t="shared" si="1"/>
        <v>#REF!</v>
      </c>
    </row>
    <row r="11" spans="1:9" s="36" customFormat="1" ht="12" customHeight="1" thickBot="1" x14ac:dyDescent="0.25">
      <c r="A11" s="8" t="s">
        <v>52</v>
      </c>
      <c r="B11" s="23" t="s">
        <v>159</v>
      </c>
      <c r="C11" s="72">
        <f t="shared" si="0"/>
        <v>0</v>
      </c>
      <c r="D11" s="22"/>
      <c r="E11" s="73"/>
      <c r="F11" s="73"/>
      <c r="H11" s="63" t="e">
        <f>'1.2.sz.mell. '!C11+#REF!+#REF!</f>
        <v>#REF!</v>
      </c>
      <c r="I11" s="74" t="e">
        <f t="shared" si="1"/>
        <v>#REF!</v>
      </c>
    </row>
    <row r="12" spans="1:9" s="36" customFormat="1" ht="12" customHeight="1" thickBot="1" x14ac:dyDescent="0.25">
      <c r="A12" s="9" t="s">
        <v>7</v>
      </c>
      <c r="B12" s="75" t="s">
        <v>160</v>
      </c>
      <c r="C12" s="62">
        <f t="shared" si="0"/>
        <v>279095571</v>
      </c>
      <c r="D12" s="43">
        <f>+D13+D14+D15+D16+D17</f>
        <v>256466179</v>
      </c>
      <c r="E12" s="62">
        <f>+E13+E14+E15+E16+E17</f>
        <v>3116857</v>
      </c>
      <c r="F12" s="62">
        <f>+F13+F14+F15+F16+F17</f>
        <v>19512535</v>
      </c>
      <c r="H12" s="63" t="e">
        <f>'1.2.sz.mell. '!C12+#REF!+#REF!</f>
        <v>#REF!</v>
      </c>
      <c r="I12" s="63" t="e">
        <f t="shared" si="1"/>
        <v>#REF!</v>
      </c>
    </row>
    <row r="13" spans="1:9" s="36" customFormat="1" ht="12" customHeight="1" thickBot="1" x14ac:dyDescent="0.25">
      <c r="A13" s="7" t="s">
        <v>54</v>
      </c>
      <c r="B13" s="64" t="s">
        <v>80</v>
      </c>
      <c r="C13" s="76">
        <f t="shared" si="0"/>
        <v>0</v>
      </c>
      <c r="D13" s="44"/>
      <c r="E13" s="77"/>
      <c r="F13" s="77"/>
      <c r="H13" s="63" t="e">
        <f>'1.2.sz.mell. '!C13+#REF!+#REF!</f>
        <v>#REF!</v>
      </c>
      <c r="I13" s="66" t="e">
        <f t="shared" si="1"/>
        <v>#REF!</v>
      </c>
    </row>
    <row r="14" spans="1:9" s="36" customFormat="1" ht="12" customHeight="1" thickBot="1" x14ac:dyDescent="0.25">
      <c r="A14" s="6" t="s">
        <v>55</v>
      </c>
      <c r="B14" s="67" t="s">
        <v>161</v>
      </c>
      <c r="C14" s="78">
        <f t="shared" si="0"/>
        <v>0</v>
      </c>
      <c r="D14" s="22"/>
      <c r="E14" s="73"/>
      <c r="F14" s="73"/>
      <c r="H14" s="63" t="e">
        <f>'1.2.sz.mell. '!C14+#REF!+#REF!</f>
        <v>#REF!</v>
      </c>
      <c r="I14" s="70" t="e">
        <f t="shared" si="1"/>
        <v>#REF!</v>
      </c>
    </row>
    <row r="15" spans="1:9" s="36" customFormat="1" ht="12" customHeight="1" thickBot="1" x14ac:dyDescent="0.25">
      <c r="A15" s="6" t="s">
        <v>56</v>
      </c>
      <c r="B15" s="67" t="s">
        <v>162</v>
      </c>
      <c r="C15" s="78">
        <f t="shared" si="0"/>
        <v>0</v>
      </c>
      <c r="D15" s="22"/>
      <c r="E15" s="73"/>
      <c r="F15" s="73"/>
      <c r="H15" s="63" t="e">
        <f>'1.2.sz.mell. '!C15+#REF!+#REF!</f>
        <v>#REF!</v>
      </c>
      <c r="I15" s="70" t="e">
        <f t="shared" si="1"/>
        <v>#REF!</v>
      </c>
    </row>
    <row r="16" spans="1:9" s="36" customFormat="1" ht="12" customHeight="1" thickBot="1" x14ac:dyDescent="0.25">
      <c r="A16" s="6" t="s">
        <v>57</v>
      </c>
      <c r="B16" s="67" t="s">
        <v>163</v>
      </c>
      <c r="C16" s="78">
        <f t="shared" si="0"/>
        <v>0</v>
      </c>
      <c r="D16" s="22"/>
      <c r="E16" s="73"/>
      <c r="F16" s="73"/>
      <c r="H16" s="63" t="e">
        <f>'1.2.sz.mell. '!C16+#REF!+#REF!</f>
        <v>#REF!</v>
      </c>
      <c r="I16" s="70" t="e">
        <f t="shared" si="1"/>
        <v>#REF!</v>
      </c>
    </row>
    <row r="17" spans="1:9" s="36" customFormat="1" ht="12" customHeight="1" thickBot="1" x14ac:dyDescent="0.25">
      <c r="A17" s="6" t="s">
        <v>164</v>
      </c>
      <c r="B17" s="67" t="s">
        <v>165</v>
      </c>
      <c r="C17" s="78">
        <f t="shared" si="0"/>
        <v>279095571</v>
      </c>
      <c r="D17" s="79">
        <f>3900000+4320000+125887110+24250000-344442+81177781+3810743+11382000+1954934+2336516-11236604+9028141</f>
        <v>256466179</v>
      </c>
      <c r="E17" s="80">
        <f>3096237+20620</f>
        <v>3116857</v>
      </c>
      <c r="F17" s="69">
        <v>19512535</v>
      </c>
      <c r="H17" s="63" t="e">
        <f>'1.2.sz.mell. '!C17+#REF!+#REF!</f>
        <v>#REF!</v>
      </c>
      <c r="I17" s="70" t="e">
        <f t="shared" si="1"/>
        <v>#REF!</v>
      </c>
    </row>
    <row r="18" spans="1:9" s="36" customFormat="1" ht="12" customHeight="1" thickBot="1" x14ac:dyDescent="0.25">
      <c r="A18" s="8" t="s">
        <v>166</v>
      </c>
      <c r="B18" s="23" t="s">
        <v>167</v>
      </c>
      <c r="C18" s="72">
        <f t="shared" si="0"/>
        <v>85930791</v>
      </c>
      <c r="D18" s="81">
        <v>85531256</v>
      </c>
      <c r="E18" s="82"/>
      <c r="F18" s="82">
        <v>399535</v>
      </c>
      <c r="H18" s="63" t="e">
        <f>'1.2.sz.mell. '!C18+#REF!+#REF!</f>
        <v>#REF!</v>
      </c>
      <c r="I18" s="74" t="e">
        <f t="shared" si="1"/>
        <v>#REF!</v>
      </c>
    </row>
    <row r="19" spans="1:9" s="36" customFormat="1" ht="12" customHeight="1" thickBot="1" x14ac:dyDescent="0.25">
      <c r="A19" s="9" t="s">
        <v>8</v>
      </c>
      <c r="B19" s="61" t="s">
        <v>168</v>
      </c>
      <c r="C19" s="62">
        <f t="shared" si="0"/>
        <v>82911198</v>
      </c>
      <c r="D19" s="43">
        <f>+D20+D21+D22+D23+D24</f>
        <v>82911198</v>
      </c>
      <c r="E19" s="62">
        <f>+E20+E21+E22+E23+E24</f>
        <v>0</v>
      </c>
      <c r="F19" s="62">
        <f>+F20+F21+F22+F23+F24</f>
        <v>0</v>
      </c>
      <c r="H19" s="63" t="e">
        <f>'1.2.sz.mell. '!C19+#REF!+#REF!</f>
        <v>#REF!</v>
      </c>
      <c r="I19" s="63" t="e">
        <f t="shared" si="1"/>
        <v>#REF!</v>
      </c>
    </row>
    <row r="20" spans="1:9" s="36" customFormat="1" ht="12" customHeight="1" thickBot="1" x14ac:dyDescent="0.25">
      <c r="A20" s="7" t="s">
        <v>169</v>
      </c>
      <c r="B20" s="64" t="s">
        <v>81</v>
      </c>
      <c r="C20" s="76">
        <f t="shared" si="0"/>
        <v>19753000</v>
      </c>
      <c r="D20" s="83">
        <f>322000+19431000</f>
        <v>19753000</v>
      </c>
      <c r="E20" s="84"/>
      <c r="F20" s="84"/>
      <c r="H20" s="63" t="e">
        <f>'1.2.sz.mell. '!C20+#REF!+#REF!</f>
        <v>#REF!</v>
      </c>
      <c r="I20" s="66" t="e">
        <f t="shared" si="1"/>
        <v>#REF!</v>
      </c>
    </row>
    <row r="21" spans="1:9" s="36" customFormat="1" ht="12" customHeight="1" thickBot="1" x14ac:dyDescent="0.25">
      <c r="A21" s="6" t="s">
        <v>170</v>
      </c>
      <c r="B21" s="67" t="s">
        <v>171</v>
      </c>
      <c r="C21" s="85">
        <f t="shared" si="0"/>
        <v>0</v>
      </c>
      <c r="D21" s="86"/>
      <c r="E21" s="69"/>
      <c r="F21" s="69"/>
      <c r="H21" s="63" t="e">
        <f>'1.2.sz.mell. '!C21+#REF!+#REF!</f>
        <v>#REF!</v>
      </c>
      <c r="I21" s="70" t="e">
        <f t="shared" si="1"/>
        <v>#REF!</v>
      </c>
    </row>
    <row r="22" spans="1:9" s="36" customFormat="1" ht="12" customHeight="1" thickBot="1" x14ac:dyDescent="0.25">
      <c r="A22" s="6" t="s">
        <v>172</v>
      </c>
      <c r="B22" s="67" t="s">
        <v>173</v>
      </c>
      <c r="C22" s="78">
        <f t="shared" si="0"/>
        <v>0</v>
      </c>
      <c r="D22" s="86"/>
      <c r="E22" s="69"/>
      <c r="F22" s="69"/>
      <c r="H22" s="63" t="e">
        <f>'1.2.sz.mell. '!C22+#REF!+#REF!</f>
        <v>#REF!</v>
      </c>
      <c r="I22" s="70" t="e">
        <f t="shared" si="1"/>
        <v>#REF!</v>
      </c>
    </row>
    <row r="23" spans="1:9" s="36" customFormat="1" ht="12" customHeight="1" thickBot="1" x14ac:dyDescent="0.25">
      <c r="A23" s="6" t="s">
        <v>174</v>
      </c>
      <c r="B23" s="67" t="s">
        <v>175</v>
      </c>
      <c r="C23" s="78">
        <f t="shared" si="0"/>
        <v>0</v>
      </c>
      <c r="D23" s="86"/>
      <c r="E23" s="69"/>
      <c r="F23" s="69"/>
      <c r="H23" s="63" t="e">
        <f>'1.2.sz.mell. '!C23+#REF!+#REF!</f>
        <v>#REF!</v>
      </c>
      <c r="I23" s="70" t="e">
        <f t="shared" si="1"/>
        <v>#REF!</v>
      </c>
    </row>
    <row r="24" spans="1:9" s="36" customFormat="1" ht="12" customHeight="1" thickBot="1" x14ac:dyDescent="0.25">
      <c r="A24" s="6" t="s">
        <v>176</v>
      </c>
      <c r="B24" s="67" t="s">
        <v>177</v>
      </c>
      <c r="C24" s="78">
        <f t="shared" si="0"/>
        <v>63158198</v>
      </c>
      <c r="D24" s="86">
        <f>5866130+3779393+3796748+59859051+136269-10279393</f>
        <v>63158198</v>
      </c>
      <c r="E24" s="69"/>
      <c r="F24" s="69"/>
      <c r="H24" s="63" t="e">
        <f>'1.2.sz.mell. '!C24+#REF!+#REF!</f>
        <v>#REF!</v>
      </c>
      <c r="I24" s="70" t="e">
        <f t="shared" si="1"/>
        <v>#REF!</v>
      </c>
    </row>
    <row r="25" spans="1:9" s="36" customFormat="1" ht="12" customHeight="1" thickBot="1" x14ac:dyDescent="0.25">
      <c r="A25" s="8" t="s">
        <v>178</v>
      </c>
      <c r="B25" s="87" t="s">
        <v>179</v>
      </c>
      <c r="C25" s="72">
        <f t="shared" si="0"/>
        <v>58668454</v>
      </c>
      <c r="D25" s="81">
        <f>9645523+3796748+55505576-10279393</f>
        <v>58668454</v>
      </c>
      <c r="E25" s="82"/>
      <c r="F25" s="82"/>
      <c r="H25" s="63" t="e">
        <f>'1.2.sz.mell. '!C25+#REF!+#REF!</f>
        <v>#REF!</v>
      </c>
      <c r="I25" s="74" t="e">
        <f t="shared" si="1"/>
        <v>#REF!</v>
      </c>
    </row>
    <row r="26" spans="1:9" s="36" customFormat="1" ht="12" customHeight="1" thickBot="1" x14ac:dyDescent="0.25">
      <c r="A26" s="9" t="s">
        <v>66</v>
      </c>
      <c r="B26" s="61" t="s">
        <v>82</v>
      </c>
      <c r="C26" s="62">
        <f t="shared" si="0"/>
        <v>402108000</v>
      </c>
      <c r="D26" s="88">
        <f>+D27+D31+D32+D33</f>
        <v>402108000</v>
      </c>
      <c r="E26" s="89">
        <f>+E27+E31+E32+E33</f>
        <v>0</v>
      </c>
      <c r="F26" s="89">
        <f>+F27+F31+F32+F33</f>
        <v>0</v>
      </c>
      <c r="H26" s="63" t="e">
        <f>'1.2.sz.mell. '!C26+#REF!+#REF!</f>
        <v>#REF!</v>
      </c>
      <c r="I26" s="63" t="e">
        <f t="shared" si="1"/>
        <v>#REF!</v>
      </c>
    </row>
    <row r="27" spans="1:9" s="36" customFormat="1" ht="12" customHeight="1" thickBot="1" x14ac:dyDescent="0.25">
      <c r="A27" s="7" t="s">
        <v>83</v>
      </c>
      <c r="B27" s="64" t="s">
        <v>125</v>
      </c>
      <c r="C27" s="76">
        <f t="shared" si="0"/>
        <v>361554000</v>
      </c>
      <c r="D27" s="90">
        <f>SUM(D28:D30)</f>
        <v>361554000</v>
      </c>
      <c r="E27" s="91"/>
      <c r="F27" s="91"/>
      <c r="H27" s="63" t="e">
        <f>'1.2.sz.mell. '!C27+#REF!+#REF!</f>
        <v>#REF!</v>
      </c>
      <c r="I27" s="66" t="e">
        <f t="shared" si="1"/>
        <v>#REF!</v>
      </c>
    </row>
    <row r="28" spans="1:9" s="36" customFormat="1" ht="12" customHeight="1" thickBot="1" x14ac:dyDescent="0.25">
      <c r="A28" s="6" t="s">
        <v>180</v>
      </c>
      <c r="B28" s="67" t="s">
        <v>87</v>
      </c>
      <c r="C28" s="78">
        <f t="shared" si="0"/>
        <v>76900000</v>
      </c>
      <c r="D28" s="92">
        <f>7500000+70000000+5000000-5600000</f>
        <v>76900000</v>
      </c>
      <c r="E28" s="73"/>
      <c r="F28" s="73"/>
      <c r="H28" s="63" t="e">
        <f>'1.2.sz.mell. '!C28+#REF!+#REF!</f>
        <v>#REF!</v>
      </c>
      <c r="I28" s="70" t="e">
        <f t="shared" si="1"/>
        <v>#REF!</v>
      </c>
    </row>
    <row r="29" spans="1:9" s="36" customFormat="1" ht="12" customHeight="1" thickBot="1" x14ac:dyDescent="0.25">
      <c r="A29" s="6" t="s">
        <v>181</v>
      </c>
      <c r="B29" s="67" t="s">
        <v>139</v>
      </c>
      <c r="C29" s="78">
        <f t="shared" si="0"/>
        <v>284654000</v>
      </c>
      <c r="D29" s="92">
        <f>231154000+52000000+50000000-48500000</f>
        <v>284654000</v>
      </c>
      <c r="E29" s="73"/>
      <c r="F29" s="73"/>
      <c r="H29" s="63" t="e">
        <f>'1.2.sz.mell. '!C29+#REF!+#REF!</f>
        <v>#REF!</v>
      </c>
      <c r="I29" s="70" t="e">
        <f t="shared" si="1"/>
        <v>#REF!</v>
      </c>
    </row>
    <row r="30" spans="1:9" s="36" customFormat="1" ht="12" customHeight="1" thickBot="1" x14ac:dyDescent="0.25">
      <c r="A30" s="6" t="s">
        <v>84</v>
      </c>
      <c r="B30" s="67" t="s">
        <v>140</v>
      </c>
      <c r="C30" s="78">
        <f t="shared" si="0"/>
        <v>0</v>
      </c>
      <c r="D30" s="86"/>
      <c r="E30" s="69"/>
      <c r="F30" s="69"/>
      <c r="H30" s="63" t="e">
        <f>'1.2.sz.mell. '!C30+#REF!+#REF!</f>
        <v>#REF!</v>
      </c>
      <c r="I30" s="70" t="e">
        <f t="shared" si="1"/>
        <v>#REF!</v>
      </c>
    </row>
    <row r="31" spans="1:9" s="36" customFormat="1" ht="12" customHeight="1" thickBot="1" x14ac:dyDescent="0.25">
      <c r="A31" s="6" t="s">
        <v>182</v>
      </c>
      <c r="B31" s="67" t="s">
        <v>88</v>
      </c>
      <c r="C31" s="78">
        <f t="shared" si="0"/>
        <v>30050000</v>
      </c>
      <c r="D31" s="92">
        <f>28000000+3000000-950000</f>
        <v>30050000</v>
      </c>
      <c r="E31" s="73"/>
      <c r="F31" s="73"/>
      <c r="H31" s="63" t="e">
        <f>'1.2.sz.mell. '!C31+#REF!+#REF!</f>
        <v>#REF!</v>
      </c>
      <c r="I31" s="70" t="e">
        <f t="shared" si="1"/>
        <v>#REF!</v>
      </c>
    </row>
    <row r="32" spans="1:9" s="36" customFormat="1" ht="12" customHeight="1" thickBot="1" x14ac:dyDescent="0.25">
      <c r="A32" s="6" t="s">
        <v>86</v>
      </c>
      <c r="B32" s="67" t="s">
        <v>89</v>
      </c>
      <c r="C32" s="78">
        <f t="shared" si="0"/>
        <v>4000</v>
      </c>
      <c r="D32" s="22">
        <f>4000+4500000-4500000</f>
        <v>4000</v>
      </c>
      <c r="E32" s="73"/>
      <c r="F32" s="73"/>
      <c r="H32" s="63" t="e">
        <f>'1.2.sz.mell. '!C32+#REF!+#REF!</f>
        <v>#REF!</v>
      </c>
      <c r="I32" s="70" t="e">
        <f t="shared" si="1"/>
        <v>#REF!</v>
      </c>
    </row>
    <row r="33" spans="1:9" s="36" customFormat="1" ht="12" customHeight="1" thickBot="1" x14ac:dyDescent="0.25">
      <c r="A33" s="8" t="s">
        <v>141</v>
      </c>
      <c r="B33" s="87" t="s">
        <v>90</v>
      </c>
      <c r="C33" s="72">
        <f t="shared" si="0"/>
        <v>10500000</v>
      </c>
      <c r="D33" s="81">
        <f>1500000+2000000+1000000+7000000+4500000-5500000</f>
        <v>10500000</v>
      </c>
      <c r="E33" s="82"/>
      <c r="F33" s="82"/>
      <c r="H33" s="63" t="e">
        <f>'1.2.sz.mell. '!C33+#REF!+#REF!</f>
        <v>#REF!</v>
      </c>
      <c r="I33" s="74" t="e">
        <f t="shared" si="1"/>
        <v>#REF!</v>
      </c>
    </row>
    <row r="34" spans="1:9" s="36" customFormat="1" ht="12" customHeight="1" thickBot="1" x14ac:dyDescent="0.25">
      <c r="A34" s="9" t="s">
        <v>10</v>
      </c>
      <c r="B34" s="61" t="s">
        <v>183</v>
      </c>
      <c r="C34" s="62">
        <f t="shared" si="0"/>
        <v>405741309</v>
      </c>
      <c r="D34" s="43">
        <f>SUM(D35:D45)</f>
        <v>11689861</v>
      </c>
      <c r="E34" s="62">
        <f>SUM(E35:E45)</f>
        <v>8419440</v>
      </c>
      <c r="F34" s="62">
        <f>SUM(F35:F45)</f>
        <v>385632008</v>
      </c>
      <c r="H34" s="63" t="e">
        <f>'1.2.sz.mell. '!C34+#REF!+#REF!</f>
        <v>#REF!</v>
      </c>
      <c r="I34" s="63" t="e">
        <f t="shared" si="1"/>
        <v>#REF!</v>
      </c>
    </row>
    <row r="35" spans="1:9" s="36" customFormat="1" ht="12" customHeight="1" thickBot="1" x14ac:dyDescent="0.25">
      <c r="A35" s="7" t="s">
        <v>45</v>
      </c>
      <c r="B35" s="64" t="s">
        <v>91</v>
      </c>
      <c r="C35" s="76">
        <f t="shared" si="0"/>
        <v>13289065</v>
      </c>
      <c r="D35" s="83">
        <f>12159000+1040220+69845</f>
        <v>13269065</v>
      </c>
      <c r="E35" s="65"/>
      <c r="F35" s="65">
        <v>20000</v>
      </c>
      <c r="H35" s="63" t="e">
        <f>'1.2.sz.mell. '!C35+#REF!+#REF!</f>
        <v>#REF!</v>
      </c>
      <c r="I35" s="66" t="e">
        <f t="shared" si="1"/>
        <v>#REF!</v>
      </c>
    </row>
    <row r="36" spans="1:9" s="36" customFormat="1" ht="12.75" customHeight="1" thickBot="1" x14ac:dyDescent="0.25">
      <c r="A36" s="6" t="s">
        <v>46</v>
      </c>
      <c r="B36" s="67" t="s">
        <v>92</v>
      </c>
      <c r="C36" s="78">
        <f t="shared" si="0"/>
        <v>77743172</v>
      </c>
      <c r="D36" s="86">
        <f>13910169+100000+62992+7239600-5100400+167992+700000</f>
        <v>17080353</v>
      </c>
      <c r="E36" s="69">
        <f>500000+1198440+380000+4150000</f>
        <v>6228440</v>
      </c>
      <c r="F36" s="65">
        <f>52063316+2371063</f>
        <v>54434379</v>
      </c>
      <c r="H36" s="63" t="e">
        <f>'1.2.sz.mell. '!C36+#REF!+#REF!</f>
        <v>#REF!</v>
      </c>
      <c r="I36" s="70" t="e">
        <f t="shared" si="1"/>
        <v>#REF!</v>
      </c>
    </row>
    <row r="37" spans="1:9" s="36" customFormat="1" ht="12" customHeight="1" thickBot="1" x14ac:dyDescent="0.25">
      <c r="A37" s="6" t="s">
        <v>47</v>
      </c>
      <c r="B37" s="67" t="s">
        <v>93</v>
      </c>
      <c r="C37" s="78">
        <f t="shared" ref="C37:C87" si="2">SUM(D37:F37)</f>
        <v>75324504</v>
      </c>
      <c r="D37" s="86">
        <f>500000+300000+50000+1400000+947000+300000+52200-24180760+400000+723064-4687000</f>
        <v>-24195496</v>
      </c>
      <c r="E37" s="69">
        <v>300000</v>
      </c>
      <c r="F37" s="65">
        <v>99220000</v>
      </c>
      <c r="H37" s="63" t="e">
        <f>'1.2.sz.mell. '!C37+#REF!+#REF!</f>
        <v>#REF!</v>
      </c>
      <c r="I37" s="70" t="e">
        <f t="shared" si="1"/>
        <v>#REF!</v>
      </c>
    </row>
    <row r="38" spans="1:9" s="36" customFormat="1" ht="12" customHeight="1" thickBot="1" x14ac:dyDescent="0.25">
      <c r="A38" s="6" t="s">
        <v>184</v>
      </c>
      <c r="B38" s="67" t="s">
        <v>94</v>
      </c>
      <c r="C38" s="78">
        <f t="shared" si="2"/>
        <v>430000</v>
      </c>
      <c r="D38" s="86">
        <v>430000</v>
      </c>
      <c r="E38" s="69"/>
      <c r="F38" s="65"/>
      <c r="H38" s="63" t="e">
        <f>'1.2.sz.mell. '!C38+#REF!+#REF!</f>
        <v>#REF!</v>
      </c>
      <c r="I38" s="70" t="e">
        <f t="shared" si="1"/>
        <v>#REF!</v>
      </c>
    </row>
    <row r="39" spans="1:9" s="36" customFormat="1" ht="12" customHeight="1" thickBot="1" x14ac:dyDescent="0.25">
      <c r="A39" s="6" t="s">
        <v>185</v>
      </c>
      <c r="B39" s="67" t="s">
        <v>95</v>
      </c>
      <c r="C39" s="78">
        <f t="shared" si="2"/>
        <v>172385653</v>
      </c>
      <c r="D39" s="86">
        <f>-4000000-2700000</f>
        <v>-6700000</v>
      </c>
      <c r="E39" s="69"/>
      <c r="F39" s="65">
        <v>179085653</v>
      </c>
      <c r="H39" s="63" t="e">
        <f>'1.2.sz.mell. '!C39+#REF!+#REF!</f>
        <v>#REF!</v>
      </c>
      <c r="I39" s="70" t="e">
        <f t="shared" si="1"/>
        <v>#REF!</v>
      </c>
    </row>
    <row r="40" spans="1:9" s="36" customFormat="1" ht="12" customHeight="1" thickBot="1" x14ac:dyDescent="0.25">
      <c r="A40" s="6" t="s">
        <v>186</v>
      </c>
      <c r="B40" s="67" t="s">
        <v>187</v>
      </c>
      <c r="C40" s="78">
        <f t="shared" si="2"/>
        <v>37704455</v>
      </c>
      <c r="D40" s="86">
        <f>3283000+5162000+81000+13500+378000+81000+14094+17008+2636692-6509906+17008+18855+108000+195228-4243000</f>
        <v>1252479</v>
      </c>
      <c r="E40" s="69">
        <f>135000+324000+103000+1229000</f>
        <v>1791000</v>
      </c>
      <c r="F40" s="65">
        <f>34020789+640187</f>
        <v>34660976</v>
      </c>
      <c r="H40" s="63" t="e">
        <f>'1.2.sz.mell. '!C40+#REF!+#REF!</f>
        <v>#REF!</v>
      </c>
      <c r="I40" s="70" t="e">
        <f t="shared" si="1"/>
        <v>#REF!</v>
      </c>
    </row>
    <row r="41" spans="1:9" s="36" customFormat="1" ht="12" customHeight="1" thickBot="1" x14ac:dyDescent="0.25">
      <c r="A41" s="6" t="s">
        <v>188</v>
      </c>
      <c r="B41" s="67" t="s">
        <v>189</v>
      </c>
      <c r="C41" s="78">
        <f t="shared" si="2"/>
        <v>18210000</v>
      </c>
      <c r="D41" s="86"/>
      <c r="E41" s="69"/>
      <c r="F41" s="65">
        <v>18210000</v>
      </c>
      <c r="H41" s="63" t="e">
        <f>'1.2.sz.mell. '!C41+#REF!+#REF!</f>
        <v>#REF!</v>
      </c>
      <c r="I41" s="70" t="e">
        <f t="shared" si="1"/>
        <v>#REF!</v>
      </c>
    </row>
    <row r="42" spans="1:9" s="36" customFormat="1" ht="12" customHeight="1" thickBot="1" x14ac:dyDescent="0.25">
      <c r="A42" s="6" t="s">
        <v>190</v>
      </c>
      <c r="B42" s="67" t="s">
        <v>191</v>
      </c>
      <c r="C42" s="78">
        <f t="shared" si="2"/>
        <v>31000</v>
      </c>
      <c r="D42" s="86">
        <v>30000</v>
      </c>
      <c r="E42" s="69"/>
      <c r="F42" s="65">
        <v>1000</v>
      </c>
      <c r="H42" s="63" t="e">
        <f>'1.2.sz.mell. '!C42+#REF!+#REF!</f>
        <v>#REF!</v>
      </c>
      <c r="I42" s="70" t="e">
        <f t="shared" si="1"/>
        <v>#REF!</v>
      </c>
    </row>
    <row r="43" spans="1:9" s="36" customFormat="1" ht="12" customHeight="1" thickBot="1" x14ac:dyDescent="0.25">
      <c r="A43" s="6" t="s">
        <v>192</v>
      </c>
      <c r="B43" s="67" t="s">
        <v>97</v>
      </c>
      <c r="C43" s="78">
        <f t="shared" si="2"/>
        <v>0</v>
      </c>
      <c r="D43" s="86"/>
      <c r="E43" s="69"/>
      <c r="F43" s="65"/>
      <c r="H43" s="63" t="e">
        <f>'1.2.sz.mell. '!C43+#REF!+#REF!</f>
        <v>#REF!</v>
      </c>
      <c r="I43" s="70" t="e">
        <f t="shared" si="1"/>
        <v>#REF!</v>
      </c>
    </row>
    <row r="44" spans="1:9" s="36" customFormat="1" ht="12" customHeight="1" thickBot="1" x14ac:dyDescent="0.25">
      <c r="A44" s="8" t="s">
        <v>193</v>
      </c>
      <c r="B44" s="87" t="s">
        <v>126</v>
      </c>
      <c r="C44" s="78">
        <f t="shared" si="2"/>
        <v>200000</v>
      </c>
      <c r="D44" s="81">
        <f>500000-300000</f>
        <v>200000</v>
      </c>
      <c r="E44" s="82"/>
      <c r="F44" s="65"/>
      <c r="H44" s="63" t="e">
        <f>'1.2.sz.mell. '!C44+#REF!+#REF!</f>
        <v>#REF!</v>
      </c>
      <c r="I44" s="70" t="e">
        <f t="shared" si="1"/>
        <v>#REF!</v>
      </c>
    </row>
    <row r="45" spans="1:9" s="36" customFormat="1" ht="12" customHeight="1" thickBot="1" x14ac:dyDescent="0.25">
      <c r="A45" s="8" t="s">
        <v>194</v>
      </c>
      <c r="B45" s="23" t="s">
        <v>98</v>
      </c>
      <c r="C45" s="72">
        <f t="shared" si="2"/>
        <v>10423460</v>
      </c>
      <c r="D45" s="81">
        <f>60000+600000+501164+3172393+4675796+1133235+180000+872</f>
        <v>10323460</v>
      </c>
      <c r="E45" s="82">
        <v>100000</v>
      </c>
      <c r="F45" s="65"/>
      <c r="H45" s="63" t="e">
        <f>'1.2.sz.mell. '!C45+#REF!+#REF!</f>
        <v>#REF!</v>
      </c>
      <c r="I45" s="74" t="e">
        <f t="shared" si="1"/>
        <v>#REF!</v>
      </c>
    </row>
    <row r="46" spans="1:9" s="36" customFormat="1" ht="12" customHeight="1" thickBot="1" x14ac:dyDescent="0.25">
      <c r="A46" s="9" t="s">
        <v>11</v>
      </c>
      <c r="B46" s="61" t="s">
        <v>195</v>
      </c>
      <c r="C46" s="62">
        <f t="shared" si="2"/>
        <v>30332500</v>
      </c>
      <c r="D46" s="43">
        <f>SUM(D47:D51)</f>
        <v>30332500</v>
      </c>
      <c r="E46" s="62">
        <f>SUM(E47:E51)</f>
        <v>0</v>
      </c>
      <c r="F46" s="62">
        <f>SUM(F47:F51)</f>
        <v>0</v>
      </c>
      <c r="H46" s="63" t="e">
        <f>'1.2.sz.mell. '!C46+#REF!+#REF!</f>
        <v>#REF!</v>
      </c>
      <c r="I46" s="63" t="e">
        <f t="shared" si="1"/>
        <v>#REF!</v>
      </c>
    </row>
    <row r="47" spans="1:9" s="36" customFormat="1" ht="12" customHeight="1" thickBot="1" x14ac:dyDescent="0.25">
      <c r="A47" s="7" t="s">
        <v>196</v>
      </c>
      <c r="B47" s="64" t="s">
        <v>99</v>
      </c>
      <c r="C47" s="93">
        <f t="shared" si="2"/>
        <v>0</v>
      </c>
      <c r="D47" s="83"/>
      <c r="E47" s="65"/>
      <c r="F47" s="65"/>
      <c r="H47" s="63" t="e">
        <f>'1.2.sz.mell. '!C47+#REF!+#REF!</f>
        <v>#REF!</v>
      </c>
      <c r="I47" s="66" t="e">
        <f t="shared" si="1"/>
        <v>#REF!</v>
      </c>
    </row>
    <row r="48" spans="1:9" s="36" customFormat="1" ht="12" customHeight="1" thickBot="1" x14ac:dyDescent="0.25">
      <c r="A48" s="6" t="s">
        <v>197</v>
      </c>
      <c r="B48" s="67" t="s">
        <v>100</v>
      </c>
      <c r="C48" s="78">
        <f t="shared" si="2"/>
        <v>30332500</v>
      </c>
      <c r="D48" s="86">
        <v>30332500</v>
      </c>
      <c r="E48" s="69"/>
      <c r="F48" s="69"/>
      <c r="H48" s="63" t="e">
        <f>'1.2.sz.mell. '!C48+#REF!+#REF!</f>
        <v>#REF!</v>
      </c>
      <c r="I48" s="70" t="e">
        <f t="shared" si="1"/>
        <v>#REF!</v>
      </c>
    </row>
    <row r="49" spans="1:9" s="36" customFormat="1" ht="12" customHeight="1" thickBot="1" x14ac:dyDescent="0.25">
      <c r="A49" s="6" t="s">
        <v>198</v>
      </c>
      <c r="B49" s="67" t="s">
        <v>101</v>
      </c>
      <c r="C49" s="78">
        <f t="shared" si="2"/>
        <v>0</v>
      </c>
      <c r="D49" s="86"/>
      <c r="E49" s="69"/>
      <c r="F49" s="69"/>
      <c r="H49" s="63" t="e">
        <f>'1.2.sz.mell. '!C49+#REF!+#REF!</f>
        <v>#REF!</v>
      </c>
      <c r="I49" s="70" t="e">
        <f t="shared" si="1"/>
        <v>#REF!</v>
      </c>
    </row>
    <row r="50" spans="1:9" s="36" customFormat="1" ht="12" customHeight="1" thickBot="1" x14ac:dyDescent="0.25">
      <c r="A50" s="6" t="s">
        <v>199</v>
      </c>
      <c r="B50" s="67" t="s">
        <v>200</v>
      </c>
      <c r="C50" s="78">
        <f t="shared" si="2"/>
        <v>0</v>
      </c>
      <c r="D50" s="86"/>
      <c r="E50" s="69"/>
      <c r="F50" s="69"/>
      <c r="H50" s="63" t="e">
        <f>'1.2.sz.mell. '!C50+#REF!+#REF!</f>
        <v>#REF!</v>
      </c>
      <c r="I50" s="70" t="e">
        <f t="shared" si="1"/>
        <v>#REF!</v>
      </c>
    </row>
    <row r="51" spans="1:9" s="36" customFormat="1" ht="12" customHeight="1" thickBot="1" x14ac:dyDescent="0.25">
      <c r="A51" s="8" t="s">
        <v>201</v>
      </c>
      <c r="B51" s="23" t="s">
        <v>202</v>
      </c>
      <c r="C51" s="94">
        <f t="shared" si="2"/>
        <v>0</v>
      </c>
      <c r="D51" s="81"/>
      <c r="E51" s="82"/>
      <c r="F51" s="82"/>
      <c r="H51" s="63" t="e">
        <f>'1.2.sz.mell. '!C51+#REF!+#REF!</f>
        <v>#REF!</v>
      </c>
      <c r="I51" s="74" t="e">
        <f t="shared" si="1"/>
        <v>#REF!</v>
      </c>
    </row>
    <row r="52" spans="1:9" s="36" customFormat="1" ht="12" customHeight="1" thickBot="1" x14ac:dyDescent="0.25">
      <c r="A52" s="9" t="s">
        <v>68</v>
      </c>
      <c r="B52" s="52" t="s">
        <v>203</v>
      </c>
      <c r="C52" s="95">
        <f t="shared" si="2"/>
        <v>4224000</v>
      </c>
      <c r="D52" s="43">
        <f>SUM(D53:D55)</f>
        <v>4224000</v>
      </c>
      <c r="E52" s="62">
        <f>SUM(E53:E55)</f>
        <v>0</v>
      </c>
      <c r="F52" s="62">
        <f>SUM(F53:F55)</f>
        <v>0</v>
      </c>
      <c r="H52" s="63" t="e">
        <f>'1.2.sz.mell. '!C52+#REF!+#REF!</f>
        <v>#REF!</v>
      </c>
      <c r="I52" s="63" t="e">
        <f t="shared" si="1"/>
        <v>#REF!</v>
      </c>
    </row>
    <row r="53" spans="1:9" s="36" customFormat="1" ht="12" customHeight="1" thickBot="1" x14ac:dyDescent="0.25">
      <c r="A53" s="7" t="s">
        <v>204</v>
      </c>
      <c r="B53" s="64" t="s">
        <v>205</v>
      </c>
      <c r="C53" s="96">
        <f t="shared" si="2"/>
        <v>0</v>
      </c>
      <c r="D53" s="44"/>
      <c r="E53" s="77"/>
      <c r="F53" s="77"/>
      <c r="H53" s="63" t="e">
        <f>'1.2.sz.mell. '!C53+#REF!+#REF!</f>
        <v>#REF!</v>
      </c>
      <c r="I53" s="66" t="e">
        <f t="shared" si="1"/>
        <v>#REF!</v>
      </c>
    </row>
    <row r="54" spans="1:9" s="36" customFormat="1" ht="12" customHeight="1" thickBot="1" x14ac:dyDescent="0.25">
      <c r="A54" s="6" t="s">
        <v>206</v>
      </c>
      <c r="B54" s="67" t="s">
        <v>207</v>
      </c>
      <c r="C54" s="78">
        <f t="shared" si="2"/>
        <v>1866000</v>
      </c>
      <c r="D54" s="86">
        <f>1566000+300000</f>
        <v>1866000</v>
      </c>
      <c r="E54" s="69"/>
      <c r="F54" s="69"/>
      <c r="H54" s="63" t="e">
        <f>'1.2.sz.mell. '!C54+#REF!+#REF!</f>
        <v>#REF!</v>
      </c>
      <c r="I54" s="70" t="e">
        <f t="shared" si="1"/>
        <v>#REF!</v>
      </c>
    </row>
    <row r="55" spans="1:9" s="36" customFormat="1" ht="12" customHeight="1" thickBot="1" x14ac:dyDescent="0.25">
      <c r="A55" s="6" t="s">
        <v>208</v>
      </c>
      <c r="B55" s="67" t="s">
        <v>209</v>
      </c>
      <c r="C55" s="78">
        <f t="shared" si="2"/>
        <v>2358000</v>
      </c>
      <c r="D55" s="92">
        <f>2900000+20000+30000+408000-1000000</f>
        <v>2358000</v>
      </c>
      <c r="E55" s="69"/>
      <c r="F55" s="69"/>
      <c r="H55" s="63" t="e">
        <f>'1.2.sz.mell. '!C55+#REF!+#REF!</f>
        <v>#REF!</v>
      </c>
      <c r="I55" s="70" t="e">
        <f t="shared" si="1"/>
        <v>#REF!</v>
      </c>
    </row>
    <row r="56" spans="1:9" s="36" customFormat="1" ht="12" customHeight="1" thickBot="1" x14ac:dyDescent="0.25">
      <c r="A56" s="8" t="s">
        <v>210</v>
      </c>
      <c r="B56" s="23" t="s">
        <v>211</v>
      </c>
      <c r="C56" s="72">
        <f t="shared" si="2"/>
        <v>0</v>
      </c>
      <c r="D56" s="97"/>
      <c r="E56" s="98"/>
      <c r="F56" s="98"/>
      <c r="H56" s="63" t="e">
        <f>'1.2.sz.mell. '!C56+#REF!+#REF!</f>
        <v>#REF!</v>
      </c>
      <c r="I56" s="74" t="e">
        <f t="shared" si="1"/>
        <v>#REF!</v>
      </c>
    </row>
    <row r="57" spans="1:9" s="36" customFormat="1" ht="12" customHeight="1" thickBot="1" x14ac:dyDescent="0.25">
      <c r="A57" s="9" t="s">
        <v>13</v>
      </c>
      <c r="B57" s="75" t="s">
        <v>212</v>
      </c>
      <c r="C57" s="62">
        <f t="shared" si="2"/>
        <v>0</v>
      </c>
      <c r="D57" s="43">
        <f>SUM(D58:D60)</f>
        <v>0</v>
      </c>
      <c r="E57" s="62">
        <f>SUM(E58:E60)</f>
        <v>0</v>
      </c>
      <c r="F57" s="62">
        <f>SUM(F58:F60)</f>
        <v>0</v>
      </c>
      <c r="H57" s="63" t="e">
        <f>'1.2.sz.mell. '!C57+#REF!+#REF!</f>
        <v>#REF!</v>
      </c>
      <c r="I57" s="63" t="e">
        <f t="shared" si="1"/>
        <v>#REF!</v>
      </c>
    </row>
    <row r="58" spans="1:9" s="36" customFormat="1" ht="12" customHeight="1" thickBot="1" x14ac:dyDescent="0.25">
      <c r="A58" s="7" t="s">
        <v>213</v>
      </c>
      <c r="B58" s="64" t="s">
        <v>214</v>
      </c>
      <c r="C58" s="93">
        <f t="shared" si="2"/>
        <v>0</v>
      </c>
      <c r="D58" s="86"/>
      <c r="E58" s="69"/>
      <c r="F58" s="69"/>
      <c r="H58" s="63" t="e">
        <f>'1.2.sz.mell. '!C58+#REF!+#REF!</f>
        <v>#REF!</v>
      </c>
      <c r="I58" s="66" t="e">
        <f t="shared" si="1"/>
        <v>#REF!</v>
      </c>
    </row>
    <row r="59" spans="1:9" s="36" customFormat="1" ht="12" customHeight="1" thickBot="1" x14ac:dyDescent="0.25">
      <c r="A59" s="6" t="s">
        <v>215</v>
      </c>
      <c r="B59" s="67" t="s">
        <v>216</v>
      </c>
      <c r="C59" s="85">
        <f t="shared" si="2"/>
        <v>0</v>
      </c>
      <c r="D59" s="86"/>
      <c r="E59" s="69"/>
      <c r="F59" s="69"/>
      <c r="H59" s="63" t="e">
        <f>'1.2.sz.mell. '!C59+#REF!+#REF!</f>
        <v>#REF!</v>
      </c>
      <c r="I59" s="70" t="e">
        <f t="shared" si="1"/>
        <v>#REF!</v>
      </c>
    </row>
    <row r="60" spans="1:9" s="36" customFormat="1" ht="12" customHeight="1" thickBot="1" x14ac:dyDescent="0.25">
      <c r="A60" s="6" t="s">
        <v>217</v>
      </c>
      <c r="B60" s="67" t="s">
        <v>218</v>
      </c>
      <c r="C60" s="85">
        <f t="shared" si="2"/>
        <v>0</v>
      </c>
      <c r="D60" s="86"/>
      <c r="E60" s="69"/>
      <c r="F60" s="69"/>
      <c r="H60" s="63" t="e">
        <f>'1.2.sz.mell. '!C60+#REF!+#REF!</f>
        <v>#REF!</v>
      </c>
      <c r="I60" s="70" t="e">
        <f t="shared" si="1"/>
        <v>#REF!</v>
      </c>
    </row>
    <row r="61" spans="1:9" s="36" customFormat="1" ht="12" customHeight="1" thickBot="1" x14ac:dyDescent="0.25">
      <c r="A61" s="8" t="s">
        <v>219</v>
      </c>
      <c r="B61" s="23" t="s">
        <v>220</v>
      </c>
      <c r="C61" s="94">
        <f t="shared" si="2"/>
        <v>0</v>
      </c>
      <c r="D61" s="86"/>
      <c r="E61" s="69"/>
      <c r="F61" s="69"/>
      <c r="H61" s="63" t="e">
        <f>'1.2.sz.mell. '!C61+#REF!+#REF!</f>
        <v>#REF!</v>
      </c>
      <c r="I61" s="74" t="e">
        <f t="shared" si="1"/>
        <v>#REF!</v>
      </c>
    </row>
    <row r="62" spans="1:9" s="36" customFormat="1" ht="12" customHeight="1" thickBot="1" x14ac:dyDescent="0.25">
      <c r="A62" s="99" t="s">
        <v>221</v>
      </c>
      <c r="B62" s="61" t="s">
        <v>102</v>
      </c>
      <c r="C62" s="62">
        <f t="shared" si="2"/>
        <v>2374646264</v>
      </c>
      <c r="D62" s="88">
        <f>+D5+D12+D19+D26+D34+D46+D52+D57</f>
        <v>1957965424</v>
      </c>
      <c r="E62" s="89">
        <f>+E5+E12+E19+E26+E34+E46+E52+E57</f>
        <v>11536297</v>
      </c>
      <c r="F62" s="89">
        <f>+F5+F12+F19+F26+F34+F46+F52+F57</f>
        <v>405144543</v>
      </c>
      <c r="H62" s="63" t="e">
        <f>'1.2.sz.mell. '!C62+#REF!+#REF!</f>
        <v>#REF!</v>
      </c>
      <c r="I62" s="63" t="e">
        <f t="shared" si="1"/>
        <v>#REF!</v>
      </c>
    </row>
    <row r="63" spans="1:9" s="36" customFormat="1" ht="12" customHeight="1" thickBot="1" x14ac:dyDescent="0.25">
      <c r="A63" s="100" t="s">
        <v>222</v>
      </c>
      <c r="B63" s="75" t="s">
        <v>223</v>
      </c>
      <c r="C63" s="62">
        <f t="shared" si="2"/>
        <v>212343590</v>
      </c>
      <c r="D63" s="43">
        <f>SUM(D64:D66)</f>
        <v>212343590</v>
      </c>
      <c r="E63" s="62">
        <f>SUM(E64:E66)</f>
        <v>0</v>
      </c>
      <c r="F63" s="62">
        <f>SUM(F64:F66)</f>
        <v>0</v>
      </c>
      <c r="H63" s="63" t="e">
        <f>'1.2.sz.mell. '!C63+#REF!+#REF!</f>
        <v>#REF!</v>
      </c>
      <c r="I63" s="63" t="e">
        <f t="shared" si="1"/>
        <v>#REF!</v>
      </c>
    </row>
    <row r="64" spans="1:9" s="36" customFormat="1" ht="12" customHeight="1" thickBot="1" x14ac:dyDescent="0.25">
      <c r="A64" s="7" t="s">
        <v>224</v>
      </c>
      <c r="B64" s="64" t="s">
        <v>225</v>
      </c>
      <c r="C64" s="76">
        <f t="shared" si="2"/>
        <v>112343590</v>
      </c>
      <c r="D64" s="92">
        <f>93478462+24684268-5819140</f>
        <v>112343590</v>
      </c>
      <c r="E64" s="69"/>
      <c r="F64" s="69"/>
      <c r="H64" s="63" t="e">
        <f>'1.2.sz.mell. '!C64+#REF!+#REF!</f>
        <v>#REF!</v>
      </c>
      <c r="I64" s="66" t="e">
        <f t="shared" si="1"/>
        <v>#REF!</v>
      </c>
    </row>
    <row r="65" spans="1:9" s="36" customFormat="1" ht="12" customHeight="1" thickBot="1" x14ac:dyDescent="0.25">
      <c r="A65" s="6" t="s">
        <v>226</v>
      </c>
      <c r="B65" s="67" t="s">
        <v>227</v>
      </c>
      <c r="C65" s="78">
        <f t="shared" si="2"/>
        <v>100000000</v>
      </c>
      <c r="D65" s="86">
        <v>100000000</v>
      </c>
      <c r="E65" s="69"/>
      <c r="F65" s="69"/>
      <c r="H65" s="63" t="e">
        <f>'1.2.sz.mell. '!C65+#REF!+#REF!</f>
        <v>#REF!</v>
      </c>
      <c r="I65" s="70" t="e">
        <f t="shared" si="1"/>
        <v>#REF!</v>
      </c>
    </row>
    <row r="66" spans="1:9" s="36" customFormat="1" ht="12" customHeight="1" thickBot="1" x14ac:dyDescent="0.25">
      <c r="A66" s="8" t="s">
        <v>228</v>
      </c>
      <c r="B66" s="101" t="s">
        <v>229</v>
      </c>
      <c r="C66" s="94">
        <f t="shared" si="2"/>
        <v>0</v>
      </c>
      <c r="D66" s="86"/>
      <c r="E66" s="69"/>
      <c r="F66" s="69"/>
      <c r="H66" s="63" t="e">
        <f>'1.2.sz.mell. '!C66+#REF!+#REF!</f>
        <v>#REF!</v>
      </c>
      <c r="I66" s="74" t="e">
        <f t="shared" si="1"/>
        <v>#REF!</v>
      </c>
    </row>
    <row r="67" spans="1:9" s="36" customFormat="1" ht="12" customHeight="1" thickBot="1" x14ac:dyDescent="0.25">
      <c r="A67" s="100" t="s">
        <v>230</v>
      </c>
      <c r="B67" s="75" t="s">
        <v>231</v>
      </c>
      <c r="C67" s="62">
        <f t="shared" si="2"/>
        <v>0</v>
      </c>
      <c r="D67" s="43">
        <f>SUM(D68:D71)</f>
        <v>0</v>
      </c>
      <c r="E67" s="62">
        <f>SUM(E68:E71)</f>
        <v>0</v>
      </c>
      <c r="F67" s="62">
        <f>SUM(F68:F71)</f>
        <v>0</v>
      </c>
      <c r="H67" s="63" t="e">
        <f>'1.2.sz.mell. '!C67+#REF!+#REF!</f>
        <v>#REF!</v>
      </c>
      <c r="I67" s="63" t="e">
        <f t="shared" si="1"/>
        <v>#REF!</v>
      </c>
    </row>
    <row r="68" spans="1:9" s="36" customFormat="1" ht="12" customHeight="1" thickBot="1" x14ac:dyDescent="0.25">
      <c r="A68" s="7" t="s">
        <v>232</v>
      </c>
      <c r="B68" s="64" t="s">
        <v>233</v>
      </c>
      <c r="C68" s="93">
        <f t="shared" si="2"/>
        <v>0</v>
      </c>
      <c r="D68" s="86"/>
      <c r="E68" s="69"/>
      <c r="F68" s="69"/>
      <c r="H68" s="63" t="e">
        <f>'1.2.sz.mell. '!C68+#REF!+#REF!</f>
        <v>#REF!</v>
      </c>
      <c r="I68" s="66" t="e">
        <f t="shared" si="1"/>
        <v>#REF!</v>
      </c>
    </row>
    <row r="69" spans="1:9" s="36" customFormat="1" ht="12" customHeight="1" thickBot="1" x14ac:dyDescent="0.25">
      <c r="A69" s="6" t="s">
        <v>234</v>
      </c>
      <c r="B69" s="67" t="s">
        <v>235</v>
      </c>
      <c r="C69" s="85">
        <f t="shared" si="2"/>
        <v>0</v>
      </c>
      <c r="D69" s="86"/>
      <c r="E69" s="69"/>
      <c r="F69" s="69"/>
      <c r="H69" s="63" t="e">
        <f>'1.2.sz.mell. '!C69+#REF!+#REF!</f>
        <v>#REF!</v>
      </c>
      <c r="I69" s="70" t="e">
        <f t="shared" ref="I69:I87" si="3">C69-H69</f>
        <v>#REF!</v>
      </c>
    </row>
    <row r="70" spans="1:9" s="36" customFormat="1" ht="12" customHeight="1" thickBot="1" x14ac:dyDescent="0.25">
      <c r="A70" s="6" t="s">
        <v>236</v>
      </c>
      <c r="B70" s="67" t="s">
        <v>237</v>
      </c>
      <c r="C70" s="85">
        <f t="shared" si="2"/>
        <v>0</v>
      </c>
      <c r="D70" s="86"/>
      <c r="E70" s="69"/>
      <c r="F70" s="69"/>
      <c r="H70" s="63" t="e">
        <f>'1.2.sz.mell. '!C70+#REF!+#REF!</f>
        <v>#REF!</v>
      </c>
      <c r="I70" s="70" t="e">
        <f t="shared" si="3"/>
        <v>#REF!</v>
      </c>
    </row>
    <row r="71" spans="1:9" s="36" customFormat="1" ht="12" customHeight="1" thickBot="1" x14ac:dyDescent="0.25">
      <c r="A71" s="8" t="s">
        <v>238</v>
      </c>
      <c r="B71" s="23" t="s">
        <v>239</v>
      </c>
      <c r="C71" s="94">
        <f t="shared" si="2"/>
        <v>0</v>
      </c>
      <c r="D71" s="86"/>
      <c r="E71" s="69"/>
      <c r="F71" s="69"/>
      <c r="H71" s="63" t="e">
        <f>'1.2.sz.mell. '!C71+#REF!+#REF!</f>
        <v>#REF!</v>
      </c>
      <c r="I71" s="74" t="e">
        <f t="shared" si="3"/>
        <v>#REF!</v>
      </c>
    </row>
    <row r="72" spans="1:9" s="36" customFormat="1" ht="12" customHeight="1" thickBot="1" x14ac:dyDescent="0.25">
      <c r="A72" s="100" t="s">
        <v>240</v>
      </c>
      <c r="B72" s="75" t="s">
        <v>241</v>
      </c>
      <c r="C72" s="62">
        <f t="shared" si="2"/>
        <v>620677200</v>
      </c>
      <c r="D72" s="43">
        <f>SUM(D73:D74)</f>
        <v>594503730</v>
      </c>
      <c r="E72" s="62">
        <f>SUM(E73:E74)</f>
        <v>3212174</v>
      </c>
      <c r="F72" s="62">
        <f>SUM(F73:F74)</f>
        <v>22961296</v>
      </c>
      <c r="H72" s="63" t="e">
        <f>'1.2.sz.mell. '!C72+#REF!+#REF!</f>
        <v>#REF!</v>
      </c>
      <c r="I72" s="63" t="e">
        <f t="shared" si="3"/>
        <v>#REF!</v>
      </c>
    </row>
    <row r="73" spans="1:9" s="36" customFormat="1" ht="12" customHeight="1" thickBot="1" x14ac:dyDescent="0.25">
      <c r="A73" s="7" t="s">
        <v>242</v>
      </c>
      <c r="B73" s="64" t="s">
        <v>243</v>
      </c>
      <c r="C73" s="76">
        <f t="shared" si="2"/>
        <v>620677200</v>
      </c>
      <c r="D73" s="86">
        <f>569119704-28+25384054</f>
        <v>594503730</v>
      </c>
      <c r="E73" s="69">
        <f>3148853+63321</f>
        <v>3212174</v>
      </c>
      <c r="F73" s="69">
        <f>22961296</f>
        <v>22961296</v>
      </c>
      <c r="H73" s="63" t="e">
        <f>'1.2.sz.mell. '!C73+#REF!+#REF!</f>
        <v>#REF!</v>
      </c>
      <c r="I73" s="66" t="e">
        <f t="shared" si="3"/>
        <v>#REF!</v>
      </c>
    </row>
    <row r="74" spans="1:9" s="36" customFormat="1" ht="12" customHeight="1" thickBot="1" x14ac:dyDescent="0.25">
      <c r="A74" s="8" t="s">
        <v>244</v>
      </c>
      <c r="B74" s="23" t="s">
        <v>245</v>
      </c>
      <c r="C74" s="94">
        <f t="shared" si="2"/>
        <v>0</v>
      </c>
      <c r="D74" s="86"/>
      <c r="E74" s="69"/>
      <c r="F74" s="69"/>
      <c r="H74" s="63" t="e">
        <f>'1.2.sz.mell. '!C74+#REF!+#REF!</f>
        <v>#REF!</v>
      </c>
      <c r="I74" s="74" t="e">
        <f t="shared" si="3"/>
        <v>#REF!</v>
      </c>
    </row>
    <row r="75" spans="1:9" s="36" customFormat="1" ht="12" customHeight="1" thickBot="1" x14ac:dyDescent="0.25">
      <c r="A75" s="100" t="s">
        <v>246</v>
      </c>
      <c r="B75" s="75" t="s">
        <v>247</v>
      </c>
      <c r="C75" s="62">
        <f t="shared" si="2"/>
        <v>41904332</v>
      </c>
      <c r="D75" s="43">
        <f>SUM(D76:D78)</f>
        <v>41904332</v>
      </c>
      <c r="E75" s="62">
        <f>SUM(E76:E78)</f>
        <v>0</v>
      </c>
      <c r="F75" s="62">
        <f>SUM(F76:F78)</f>
        <v>0</v>
      </c>
      <c r="H75" s="63" t="e">
        <f>'1.2.sz.mell. '!C75+#REF!+#REF!</f>
        <v>#REF!</v>
      </c>
      <c r="I75" s="63" t="e">
        <f t="shared" si="3"/>
        <v>#REF!</v>
      </c>
    </row>
    <row r="76" spans="1:9" s="36" customFormat="1" ht="12" customHeight="1" thickBot="1" x14ac:dyDescent="0.25">
      <c r="A76" s="7" t="s">
        <v>248</v>
      </c>
      <c r="B76" s="64" t="s">
        <v>249</v>
      </c>
      <c r="C76" s="76">
        <f t="shared" si="2"/>
        <v>41904332</v>
      </c>
      <c r="D76" s="86">
        <f>41904332</f>
        <v>41904332</v>
      </c>
      <c r="E76" s="69"/>
      <c r="F76" s="69"/>
      <c r="H76" s="63" t="e">
        <f>'1.2.sz.mell. '!C76+#REF!+#REF!</f>
        <v>#REF!</v>
      </c>
      <c r="I76" s="66" t="e">
        <f t="shared" si="3"/>
        <v>#REF!</v>
      </c>
    </row>
    <row r="77" spans="1:9" s="36" customFormat="1" ht="12" customHeight="1" thickBot="1" x14ac:dyDescent="0.25">
      <c r="A77" s="6" t="s">
        <v>250</v>
      </c>
      <c r="B77" s="67" t="s">
        <v>251</v>
      </c>
      <c r="C77" s="85">
        <f t="shared" si="2"/>
        <v>0</v>
      </c>
      <c r="D77" s="86"/>
      <c r="E77" s="69"/>
      <c r="F77" s="69"/>
      <c r="H77" s="63" t="e">
        <f>'1.2.sz.mell. '!C77+#REF!+#REF!</f>
        <v>#REF!</v>
      </c>
      <c r="I77" s="70" t="e">
        <f t="shared" si="3"/>
        <v>#REF!</v>
      </c>
    </row>
    <row r="78" spans="1:9" s="36" customFormat="1" ht="12" customHeight="1" thickBot="1" x14ac:dyDescent="0.25">
      <c r="A78" s="8" t="s">
        <v>252</v>
      </c>
      <c r="B78" s="23" t="s">
        <v>253</v>
      </c>
      <c r="C78" s="94">
        <f t="shared" si="2"/>
        <v>0</v>
      </c>
      <c r="D78" s="86"/>
      <c r="E78" s="69"/>
      <c r="F78" s="69"/>
      <c r="H78" s="63" t="e">
        <f>'1.2.sz.mell. '!C78+#REF!+#REF!</f>
        <v>#REF!</v>
      </c>
      <c r="I78" s="74" t="e">
        <f t="shared" si="3"/>
        <v>#REF!</v>
      </c>
    </row>
    <row r="79" spans="1:9" s="36" customFormat="1" ht="12" customHeight="1" thickBot="1" x14ac:dyDescent="0.25">
      <c r="A79" s="100" t="s">
        <v>254</v>
      </c>
      <c r="B79" s="75" t="s">
        <v>255</v>
      </c>
      <c r="C79" s="62">
        <f t="shared" si="2"/>
        <v>0</v>
      </c>
      <c r="D79" s="43">
        <f>SUM(D80:D83)</f>
        <v>0</v>
      </c>
      <c r="E79" s="62">
        <f>SUM(E80:E83)</f>
        <v>0</v>
      </c>
      <c r="F79" s="62">
        <f>SUM(F80:F83)</f>
        <v>0</v>
      </c>
      <c r="H79" s="63" t="e">
        <f>'1.2.sz.mell. '!C79+#REF!+#REF!</f>
        <v>#REF!</v>
      </c>
      <c r="I79" s="63" t="e">
        <f t="shared" si="3"/>
        <v>#REF!</v>
      </c>
    </row>
    <row r="80" spans="1:9" s="36" customFormat="1" ht="12" customHeight="1" thickBot="1" x14ac:dyDescent="0.25">
      <c r="A80" s="102" t="s">
        <v>256</v>
      </c>
      <c r="B80" s="64" t="s">
        <v>257</v>
      </c>
      <c r="C80" s="93">
        <f t="shared" si="2"/>
        <v>0</v>
      </c>
      <c r="D80" s="86"/>
      <c r="E80" s="69"/>
      <c r="F80" s="69"/>
      <c r="H80" s="63" t="e">
        <f>'1.2.sz.mell. '!C80+#REF!+#REF!</f>
        <v>#REF!</v>
      </c>
      <c r="I80" s="66" t="e">
        <f t="shared" si="3"/>
        <v>#REF!</v>
      </c>
    </row>
    <row r="81" spans="1:9" s="36" customFormat="1" ht="12" customHeight="1" thickBot="1" x14ac:dyDescent="0.25">
      <c r="A81" s="103" t="s">
        <v>258</v>
      </c>
      <c r="B81" s="67" t="s">
        <v>259</v>
      </c>
      <c r="C81" s="85">
        <f t="shared" si="2"/>
        <v>0</v>
      </c>
      <c r="D81" s="86"/>
      <c r="E81" s="69"/>
      <c r="F81" s="69"/>
      <c r="H81" s="63" t="e">
        <f>'1.2.sz.mell. '!C81+#REF!+#REF!</f>
        <v>#REF!</v>
      </c>
      <c r="I81" s="70" t="e">
        <f t="shared" si="3"/>
        <v>#REF!</v>
      </c>
    </row>
    <row r="82" spans="1:9" s="36" customFormat="1" ht="12" customHeight="1" thickBot="1" x14ac:dyDescent="0.25">
      <c r="A82" s="103" t="s">
        <v>260</v>
      </c>
      <c r="B82" s="67" t="s">
        <v>261</v>
      </c>
      <c r="C82" s="85">
        <f t="shared" si="2"/>
        <v>0</v>
      </c>
      <c r="D82" s="86"/>
      <c r="E82" s="69"/>
      <c r="F82" s="69"/>
      <c r="H82" s="63" t="e">
        <f>'1.2.sz.mell. '!C82+#REF!+#REF!</f>
        <v>#REF!</v>
      </c>
      <c r="I82" s="70" t="e">
        <f t="shared" si="3"/>
        <v>#REF!</v>
      </c>
    </row>
    <row r="83" spans="1:9" s="36" customFormat="1" ht="12" customHeight="1" thickBot="1" x14ac:dyDescent="0.25">
      <c r="A83" s="104" t="s">
        <v>262</v>
      </c>
      <c r="B83" s="23" t="s">
        <v>263</v>
      </c>
      <c r="C83" s="94">
        <f t="shared" si="2"/>
        <v>0</v>
      </c>
      <c r="D83" s="86"/>
      <c r="E83" s="69"/>
      <c r="F83" s="69"/>
      <c r="H83" s="63" t="e">
        <f>'1.2.sz.mell. '!C83+#REF!+#REF!</f>
        <v>#REF!</v>
      </c>
      <c r="I83" s="74" t="e">
        <f t="shared" si="3"/>
        <v>#REF!</v>
      </c>
    </row>
    <row r="84" spans="1:9" s="36" customFormat="1" ht="12" customHeight="1" thickBot="1" x14ac:dyDescent="0.25">
      <c r="A84" s="100" t="s">
        <v>264</v>
      </c>
      <c r="B84" s="75" t="s">
        <v>265</v>
      </c>
      <c r="C84" s="62">
        <f t="shared" si="2"/>
        <v>0</v>
      </c>
      <c r="D84" s="105"/>
      <c r="E84" s="40"/>
      <c r="F84" s="40"/>
      <c r="H84" s="63" t="e">
        <f>'1.2.sz.mell. '!C84+#REF!+#REF!</f>
        <v>#REF!</v>
      </c>
      <c r="I84" s="63" t="e">
        <f t="shared" si="3"/>
        <v>#REF!</v>
      </c>
    </row>
    <row r="85" spans="1:9" s="36" customFormat="1" ht="13.5" customHeight="1" thickBot="1" x14ac:dyDescent="0.25">
      <c r="A85" s="100" t="s">
        <v>266</v>
      </c>
      <c r="B85" s="75" t="s">
        <v>267</v>
      </c>
      <c r="C85" s="62">
        <f t="shared" si="2"/>
        <v>0</v>
      </c>
      <c r="D85" s="105"/>
      <c r="E85" s="40"/>
      <c r="F85" s="40"/>
      <c r="H85" s="63" t="e">
        <f>'1.2.sz.mell. '!C85+#REF!+#REF!</f>
        <v>#REF!</v>
      </c>
      <c r="I85" s="63" t="e">
        <f t="shared" si="3"/>
        <v>#REF!</v>
      </c>
    </row>
    <row r="86" spans="1:9" s="36" customFormat="1" ht="15.75" customHeight="1" thickBot="1" x14ac:dyDescent="0.25">
      <c r="A86" s="100" t="s">
        <v>268</v>
      </c>
      <c r="B86" s="106" t="s">
        <v>269</v>
      </c>
      <c r="C86" s="62">
        <f t="shared" si="2"/>
        <v>874925122</v>
      </c>
      <c r="D86" s="88">
        <f>+D63+D67+D72+D75+D79+D85+D84</f>
        <v>848751652</v>
      </c>
      <c r="E86" s="89">
        <f>+E63+E67+E72+E75+E79+E85+E84</f>
        <v>3212174</v>
      </c>
      <c r="F86" s="89">
        <f>+F63+F67+F72+F75+F79+F85+F84</f>
        <v>22961296</v>
      </c>
      <c r="H86" s="63" t="e">
        <f>'1.2.sz.mell. '!C86+#REF!+#REF!</f>
        <v>#REF!</v>
      </c>
      <c r="I86" s="63" t="e">
        <f t="shared" si="3"/>
        <v>#REF!</v>
      </c>
    </row>
    <row r="87" spans="1:9" s="36" customFormat="1" ht="16.5" customHeight="1" thickBot="1" x14ac:dyDescent="0.25">
      <c r="A87" s="107" t="s">
        <v>270</v>
      </c>
      <c r="B87" s="108" t="s">
        <v>271</v>
      </c>
      <c r="C87" s="62">
        <f t="shared" si="2"/>
        <v>3249571386</v>
      </c>
      <c r="D87" s="88">
        <f>+D62+D86</f>
        <v>2806717076</v>
      </c>
      <c r="E87" s="89">
        <f>+E62+E86</f>
        <v>14748471</v>
      </c>
      <c r="F87" s="89">
        <f>+F62+F86</f>
        <v>428105839</v>
      </c>
      <c r="H87" s="63" t="e">
        <f>'1.2.sz.mell. '!C87+#REF!+#REF!</f>
        <v>#REF!</v>
      </c>
      <c r="I87" s="63" t="e">
        <f t="shared" si="3"/>
        <v>#REF!</v>
      </c>
    </row>
    <row r="88" spans="1:9" s="36" customFormat="1" ht="83.25" customHeight="1" thickBot="1" x14ac:dyDescent="0.25">
      <c r="A88" s="109"/>
      <c r="B88" s="110"/>
      <c r="C88" s="111"/>
      <c r="H88" s="63" t="e">
        <f>'1.2.sz.mell. '!C88+#REF!+#REF!</f>
        <v>#REF!</v>
      </c>
      <c r="I88" s="57"/>
    </row>
    <row r="89" spans="1:9" ht="16.5" customHeight="1" thickBot="1" x14ac:dyDescent="0.3">
      <c r="A89" s="473" t="s">
        <v>33</v>
      </c>
      <c r="B89" s="473"/>
      <c r="C89" s="473"/>
      <c r="D89" s="30"/>
      <c r="E89" s="30"/>
      <c r="F89" s="30"/>
      <c r="H89" s="63" t="e">
        <f>'1.2.sz.mell. '!C89+#REF!+#REF!</f>
        <v>#REF!</v>
      </c>
      <c r="I89" s="57"/>
    </row>
    <row r="90" spans="1:9" s="113" customFormat="1" ht="16.5" customHeight="1" thickBot="1" x14ac:dyDescent="0.3">
      <c r="A90" s="474" t="s">
        <v>65</v>
      </c>
      <c r="B90" s="474"/>
      <c r="C90" s="112" t="s">
        <v>149</v>
      </c>
      <c r="D90" s="393"/>
      <c r="E90" s="393"/>
      <c r="F90" s="393"/>
      <c r="H90" s="63" t="e">
        <f>'1.2.sz.mell. '!C90+#REF!+#REF!</f>
        <v>#VALUE!</v>
      </c>
      <c r="I90" s="57"/>
    </row>
    <row r="91" spans="1:9" ht="38.1" customHeight="1" thickBot="1" x14ac:dyDescent="0.3">
      <c r="A91" s="10" t="s">
        <v>44</v>
      </c>
      <c r="B91" s="11" t="s">
        <v>34</v>
      </c>
      <c r="C91" s="59" t="str">
        <f>+C3</f>
        <v>2018. évi előirányzat</v>
      </c>
      <c r="D91" s="30"/>
      <c r="E91" s="30"/>
      <c r="F91" s="30"/>
      <c r="H91" s="63" t="e">
        <f>'1.2.sz.mell. '!C91+#REF!+#REF!</f>
        <v>#VALUE!</v>
      </c>
      <c r="I91" s="57"/>
    </row>
    <row r="92" spans="1:9" s="35" customFormat="1" ht="12" customHeight="1" thickBot="1" x14ac:dyDescent="0.25">
      <c r="A92" s="13" t="s">
        <v>122</v>
      </c>
      <c r="B92" s="114" t="s">
        <v>123</v>
      </c>
      <c r="C92" s="60" t="s">
        <v>124</v>
      </c>
      <c r="H92" s="63" t="e">
        <f>'1.2.sz.mell. '!C92+#REF!+#REF!</f>
        <v>#VALUE!</v>
      </c>
      <c r="I92" s="57"/>
    </row>
    <row r="93" spans="1:9" ht="12" customHeight="1" thickBot="1" x14ac:dyDescent="0.3">
      <c r="A93" s="115" t="s">
        <v>6</v>
      </c>
      <c r="B93" s="116" t="s">
        <v>272</v>
      </c>
      <c r="C93" s="117">
        <f t="shared" ref="C93:C154" si="4">SUM(D93:F93)</f>
        <v>2385474981</v>
      </c>
      <c r="D93" s="118">
        <f>+D94+D95+D96+D97+D98+D111</f>
        <v>638036017</v>
      </c>
      <c r="E93" s="119">
        <f>+E94+E95+E96+E97+E98+E111</f>
        <v>239430458</v>
      </c>
      <c r="F93" s="95">
        <f>F94+F95+F96+F97+F98+F111</f>
        <v>1508008506</v>
      </c>
      <c r="H93" s="63" t="e">
        <f>'1.2.sz.mell. '!C93+#REF!+#REF!</f>
        <v>#REF!</v>
      </c>
      <c r="I93" s="63" t="e">
        <f t="shared" ref="I93:I154" si="5">C93-H93</f>
        <v>#REF!</v>
      </c>
    </row>
    <row r="94" spans="1:9" ht="12" customHeight="1" thickBot="1" x14ac:dyDescent="0.3">
      <c r="A94" s="120" t="s">
        <v>48</v>
      </c>
      <c r="B94" s="4" t="s">
        <v>35</v>
      </c>
      <c r="C94" s="121">
        <f t="shared" si="4"/>
        <v>973950639</v>
      </c>
      <c r="D94" s="122">
        <f>2854500+25097896+75000+16116992+1182990+2491000+1016699-198000+7688261+3484292+11614921+397090+2403576+1745212-8283453-25886210</f>
        <v>41800766</v>
      </c>
      <c r="E94" s="123">
        <f>2528076+481000+134654515+2215000+152400</f>
        <v>140030991</v>
      </c>
      <c r="F94" s="123">
        <f>784492352+662383+6760147+80000+374000-250000</f>
        <v>792118882</v>
      </c>
      <c r="H94" s="63" t="e">
        <f>'1.2.sz.mell. '!C94+#REF!+#REF!</f>
        <v>#REF!</v>
      </c>
      <c r="I94" s="66" t="e">
        <f t="shared" si="5"/>
        <v>#REF!</v>
      </c>
    </row>
    <row r="95" spans="1:9" ht="12" customHeight="1" thickBot="1" x14ac:dyDescent="0.3">
      <c r="A95" s="6" t="s">
        <v>49</v>
      </c>
      <c r="B95" s="2" t="s">
        <v>69</v>
      </c>
      <c r="C95" s="121">
        <f t="shared" si="4"/>
        <v>205493807</v>
      </c>
      <c r="D95" s="86">
        <f>500965+4771305+13275+17258+2940000+14000+207615+1015000+283238-34749+1628272+401351+1941032+153131+367716+660210-1878252-4965388</f>
        <v>8035979</v>
      </c>
      <c r="E95" s="69">
        <f>443678+114000+28757160+461687+62043</f>
        <v>29838568</v>
      </c>
      <c r="F95" s="69">
        <f>165847404+144152+1290734+14040+72930+250000</f>
        <v>167619260</v>
      </c>
      <c r="H95" s="63" t="e">
        <f>'1.2.sz.mell. '!C95+#REF!+#REF!</f>
        <v>#REF!</v>
      </c>
      <c r="I95" s="70" t="e">
        <f t="shared" si="5"/>
        <v>#REF!</v>
      </c>
    </row>
    <row r="96" spans="1:9" ht="12" customHeight="1" thickBot="1" x14ac:dyDescent="0.3">
      <c r="A96" s="6" t="s">
        <v>50</v>
      </c>
      <c r="B96" s="2" t="s">
        <v>62</v>
      </c>
      <c r="C96" s="125">
        <f t="shared" si="4"/>
        <v>810844114</v>
      </c>
      <c r="D96" s="81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+835800-119363+918292-97041056</f>
        <v>217262851</v>
      </c>
      <c r="E96" s="82">
        <f>4096000+324000+352000+40114003+137126+419550-152400+20620</f>
        <v>45310899</v>
      </c>
      <c r="F96" s="69">
        <f>545896186-624000+1605578+768600+624000</f>
        <v>548270364</v>
      </c>
      <c r="H96" s="63" t="e">
        <f>'1.2.sz.mell. '!C96+#REF!+#REF!</f>
        <v>#REF!</v>
      </c>
      <c r="I96" s="70" t="e">
        <f t="shared" si="5"/>
        <v>#REF!</v>
      </c>
    </row>
    <row r="97" spans="1:9" ht="12" customHeight="1" thickBot="1" x14ac:dyDescent="0.3">
      <c r="A97" s="6" t="s">
        <v>51</v>
      </c>
      <c r="B97" s="2" t="s">
        <v>70</v>
      </c>
      <c r="C97" s="125">
        <f t="shared" si="4"/>
        <v>139384000</v>
      </c>
      <c r="D97" s="81">
        <f>69500000+3500000+69312000-3298000-400000-80000-23400000</f>
        <v>115134000</v>
      </c>
      <c r="E97" s="82">
        <v>24250000</v>
      </c>
      <c r="F97" s="82"/>
      <c r="H97" s="63" t="e">
        <f>'1.2.sz.mell. '!C97+#REF!+#REF!</f>
        <v>#REF!</v>
      </c>
      <c r="I97" s="70" t="e">
        <f t="shared" si="5"/>
        <v>#REF!</v>
      </c>
    </row>
    <row r="98" spans="1:9" ht="12" customHeight="1" thickBot="1" x14ac:dyDescent="0.3">
      <c r="A98" s="6" t="s">
        <v>273</v>
      </c>
      <c r="B98" s="1" t="s">
        <v>71</v>
      </c>
      <c r="C98" s="125">
        <f>SUM(D98:F98)</f>
        <v>163812363</v>
      </c>
      <c r="D98" s="81">
        <f>45183973+52959801+660000+100000+49357310+3869819+86500+5861179+4951343+335000+367438+80000</f>
        <v>163812363</v>
      </c>
      <c r="E98" s="82"/>
      <c r="F98" s="82"/>
      <c r="H98" s="63" t="e">
        <f>'1.2.sz.mell. '!C98+#REF!+#REF!</f>
        <v>#REF!</v>
      </c>
      <c r="I98" s="70" t="e">
        <f t="shared" si="5"/>
        <v>#REF!</v>
      </c>
    </row>
    <row r="99" spans="1:9" ht="12" customHeight="1" thickBot="1" x14ac:dyDescent="0.3">
      <c r="A99" s="6" t="s">
        <v>52</v>
      </c>
      <c r="B99" s="2" t="s">
        <v>274</v>
      </c>
      <c r="C99" s="125">
        <f t="shared" si="4"/>
        <v>5258498</v>
      </c>
      <c r="D99" s="81">
        <f>100000+3869819+86500+1202179</f>
        <v>5258498</v>
      </c>
      <c r="E99" s="82"/>
      <c r="F99" s="82"/>
      <c r="H99" s="63" t="e">
        <f>'1.2.sz.mell. '!C99+#REF!+#REF!</f>
        <v>#REF!</v>
      </c>
      <c r="I99" s="70" t="e">
        <f t="shared" si="5"/>
        <v>#REF!</v>
      </c>
    </row>
    <row r="100" spans="1:9" ht="12" customHeight="1" thickBot="1" x14ac:dyDescent="0.3">
      <c r="A100" s="6" t="s">
        <v>53</v>
      </c>
      <c r="B100" s="126" t="s">
        <v>275</v>
      </c>
      <c r="C100" s="125">
        <f t="shared" si="4"/>
        <v>0</v>
      </c>
      <c r="D100" s="81"/>
      <c r="E100" s="82"/>
      <c r="F100" s="82"/>
      <c r="H100" s="63" t="e">
        <f>'1.2.sz.mell. '!C100+#REF!+#REF!</f>
        <v>#REF!</v>
      </c>
      <c r="I100" s="70" t="e">
        <f t="shared" si="5"/>
        <v>#REF!</v>
      </c>
    </row>
    <row r="101" spans="1:9" ht="12" customHeight="1" thickBot="1" x14ac:dyDescent="0.3">
      <c r="A101" s="6" t="s">
        <v>58</v>
      </c>
      <c r="B101" s="126" t="s">
        <v>276</v>
      </c>
      <c r="C101" s="125">
        <f t="shared" si="4"/>
        <v>159000</v>
      </c>
      <c r="D101" s="81">
        <v>159000</v>
      </c>
      <c r="E101" s="82"/>
      <c r="F101" s="82"/>
      <c r="H101" s="63" t="e">
        <f>'1.2.sz.mell. '!C101+#REF!+#REF!</f>
        <v>#REF!</v>
      </c>
      <c r="I101" s="70" t="e">
        <f t="shared" si="5"/>
        <v>#REF!</v>
      </c>
    </row>
    <row r="102" spans="1:9" ht="12" customHeight="1" thickBot="1" x14ac:dyDescent="0.3">
      <c r="A102" s="6" t="s">
        <v>59</v>
      </c>
      <c r="B102" s="127" t="s">
        <v>277</v>
      </c>
      <c r="C102" s="125">
        <f t="shared" si="4"/>
        <v>0</v>
      </c>
      <c r="D102" s="81"/>
      <c r="E102" s="82"/>
      <c r="F102" s="82"/>
      <c r="H102" s="63" t="e">
        <f>'1.2.sz.mell. '!C102+#REF!+#REF!</f>
        <v>#REF!</v>
      </c>
      <c r="I102" s="70" t="e">
        <f t="shared" si="5"/>
        <v>#REF!</v>
      </c>
    </row>
    <row r="103" spans="1:9" ht="12" customHeight="1" thickBot="1" x14ac:dyDescent="0.3">
      <c r="A103" s="6" t="s">
        <v>60</v>
      </c>
      <c r="B103" s="128" t="s">
        <v>278</v>
      </c>
      <c r="C103" s="125">
        <f t="shared" si="4"/>
        <v>0</v>
      </c>
      <c r="D103" s="81"/>
      <c r="E103" s="82"/>
      <c r="F103" s="82"/>
      <c r="H103" s="63" t="e">
        <f>'1.2.sz.mell. '!C103+#REF!+#REF!</f>
        <v>#REF!</v>
      </c>
      <c r="I103" s="70" t="e">
        <f t="shared" si="5"/>
        <v>#REF!</v>
      </c>
    </row>
    <row r="104" spans="1:9" ht="12" customHeight="1" thickBot="1" x14ac:dyDescent="0.3">
      <c r="A104" s="6" t="s">
        <v>61</v>
      </c>
      <c r="B104" s="128" t="s">
        <v>279</v>
      </c>
      <c r="C104" s="125">
        <f t="shared" si="4"/>
        <v>0</v>
      </c>
      <c r="D104" s="81"/>
      <c r="E104" s="82"/>
      <c r="F104" s="82"/>
      <c r="H104" s="63" t="e">
        <f>'1.2.sz.mell. '!C104+#REF!+#REF!</f>
        <v>#REF!</v>
      </c>
      <c r="I104" s="70" t="e">
        <f t="shared" si="5"/>
        <v>#REF!</v>
      </c>
    </row>
    <row r="105" spans="1:9" ht="12" customHeight="1" thickBot="1" x14ac:dyDescent="0.3">
      <c r="A105" s="6" t="s">
        <v>280</v>
      </c>
      <c r="B105" s="127" t="s">
        <v>281</v>
      </c>
      <c r="C105" s="125">
        <f t="shared" si="4"/>
        <v>660000</v>
      </c>
      <c r="D105" s="81">
        <v>660000</v>
      </c>
      <c r="E105" s="82"/>
      <c r="F105" s="82"/>
      <c r="H105" s="63" t="e">
        <f>'1.2.sz.mell. '!C105+#REF!+#REF!</f>
        <v>#REF!</v>
      </c>
      <c r="I105" s="70" t="e">
        <f t="shared" si="5"/>
        <v>#REF!</v>
      </c>
    </row>
    <row r="106" spans="1:9" ht="12" customHeight="1" thickBot="1" x14ac:dyDescent="0.3">
      <c r="A106" s="6" t="s">
        <v>282</v>
      </c>
      <c r="B106" s="127" t="s">
        <v>283</v>
      </c>
      <c r="C106" s="125">
        <f t="shared" si="4"/>
        <v>0</v>
      </c>
      <c r="D106" s="81"/>
      <c r="E106" s="82"/>
      <c r="F106" s="82"/>
      <c r="H106" s="63" t="e">
        <f>'1.2.sz.mell. '!C106+#REF!+#REF!</f>
        <v>#REF!</v>
      </c>
      <c r="I106" s="70" t="e">
        <f t="shared" si="5"/>
        <v>#REF!</v>
      </c>
    </row>
    <row r="107" spans="1:9" ht="12" customHeight="1" thickBot="1" x14ac:dyDescent="0.3">
      <c r="A107" s="6" t="s">
        <v>284</v>
      </c>
      <c r="B107" s="128" t="s">
        <v>285</v>
      </c>
      <c r="C107" s="125">
        <f t="shared" si="4"/>
        <v>0</v>
      </c>
      <c r="D107" s="81"/>
      <c r="E107" s="82"/>
      <c r="F107" s="82"/>
      <c r="H107" s="63" t="e">
        <f>'1.2.sz.mell. '!C107+#REF!+#REF!</f>
        <v>#REF!</v>
      </c>
      <c r="I107" s="70" t="e">
        <f t="shared" si="5"/>
        <v>#REF!</v>
      </c>
    </row>
    <row r="108" spans="1:9" ht="12" customHeight="1" thickBot="1" x14ac:dyDescent="0.3">
      <c r="A108" s="129" t="s">
        <v>286</v>
      </c>
      <c r="B108" s="126" t="s">
        <v>287</v>
      </c>
      <c r="C108" s="125">
        <f t="shared" si="4"/>
        <v>0</v>
      </c>
      <c r="D108" s="81"/>
      <c r="E108" s="82"/>
      <c r="F108" s="82"/>
      <c r="H108" s="63" t="e">
        <f>'1.2.sz.mell. '!C108+#REF!+#REF!</f>
        <v>#REF!</v>
      </c>
      <c r="I108" s="70" t="e">
        <f t="shared" si="5"/>
        <v>#REF!</v>
      </c>
    </row>
    <row r="109" spans="1:9" ht="12" customHeight="1" thickBot="1" x14ac:dyDescent="0.3">
      <c r="A109" s="6" t="s">
        <v>288</v>
      </c>
      <c r="B109" s="126" t="s">
        <v>289</v>
      </c>
      <c r="C109" s="125">
        <f t="shared" si="4"/>
        <v>0</v>
      </c>
      <c r="D109" s="81"/>
      <c r="E109" s="82"/>
      <c r="F109" s="82"/>
      <c r="H109" s="63" t="e">
        <f>'1.2.sz.mell. '!C109+#REF!+#REF!</f>
        <v>#REF!</v>
      </c>
      <c r="I109" s="70" t="e">
        <f t="shared" si="5"/>
        <v>#REF!</v>
      </c>
    </row>
    <row r="110" spans="1:9" ht="12" customHeight="1" thickBot="1" x14ac:dyDescent="0.3">
      <c r="A110" s="8" t="s">
        <v>290</v>
      </c>
      <c r="B110" s="126" t="s">
        <v>291</v>
      </c>
      <c r="C110" s="125">
        <f t="shared" si="4"/>
        <v>157734865</v>
      </c>
      <c r="D110" s="86">
        <f>5697126+16985629+22501218+52959801+660000+49357310-660000+4500000+4951343+335000+367438+80000</f>
        <v>157734865</v>
      </c>
      <c r="E110" s="69"/>
      <c r="F110" s="82"/>
      <c r="H110" s="63" t="e">
        <f>'1.2.sz.mell. '!C110+#REF!+#REF!</f>
        <v>#REF!</v>
      </c>
      <c r="I110" s="70" t="e">
        <f t="shared" si="5"/>
        <v>#REF!</v>
      </c>
    </row>
    <row r="111" spans="1:9" ht="12" customHeight="1" thickBot="1" x14ac:dyDescent="0.3">
      <c r="A111" s="6" t="s">
        <v>292</v>
      </c>
      <c r="B111" s="2" t="s">
        <v>293</v>
      </c>
      <c r="C111" s="125">
        <f t="shared" si="4"/>
        <v>91990058</v>
      </c>
      <c r="D111" s="86">
        <f>SUM(D112:D113)</f>
        <v>91990058</v>
      </c>
      <c r="E111" s="69"/>
      <c r="F111" s="69">
        <f>F112+F113</f>
        <v>0</v>
      </c>
      <c r="H111" s="63" t="e">
        <f>'1.2.sz.mell. '!C111+#REF!+#REF!</f>
        <v>#REF!</v>
      </c>
      <c r="I111" s="70" t="e">
        <f t="shared" si="5"/>
        <v>#REF!</v>
      </c>
    </row>
    <row r="112" spans="1:9" ht="12" customHeight="1" thickBot="1" x14ac:dyDescent="0.3">
      <c r="A112" s="6" t="s">
        <v>294</v>
      </c>
      <c r="B112" s="2" t="s">
        <v>295</v>
      </c>
      <c r="C112" s="144">
        <f t="shared" si="4"/>
        <v>10857171</v>
      </c>
      <c r="D112" s="81">
        <f>15000000-21705-8451320+266142+295985-5833975+4429729-2711045-668403+1866146+6685617</f>
        <v>10857171</v>
      </c>
      <c r="E112" s="82"/>
      <c r="F112" s="69"/>
      <c r="H112" s="63" t="e">
        <f>'1.2.sz.mell. '!C112+#REF!+#REF!</f>
        <v>#REF!</v>
      </c>
      <c r="I112" s="70" t="e">
        <f t="shared" si="5"/>
        <v>#REF!</v>
      </c>
    </row>
    <row r="113" spans="1:9" ht="12" customHeight="1" thickBot="1" x14ac:dyDescent="0.3">
      <c r="A113" s="130" t="s">
        <v>296</v>
      </c>
      <c r="B113" s="131" t="s">
        <v>297</v>
      </c>
      <c r="C113" s="132">
        <f t="shared" si="4"/>
        <v>81132887</v>
      </c>
      <c r="D113" s="133">
        <f>65846522-6946019+750000-2582475-1500181-997960-200000+19431000+7332000</f>
        <v>81132887</v>
      </c>
      <c r="E113" s="134"/>
      <c r="F113" s="134"/>
      <c r="H113" s="63" t="e">
        <f>'1.2.sz.mell. '!C113+#REF!+#REF!</f>
        <v>#REF!</v>
      </c>
      <c r="I113" s="74" t="e">
        <f t="shared" si="5"/>
        <v>#REF!</v>
      </c>
    </row>
    <row r="114" spans="1:9" ht="12" customHeight="1" thickBot="1" x14ac:dyDescent="0.3">
      <c r="A114" s="41" t="s">
        <v>7</v>
      </c>
      <c r="B114" s="135" t="s">
        <v>298</v>
      </c>
      <c r="C114" s="136">
        <f t="shared" si="4"/>
        <v>717442110</v>
      </c>
      <c r="D114" s="43">
        <f>+D115+D117+D119</f>
        <v>690918881</v>
      </c>
      <c r="E114" s="62">
        <f>+E115+E117+E119</f>
        <v>4919980</v>
      </c>
      <c r="F114" s="137">
        <f>+F115+F117+F119</f>
        <v>21603249</v>
      </c>
      <c r="H114" s="63" t="e">
        <f>'1.2.sz.mell. '!C114+#REF!+#REF!</f>
        <v>#REF!</v>
      </c>
      <c r="I114" s="63" t="e">
        <f t="shared" si="5"/>
        <v>#REF!</v>
      </c>
    </row>
    <row r="115" spans="1:9" ht="15" customHeight="1" thickBot="1" x14ac:dyDescent="0.3">
      <c r="A115" s="7" t="s">
        <v>54</v>
      </c>
      <c r="B115" s="2" t="s">
        <v>77</v>
      </c>
      <c r="C115" s="125">
        <f t="shared" si="4"/>
        <v>374710583</v>
      </c>
      <c r="D115" s="83">
        <f>359410+2345001+219008101+12873483+381000+1500000+3139585+33894811+377190+2338070+4950460-60000+275000+20930495+3000+1187993+457200+1422400+3150920+850748+6716258+2350811+4594690+2789590+24974772+333700-2347734</f>
        <v>348796954</v>
      </c>
      <c r="E115" s="65">
        <v>4919980</v>
      </c>
      <c r="F115" s="65">
        <f>20394512+599137</f>
        <v>20993649</v>
      </c>
      <c r="H115" s="63" t="e">
        <f>'1.2.sz.mell. '!C115+#REF!+#REF!</f>
        <v>#REF!</v>
      </c>
      <c r="I115" s="66" t="e">
        <f t="shared" si="5"/>
        <v>#REF!</v>
      </c>
    </row>
    <row r="116" spans="1:9" ht="12" customHeight="1" thickBot="1" x14ac:dyDescent="0.3">
      <c r="A116" s="7" t="s">
        <v>55</v>
      </c>
      <c r="B116" s="5" t="s">
        <v>299</v>
      </c>
      <c r="C116" s="125">
        <f t="shared" si="4"/>
        <v>295105824</v>
      </c>
      <c r="D116" s="138">
        <f>12873483+33259811+218246101+22118488+6704583-169560</f>
        <v>293032906</v>
      </c>
      <c r="E116" s="65"/>
      <c r="F116" s="65">
        <v>2072918</v>
      </c>
      <c r="H116" s="63" t="e">
        <f>'1.2.sz.mell. '!C116+#REF!+#REF!</f>
        <v>#REF!</v>
      </c>
      <c r="I116" s="70" t="e">
        <f t="shared" si="5"/>
        <v>#REF!</v>
      </c>
    </row>
    <row r="117" spans="1:9" ht="12" customHeight="1" thickBot="1" x14ac:dyDescent="0.3">
      <c r="A117" s="7" t="s">
        <v>56</v>
      </c>
      <c r="B117" s="5" t="s">
        <v>72</v>
      </c>
      <c r="C117" s="125">
        <f t="shared" si="4"/>
        <v>276110806</v>
      </c>
      <c r="D117" s="86">
        <f>180701362+1500000+37902555+48165993+9194292+3526954-379232-5144770+34052</f>
        <v>275501206</v>
      </c>
      <c r="E117" s="69"/>
      <c r="F117" s="69">
        <v>609600</v>
      </c>
      <c r="H117" s="63" t="e">
        <f>'1.2.sz.mell. '!C117+#REF!+#REF!</f>
        <v>#REF!</v>
      </c>
      <c r="I117" s="70" t="e">
        <f t="shared" si="5"/>
        <v>#REF!</v>
      </c>
    </row>
    <row r="118" spans="1:9" ht="12" customHeight="1" thickBot="1" x14ac:dyDescent="0.3">
      <c r="A118" s="7" t="s">
        <v>57</v>
      </c>
      <c r="B118" s="5" t="s">
        <v>300</v>
      </c>
      <c r="C118" s="125">
        <f t="shared" si="4"/>
        <v>230773273</v>
      </c>
      <c r="D118" s="139">
        <f>146098020+36509260+48165993</f>
        <v>230773273</v>
      </c>
      <c r="E118" s="394"/>
      <c r="F118" s="86"/>
      <c r="H118" s="63" t="e">
        <f>'1.2.sz.mell. '!C118+#REF!+#REF!</f>
        <v>#REF!</v>
      </c>
      <c r="I118" s="70" t="e">
        <f t="shared" si="5"/>
        <v>#REF!</v>
      </c>
    </row>
    <row r="119" spans="1:9" ht="12" customHeight="1" thickBot="1" x14ac:dyDescent="0.3">
      <c r="A119" s="7" t="s">
        <v>164</v>
      </c>
      <c r="B119" s="23" t="s">
        <v>78</v>
      </c>
      <c r="C119" s="125">
        <f>SUM(D119:F119)</f>
        <v>66620721</v>
      </c>
      <c r="D119" s="86">
        <f>65710721+100000+510000+300000</f>
        <v>66620721</v>
      </c>
      <c r="E119" s="86"/>
      <c r="F119" s="86"/>
      <c r="H119" s="63" t="e">
        <f>'1.2.sz.mell. '!C119+#REF!+#REF!</f>
        <v>#REF!</v>
      </c>
      <c r="I119" s="70" t="e">
        <f t="shared" si="5"/>
        <v>#REF!</v>
      </c>
    </row>
    <row r="120" spans="1:9" ht="12" customHeight="1" thickBot="1" x14ac:dyDescent="0.3">
      <c r="A120" s="7" t="s">
        <v>166</v>
      </c>
      <c r="B120" s="71" t="s">
        <v>301</v>
      </c>
      <c r="C120" s="125">
        <f t="shared" si="4"/>
        <v>0</v>
      </c>
      <c r="D120" s="22"/>
      <c r="E120" s="22"/>
      <c r="F120" s="86"/>
      <c r="H120" s="63" t="e">
        <f>'1.2.sz.mell. '!C120+#REF!+#REF!</f>
        <v>#REF!</v>
      </c>
      <c r="I120" s="70" t="e">
        <f t="shared" si="5"/>
        <v>#REF!</v>
      </c>
    </row>
    <row r="121" spans="1:9" ht="12" customHeight="1" thickBot="1" x14ac:dyDescent="0.3">
      <c r="A121" s="7" t="s">
        <v>302</v>
      </c>
      <c r="B121" s="141" t="s">
        <v>303</v>
      </c>
      <c r="C121" s="125">
        <f t="shared" si="4"/>
        <v>0</v>
      </c>
      <c r="D121" s="22"/>
      <c r="E121" s="22"/>
      <c r="F121" s="86"/>
      <c r="H121" s="63" t="e">
        <f>'1.2.sz.mell. '!C121+#REF!+#REF!</f>
        <v>#REF!</v>
      </c>
      <c r="I121" s="70" t="e">
        <f t="shared" si="5"/>
        <v>#REF!</v>
      </c>
    </row>
    <row r="122" spans="1:9" ht="16.5" thickBot="1" x14ac:dyDescent="0.3">
      <c r="A122" s="7" t="s">
        <v>304</v>
      </c>
      <c r="B122" s="128" t="s">
        <v>279</v>
      </c>
      <c r="C122" s="125">
        <f t="shared" si="4"/>
        <v>0</v>
      </c>
      <c r="D122" s="22"/>
      <c r="E122" s="22"/>
      <c r="F122" s="86"/>
      <c r="H122" s="63" t="e">
        <f>'1.2.sz.mell. '!C122+#REF!+#REF!</f>
        <v>#REF!</v>
      </c>
      <c r="I122" s="70" t="e">
        <f t="shared" si="5"/>
        <v>#REF!</v>
      </c>
    </row>
    <row r="123" spans="1:9" ht="12" customHeight="1" thickBot="1" x14ac:dyDescent="0.3">
      <c r="A123" s="7" t="s">
        <v>305</v>
      </c>
      <c r="B123" s="128" t="s">
        <v>306</v>
      </c>
      <c r="C123" s="125">
        <f t="shared" si="4"/>
        <v>0</v>
      </c>
      <c r="D123" s="22"/>
      <c r="E123" s="22"/>
      <c r="F123" s="86"/>
      <c r="H123" s="63" t="e">
        <f>'1.2.sz.mell. '!C123+#REF!+#REF!</f>
        <v>#REF!</v>
      </c>
      <c r="I123" s="70" t="e">
        <f t="shared" si="5"/>
        <v>#REF!</v>
      </c>
    </row>
    <row r="124" spans="1:9" ht="12" customHeight="1" thickBot="1" x14ac:dyDescent="0.3">
      <c r="A124" s="7" t="s">
        <v>307</v>
      </c>
      <c r="B124" s="128" t="s">
        <v>308</v>
      </c>
      <c r="C124" s="125">
        <f t="shared" si="4"/>
        <v>0</v>
      </c>
      <c r="D124" s="22"/>
      <c r="E124" s="22"/>
      <c r="F124" s="86"/>
      <c r="H124" s="63" t="e">
        <f>'1.2.sz.mell. '!C124+#REF!+#REF!</f>
        <v>#REF!</v>
      </c>
      <c r="I124" s="70" t="e">
        <f t="shared" si="5"/>
        <v>#REF!</v>
      </c>
    </row>
    <row r="125" spans="1:9" ht="12" customHeight="1" thickBot="1" x14ac:dyDescent="0.3">
      <c r="A125" s="7" t="s">
        <v>309</v>
      </c>
      <c r="B125" s="128" t="s">
        <v>285</v>
      </c>
      <c r="C125" s="125">
        <f t="shared" si="4"/>
        <v>0</v>
      </c>
      <c r="D125" s="22"/>
      <c r="E125" s="22"/>
      <c r="F125" s="86"/>
      <c r="H125" s="63" t="e">
        <f>'1.2.sz.mell. '!C125+#REF!+#REF!</f>
        <v>#REF!</v>
      </c>
      <c r="I125" s="70" t="e">
        <f t="shared" si="5"/>
        <v>#REF!</v>
      </c>
    </row>
    <row r="126" spans="1:9" ht="12" customHeight="1" thickBot="1" x14ac:dyDescent="0.3">
      <c r="A126" s="7" t="s">
        <v>310</v>
      </c>
      <c r="B126" s="128" t="s">
        <v>311</v>
      </c>
      <c r="C126" s="125">
        <f t="shared" si="4"/>
        <v>0</v>
      </c>
      <c r="D126" s="22"/>
      <c r="E126" s="22"/>
      <c r="F126" s="86"/>
      <c r="H126" s="63" t="e">
        <f>'1.2.sz.mell. '!C126+#REF!+#REF!</f>
        <v>#REF!</v>
      </c>
      <c r="I126" s="70" t="e">
        <f t="shared" si="5"/>
        <v>#REF!</v>
      </c>
    </row>
    <row r="127" spans="1:9" ht="16.5" thickBot="1" x14ac:dyDescent="0.3">
      <c r="A127" s="129" t="s">
        <v>312</v>
      </c>
      <c r="B127" s="128" t="s">
        <v>313</v>
      </c>
      <c r="C127" s="132">
        <f t="shared" si="4"/>
        <v>66620721</v>
      </c>
      <c r="D127" s="81">
        <f>65710721+100000+510000+300000</f>
        <v>66620721</v>
      </c>
      <c r="E127" s="81"/>
      <c r="F127" s="81"/>
      <c r="H127" s="63" t="e">
        <f>'1.2.sz.mell. '!C127+#REF!+#REF!</f>
        <v>#REF!</v>
      </c>
      <c r="I127" s="74" t="e">
        <f t="shared" si="5"/>
        <v>#REF!</v>
      </c>
    </row>
    <row r="128" spans="1:9" ht="12" customHeight="1" thickBot="1" x14ac:dyDescent="0.3">
      <c r="A128" s="9" t="s">
        <v>8</v>
      </c>
      <c r="B128" s="142" t="s">
        <v>127</v>
      </c>
      <c r="C128" s="136">
        <f t="shared" si="4"/>
        <v>3102917091</v>
      </c>
      <c r="D128" s="43">
        <f>+D93+D114</f>
        <v>1328954898</v>
      </c>
      <c r="E128" s="62">
        <f>+E93+E114</f>
        <v>244350438</v>
      </c>
      <c r="F128" s="62">
        <f>+F93+F114</f>
        <v>1529611755</v>
      </c>
      <c r="H128" s="63" t="e">
        <f>'1.2.sz.mell. '!C128+#REF!+#REF!</f>
        <v>#REF!</v>
      </c>
      <c r="I128" s="63" t="e">
        <f t="shared" si="5"/>
        <v>#REF!</v>
      </c>
    </row>
    <row r="129" spans="1:9" ht="12" customHeight="1" thickBot="1" x14ac:dyDescent="0.3">
      <c r="A129" s="9" t="s">
        <v>9</v>
      </c>
      <c r="B129" s="142" t="s">
        <v>314</v>
      </c>
      <c r="C129" s="136">
        <f t="shared" si="4"/>
        <v>108486704</v>
      </c>
      <c r="D129" s="43">
        <f>+D130+D131+D132</f>
        <v>108486704</v>
      </c>
      <c r="E129" s="62">
        <f>+E130+E131+E132</f>
        <v>0</v>
      </c>
      <c r="F129" s="62">
        <f>+F130+F131+F132</f>
        <v>0</v>
      </c>
      <c r="H129" s="63" t="e">
        <f>'1.2.sz.mell. '!C129+#REF!+#REF!</f>
        <v>#REF!</v>
      </c>
      <c r="I129" s="63" t="e">
        <f t="shared" si="5"/>
        <v>#REF!</v>
      </c>
    </row>
    <row r="130" spans="1:9" ht="12" customHeight="1" thickBot="1" x14ac:dyDescent="0.3">
      <c r="A130" s="7" t="s">
        <v>83</v>
      </c>
      <c r="B130" s="5" t="s">
        <v>315</v>
      </c>
      <c r="C130" s="125">
        <f t="shared" si="4"/>
        <v>8486704</v>
      </c>
      <c r="D130" s="86">
        <f>4042704+4444000</f>
        <v>8486704</v>
      </c>
      <c r="E130" s="86"/>
      <c r="F130" s="86"/>
      <c r="H130" s="63" t="e">
        <f>'1.2.sz.mell. '!C130+#REF!+#REF!</f>
        <v>#REF!</v>
      </c>
      <c r="I130" s="66" t="e">
        <f t="shared" si="5"/>
        <v>#REF!</v>
      </c>
    </row>
    <row r="131" spans="1:9" ht="12" customHeight="1" thickBot="1" x14ac:dyDescent="0.3">
      <c r="A131" s="7" t="s">
        <v>84</v>
      </c>
      <c r="B131" s="5" t="s">
        <v>316</v>
      </c>
      <c r="C131" s="125">
        <f t="shared" si="4"/>
        <v>100000000</v>
      </c>
      <c r="D131" s="22">
        <v>100000000</v>
      </c>
      <c r="E131" s="22"/>
      <c r="F131" s="22"/>
      <c r="H131" s="63" t="e">
        <f>'1.2.sz.mell. '!C131+#REF!+#REF!</f>
        <v>#REF!</v>
      </c>
      <c r="I131" s="70" t="e">
        <f t="shared" si="5"/>
        <v>#REF!</v>
      </c>
    </row>
    <row r="132" spans="1:9" ht="12" customHeight="1" thickBot="1" x14ac:dyDescent="0.3">
      <c r="A132" s="129" t="s">
        <v>85</v>
      </c>
      <c r="B132" s="5" t="s">
        <v>317</v>
      </c>
      <c r="C132" s="143">
        <f t="shared" si="4"/>
        <v>0</v>
      </c>
      <c r="D132" s="22"/>
      <c r="E132" s="22"/>
      <c r="F132" s="22"/>
      <c r="H132" s="63" t="e">
        <f>'1.2.sz.mell. '!C132+#REF!+#REF!</f>
        <v>#REF!</v>
      </c>
      <c r="I132" s="74" t="e">
        <f t="shared" si="5"/>
        <v>#REF!</v>
      </c>
    </row>
    <row r="133" spans="1:9" ht="12" customHeight="1" thickBot="1" x14ac:dyDescent="0.3">
      <c r="A133" s="9" t="s">
        <v>10</v>
      </c>
      <c r="B133" s="142" t="s">
        <v>318</v>
      </c>
      <c r="C133" s="136">
        <f t="shared" si="4"/>
        <v>0</v>
      </c>
      <c r="D133" s="43">
        <f>+D134+D135+D136+D137+D138+D139</f>
        <v>0</v>
      </c>
      <c r="E133" s="62">
        <f>+E134+E135+E136+E137+E138+E139</f>
        <v>0</v>
      </c>
      <c r="F133" s="62">
        <f>SUM(F134:F139)</f>
        <v>0</v>
      </c>
      <c r="H133" s="63" t="e">
        <f>'1.2.sz.mell. '!C133+#REF!+#REF!</f>
        <v>#REF!</v>
      </c>
      <c r="I133" s="63" t="e">
        <f t="shared" si="5"/>
        <v>#REF!</v>
      </c>
    </row>
    <row r="134" spans="1:9" ht="12" customHeight="1" thickBot="1" x14ac:dyDescent="0.3">
      <c r="A134" s="7" t="s">
        <v>45</v>
      </c>
      <c r="B134" s="3" t="s">
        <v>319</v>
      </c>
      <c r="C134" s="144">
        <f t="shared" si="4"/>
        <v>0</v>
      </c>
      <c r="D134" s="22"/>
      <c r="E134" s="22"/>
      <c r="F134" s="22"/>
      <c r="H134" s="63" t="e">
        <f>'1.2.sz.mell. '!C134+#REF!+#REF!</f>
        <v>#REF!</v>
      </c>
      <c r="I134" s="66" t="e">
        <f t="shared" si="5"/>
        <v>#REF!</v>
      </c>
    </row>
    <row r="135" spans="1:9" ht="12" customHeight="1" thickBot="1" x14ac:dyDescent="0.3">
      <c r="A135" s="7" t="s">
        <v>46</v>
      </c>
      <c r="B135" s="3" t="s">
        <v>320</v>
      </c>
      <c r="C135" s="144">
        <f t="shared" si="4"/>
        <v>0</v>
      </c>
      <c r="D135" s="22"/>
      <c r="E135" s="22"/>
      <c r="F135" s="22"/>
      <c r="H135" s="63" t="e">
        <f>'1.2.sz.mell. '!C135+#REF!+#REF!</f>
        <v>#REF!</v>
      </c>
      <c r="I135" s="70" t="e">
        <f t="shared" si="5"/>
        <v>#REF!</v>
      </c>
    </row>
    <row r="136" spans="1:9" ht="12" customHeight="1" thickBot="1" x14ac:dyDescent="0.3">
      <c r="A136" s="7" t="s">
        <v>47</v>
      </c>
      <c r="B136" s="3" t="s">
        <v>321</v>
      </c>
      <c r="C136" s="144">
        <f t="shared" si="4"/>
        <v>0</v>
      </c>
      <c r="D136" s="22"/>
      <c r="E136" s="22"/>
      <c r="F136" s="22"/>
      <c r="H136" s="63" t="e">
        <f>'1.2.sz.mell. '!C136+#REF!+#REF!</f>
        <v>#REF!</v>
      </c>
      <c r="I136" s="70" t="e">
        <f t="shared" si="5"/>
        <v>#REF!</v>
      </c>
    </row>
    <row r="137" spans="1:9" ht="12" customHeight="1" thickBot="1" x14ac:dyDescent="0.3">
      <c r="A137" s="7" t="s">
        <v>184</v>
      </c>
      <c r="B137" s="3" t="s">
        <v>322</v>
      </c>
      <c r="C137" s="144">
        <f t="shared" si="4"/>
        <v>0</v>
      </c>
      <c r="D137" s="22"/>
      <c r="E137" s="22"/>
      <c r="F137" s="22"/>
      <c r="H137" s="63" t="e">
        <f>'1.2.sz.mell. '!C137+#REF!+#REF!</f>
        <v>#REF!</v>
      </c>
      <c r="I137" s="70" t="e">
        <f t="shared" si="5"/>
        <v>#REF!</v>
      </c>
    </row>
    <row r="138" spans="1:9" ht="12" customHeight="1" thickBot="1" x14ac:dyDescent="0.3">
      <c r="A138" s="7" t="s">
        <v>185</v>
      </c>
      <c r="B138" s="3" t="s">
        <v>323</v>
      </c>
      <c r="C138" s="144">
        <f t="shared" si="4"/>
        <v>0</v>
      </c>
      <c r="D138" s="22"/>
      <c r="E138" s="22"/>
      <c r="F138" s="22"/>
      <c r="H138" s="63" t="e">
        <f>'1.2.sz.mell. '!C138+#REF!+#REF!</f>
        <v>#REF!</v>
      </c>
      <c r="I138" s="70" t="e">
        <f t="shared" si="5"/>
        <v>#REF!</v>
      </c>
    </row>
    <row r="139" spans="1:9" ht="12" customHeight="1" thickBot="1" x14ac:dyDescent="0.3">
      <c r="A139" s="129" t="s">
        <v>186</v>
      </c>
      <c r="B139" s="3" t="s">
        <v>324</v>
      </c>
      <c r="C139" s="143">
        <f t="shared" si="4"/>
        <v>0</v>
      </c>
      <c r="D139" s="22"/>
      <c r="E139" s="22"/>
      <c r="F139" s="22"/>
      <c r="H139" s="63" t="e">
        <f>'1.2.sz.mell. '!C139+#REF!+#REF!</f>
        <v>#REF!</v>
      </c>
      <c r="I139" s="74" t="e">
        <f t="shared" si="5"/>
        <v>#REF!</v>
      </c>
    </row>
    <row r="140" spans="1:9" ht="12" customHeight="1" thickBot="1" x14ac:dyDescent="0.3">
      <c r="A140" s="9" t="s">
        <v>11</v>
      </c>
      <c r="B140" s="142" t="s">
        <v>325</v>
      </c>
      <c r="C140" s="136">
        <f t="shared" si="4"/>
        <v>38167591</v>
      </c>
      <c r="D140" s="88">
        <f>+D141+D142+D143+D144</f>
        <v>38167591</v>
      </c>
      <c r="E140" s="89">
        <f>+E141+E142+E143+E144</f>
        <v>0</v>
      </c>
      <c r="F140" s="89">
        <f>+F141+F142+F143+F144</f>
        <v>0</v>
      </c>
      <c r="H140" s="63" t="e">
        <f>'1.2.sz.mell. '!C140+#REF!+#REF!</f>
        <v>#REF!</v>
      </c>
      <c r="I140" s="63" t="e">
        <f t="shared" si="5"/>
        <v>#REF!</v>
      </c>
    </row>
    <row r="141" spans="1:9" ht="12" customHeight="1" thickBot="1" x14ac:dyDescent="0.3">
      <c r="A141" s="7" t="s">
        <v>196</v>
      </c>
      <c r="B141" s="3" t="s">
        <v>326</v>
      </c>
      <c r="C141" s="144">
        <f t="shared" si="4"/>
        <v>0</v>
      </c>
      <c r="D141" s="22"/>
      <c r="E141" s="22"/>
      <c r="F141" s="22"/>
      <c r="H141" s="63" t="e">
        <f>'1.2.sz.mell. '!C141+#REF!+#REF!</f>
        <v>#REF!</v>
      </c>
      <c r="I141" s="66" t="e">
        <f t="shared" si="5"/>
        <v>#REF!</v>
      </c>
    </row>
    <row r="142" spans="1:9" ht="12" customHeight="1" thickBot="1" x14ac:dyDescent="0.3">
      <c r="A142" s="7" t="s">
        <v>197</v>
      </c>
      <c r="B142" s="3" t="s">
        <v>327</v>
      </c>
      <c r="C142" s="125">
        <f t="shared" si="4"/>
        <v>38167591</v>
      </c>
      <c r="D142" s="22">
        <v>38167591</v>
      </c>
      <c r="E142" s="22"/>
      <c r="F142" s="22"/>
      <c r="H142" s="63" t="e">
        <f>'1.2.sz.mell. '!C142+#REF!+#REF!</f>
        <v>#REF!</v>
      </c>
      <c r="I142" s="70" t="e">
        <f t="shared" si="5"/>
        <v>#REF!</v>
      </c>
    </row>
    <row r="143" spans="1:9" ht="12" customHeight="1" thickBot="1" x14ac:dyDescent="0.3">
      <c r="A143" s="7" t="s">
        <v>198</v>
      </c>
      <c r="B143" s="3" t="s">
        <v>328</v>
      </c>
      <c r="C143" s="144">
        <f t="shared" si="4"/>
        <v>0</v>
      </c>
      <c r="D143" s="22"/>
      <c r="E143" s="22"/>
      <c r="F143" s="22"/>
      <c r="H143" s="63" t="e">
        <f>'1.2.sz.mell. '!C143+#REF!+#REF!</f>
        <v>#REF!</v>
      </c>
      <c r="I143" s="70" t="e">
        <f t="shared" si="5"/>
        <v>#REF!</v>
      </c>
    </row>
    <row r="144" spans="1:9" ht="12" customHeight="1" thickBot="1" x14ac:dyDescent="0.3">
      <c r="A144" s="129" t="s">
        <v>199</v>
      </c>
      <c r="B144" s="1" t="s">
        <v>329</v>
      </c>
      <c r="C144" s="143">
        <f t="shared" si="4"/>
        <v>0</v>
      </c>
      <c r="D144" s="22"/>
      <c r="E144" s="22"/>
      <c r="F144" s="22"/>
      <c r="H144" s="63" t="e">
        <f>'1.2.sz.mell. '!C144+#REF!+#REF!</f>
        <v>#REF!</v>
      </c>
      <c r="I144" s="74" t="e">
        <f t="shared" si="5"/>
        <v>#REF!</v>
      </c>
    </row>
    <row r="145" spans="1:9" ht="12" customHeight="1" thickBot="1" x14ac:dyDescent="0.3">
      <c r="A145" s="9" t="s">
        <v>12</v>
      </c>
      <c r="B145" s="142" t="s">
        <v>330</v>
      </c>
      <c r="C145" s="136">
        <f t="shared" si="4"/>
        <v>0</v>
      </c>
      <c r="D145" s="145">
        <f>+D146+D147+D148+D149+D150</f>
        <v>0</v>
      </c>
      <c r="E145" s="146">
        <f>+E146+E147+E148+E149+E150</f>
        <v>0</v>
      </c>
      <c r="F145" s="146">
        <f>SUM(F146:F150)</f>
        <v>0</v>
      </c>
      <c r="H145" s="63" t="e">
        <f>'1.2.sz.mell. '!C145+#REF!+#REF!</f>
        <v>#REF!</v>
      </c>
      <c r="I145" s="63" t="e">
        <f t="shared" si="5"/>
        <v>#REF!</v>
      </c>
    </row>
    <row r="146" spans="1:9" ht="12" customHeight="1" thickBot="1" x14ac:dyDescent="0.3">
      <c r="A146" s="7" t="s">
        <v>204</v>
      </c>
      <c r="B146" s="3" t="s">
        <v>331</v>
      </c>
      <c r="C146" s="144">
        <f t="shared" si="4"/>
        <v>0</v>
      </c>
      <c r="D146" s="22"/>
      <c r="E146" s="22"/>
      <c r="F146" s="22"/>
      <c r="H146" s="63" t="e">
        <f>'1.2.sz.mell. '!C146+#REF!+#REF!</f>
        <v>#REF!</v>
      </c>
      <c r="I146" s="66" t="e">
        <f t="shared" si="5"/>
        <v>#REF!</v>
      </c>
    </row>
    <row r="147" spans="1:9" ht="12" customHeight="1" thickBot="1" x14ac:dyDescent="0.3">
      <c r="A147" s="7" t="s">
        <v>206</v>
      </c>
      <c r="B147" s="3" t="s">
        <v>332</v>
      </c>
      <c r="C147" s="144">
        <f t="shared" si="4"/>
        <v>0</v>
      </c>
      <c r="D147" s="22"/>
      <c r="E147" s="22"/>
      <c r="F147" s="22"/>
      <c r="H147" s="63" t="e">
        <f>'1.2.sz.mell. '!C147+#REF!+#REF!</f>
        <v>#REF!</v>
      </c>
      <c r="I147" s="70" t="e">
        <f t="shared" si="5"/>
        <v>#REF!</v>
      </c>
    </row>
    <row r="148" spans="1:9" ht="12" customHeight="1" thickBot="1" x14ac:dyDescent="0.3">
      <c r="A148" s="7" t="s">
        <v>208</v>
      </c>
      <c r="B148" s="3" t="s">
        <v>333</v>
      </c>
      <c r="C148" s="144">
        <f t="shared" si="4"/>
        <v>0</v>
      </c>
      <c r="D148" s="22"/>
      <c r="E148" s="22"/>
      <c r="F148" s="22"/>
      <c r="H148" s="63" t="e">
        <f>'1.2.sz.mell. '!C148+#REF!+#REF!</f>
        <v>#REF!</v>
      </c>
      <c r="I148" s="70" t="e">
        <f t="shared" si="5"/>
        <v>#REF!</v>
      </c>
    </row>
    <row r="149" spans="1:9" ht="12" customHeight="1" thickBot="1" x14ac:dyDescent="0.3">
      <c r="A149" s="7" t="s">
        <v>210</v>
      </c>
      <c r="B149" s="3" t="s">
        <v>334</v>
      </c>
      <c r="C149" s="144">
        <f t="shared" si="4"/>
        <v>0</v>
      </c>
      <c r="D149" s="22"/>
      <c r="E149" s="22"/>
      <c r="F149" s="22"/>
      <c r="H149" s="63" t="e">
        <f>'1.2.sz.mell. '!C149+#REF!+#REF!</f>
        <v>#REF!</v>
      </c>
      <c r="I149" s="70" t="e">
        <f t="shared" si="5"/>
        <v>#REF!</v>
      </c>
    </row>
    <row r="150" spans="1:9" ht="12" customHeight="1" thickBot="1" x14ac:dyDescent="0.3">
      <c r="A150" s="7" t="s">
        <v>335</v>
      </c>
      <c r="B150" s="3" t="s">
        <v>336</v>
      </c>
      <c r="C150" s="143">
        <f t="shared" si="4"/>
        <v>0</v>
      </c>
      <c r="D150" s="97"/>
      <c r="E150" s="97"/>
      <c r="F150" s="22"/>
      <c r="H150" s="63" t="e">
        <f>'1.2.sz.mell. '!C150+#REF!+#REF!</f>
        <v>#REF!</v>
      </c>
      <c r="I150" s="74" t="e">
        <f t="shared" si="5"/>
        <v>#REF!</v>
      </c>
    </row>
    <row r="151" spans="1:9" ht="12" customHeight="1" thickBot="1" x14ac:dyDescent="0.3">
      <c r="A151" s="9" t="s">
        <v>13</v>
      </c>
      <c r="B151" s="142" t="s">
        <v>337</v>
      </c>
      <c r="C151" s="136">
        <f t="shared" si="4"/>
        <v>0</v>
      </c>
      <c r="D151" s="145"/>
      <c r="E151" s="146"/>
      <c r="F151" s="147"/>
      <c r="H151" s="63" t="e">
        <f>'1.2.sz.mell. '!C151+#REF!+#REF!</f>
        <v>#REF!</v>
      </c>
      <c r="I151" s="63" t="e">
        <f t="shared" si="5"/>
        <v>#REF!</v>
      </c>
    </row>
    <row r="152" spans="1:9" ht="12" customHeight="1" thickBot="1" x14ac:dyDescent="0.3">
      <c r="A152" s="9" t="s">
        <v>14</v>
      </c>
      <c r="B152" s="142" t="s">
        <v>338</v>
      </c>
      <c r="C152" s="136">
        <f t="shared" si="4"/>
        <v>0</v>
      </c>
      <c r="D152" s="145"/>
      <c r="E152" s="146"/>
      <c r="F152" s="147"/>
      <c r="H152" s="63" t="e">
        <f>'1.2.sz.mell. '!C152+#REF!+#REF!</f>
        <v>#REF!</v>
      </c>
      <c r="I152" s="63" t="e">
        <f t="shared" si="5"/>
        <v>#REF!</v>
      </c>
    </row>
    <row r="153" spans="1:9" ht="15" customHeight="1" thickBot="1" x14ac:dyDescent="0.3">
      <c r="A153" s="9" t="s">
        <v>15</v>
      </c>
      <c r="B153" s="142" t="s">
        <v>339</v>
      </c>
      <c r="C153" s="136">
        <f t="shared" si="4"/>
        <v>146654295</v>
      </c>
      <c r="D153" s="47">
        <f>+D129+D133+D140+D145+D151+D152</f>
        <v>146654295</v>
      </c>
      <c r="E153" s="148">
        <f>+E129+E133+E140+E145+E151+E152</f>
        <v>0</v>
      </c>
      <c r="F153" s="148">
        <f>+F129+F133+F140+F145+F151+F152</f>
        <v>0</v>
      </c>
      <c r="G153" s="37"/>
      <c r="H153" s="63" t="e">
        <f>'1.2.sz.mell. '!C153+#REF!+#REF!</f>
        <v>#REF!</v>
      </c>
      <c r="I153" s="63" t="e">
        <f t="shared" si="5"/>
        <v>#REF!</v>
      </c>
    </row>
    <row r="154" spans="1:9" s="36" customFormat="1" ht="12.95" customHeight="1" thickBot="1" x14ac:dyDescent="0.25">
      <c r="A154" s="24" t="s">
        <v>16</v>
      </c>
      <c r="B154" s="149" t="s">
        <v>340</v>
      </c>
      <c r="C154" s="136">
        <f t="shared" si="4"/>
        <v>3249571386</v>
      </c>
      <c r="D154" s="47">
        <f>+D128+D153</f>
        <v>1475609193</v>
      </c>
      <c r="E154" s="148">
        <f>+E128+E153</f>
        <v>244350438</v>
      </c>
      <c r="F154" s="148">
        <f>+F128+F153</f>
        <v>1529611755</v>
      </c>
      <c r="H154" s="63" t="e">
        <f>'1.2.sz.mell. '!C154+#REF!+#REF!</f>
        <v>#REF!</v>
      </c>
      <c r="I154" s="63" t="e">
        <f t="shared" si="5"/>
        <v>#REF!</v>
      </c>
    </row>
    <row r="155" spans="1:9" ht="7.5" customHeight="1" x14ac:dyDescent="0.25">
      <c r="C155" s="31"/>
    </row>
    <row r="156" spans="1:9" x14ac:dyDescent="0.25">
      <c r="A156" s="475" t="s">
        <v>341</v>
      </c>
      <c r="B156" s="475"/>
      <c r="C156" s="475"/>
    </row>
    <row r="157" spans="1:9" ht="15" customHeight="1" thickBot="1" x14ac:dyDescent="0.3">
      <c r="A157" s="472" t="s">
        <v>342</v>
      </c>
      <c r="B157" s="472"/>
      <c r="C157" s="25" t="s">
        <v>149</v>
      </c>
    </row>
    <row r="158" spans="1:9" ht="13.5" customHeight="1" thickBot="1" x14ac:dyDescent="0.3">
      <c r="A158" s="9">
        <v>1</v>
      </c>
      <c r="B158" s="12" t="s">
        <v>343</v>
      </c>
      <c r="C158" s="62">
        <f>+C62-C128</f>
        <v>-728270827</v>
      </c>
    </row>
    <row r="159" spans="1:9" ht="27.75" customHeight="1" thickBot="1" x14ac:dyDescent="0.3">
      <c r="A159" s="9" t="s">
        <v>7</v>
      </c>
      <c r="B159" s="12" t="s">
        <v>344</v>
      </c>
      <c r="C159" s="62">
        <f>+C86-C153</f>
        <v>728270827</v>
      </c>
      <c r="H159" s="57" t="e">
        <f>C154-H154</f>
        <v>#REF!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
&amp;R&amp;"Times New Roman CE,Félkövér dőlt"&amp;11 1. melléklet a 7/2019.(III.14.) önkormányzati rendelethez</oddHeader>
  </headerFooter>
  <rowBreaks count="1" manualBreakCount="1">
    <brk id="88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60"/>
  <sheetViews>
    <sheetView view="pageLayout" topLeftCell="A89" zoomScale="85" zoomScaleNormal="115" zoomScaleSheetLayoutView="100" zoomScalePageLayoutView="85" workbookViewId="0">
      <selection activeCell="H93" sqref="H93"/>
    </sheetView>
  </sheetViews>
  <sheetFormatPr defaultRowHeight="15.75" x14ac:dyDescent="0.25"/>
  <cols>
    <col min="1" max="1" width="9.5" style="30" customWidth="1"/>
    <col min="2" max="2" width="79" style="30" customWidth="1"/>
    <col min="3" max="3" width="21.6640625" style="150" customWidth="1"/>
    <col min="4" max="4" width="19.33203125" style="34" hidden="1" customWidth="1"/>
    <col min="5" max="5" width="15.83203125" style="34" hidden="1" customWidth="1"/>
    <col min="6" max="6" width="21.83203125" style="34" hidden="1" customWidth="1"/>
    <col min="7" max="16384" width="9.33203125" style="34"/>
  </cols>
  <sheetData>
    <row r="1" spans="1:6" ht="15.95" customHeight="1" x14ac:dyDescent="0.25">
      <c r="A1" s="473" t="s">
        <v>3</v>
      </c>
      <c r="B1" s="473"/>
      <c r="C1" s="473"/>
    </row>
    <row r="2" spans="1:6" ht="15.95" customHeight="1" thickBot="1" x14ac:dyDescent="0.3">
      <c r="A2" s="472" t="s">
        <v>64</v>
      </c>
      <c r="B2" s="472"/>
      <c r="C2" s="25" t="s">
        <v>149</v>
      </c>
    </row>
    <row r="3" spans="1:6" ht="38.1" customHeight="1" thickBot="1" x14ac:dyDescent="0.3">
      <c r="A3" s="10" t="s">
        <v>44</v>
      </c>
      <c r="B3" s="11" t="s">
        <v>5</v>
      </c>
      <c r="C3" s="59" t="s">
        <v>148</v>
      </c>
      <c r="D3" s="30" t="s">
        <v>150</v>
      </c>
      <c r="E3" s="30" t="s">
        <v>151</v>
      </c>
      <c r="F3" s="30" t="s">
        <v>152</v>
      </c>
    </row>
    <row r="4" spans="1:6" s="35" customFormat="1" ht="12" customHeight="1" thickBot="1" x14ac:dyDescent="0.25">
      <c r="A4" s="32" t="s">
        <v>122</v>
      </c>
      <c r="B4" s="33" t="s">
        <v>123</v>
      </c>
      <c r="C4" s="60" t="s">
        <v>124</v>
      </c>
    </row>
    <row r="5" spans="1:6" s="36" customFormat="1" ht="12" customHeight="1" thickBot="1" x14ac:dyDescent="0.25">
      <c r="A5" s="9" t="s">
        <v>6</v>
      </c>
      <c r="B5" s="61" t="s">
        <v>153</v>
      </c>
      <c r="C5" s="62">
        <f t="shared" ref="C5:C68" si="0">SUM(D5:F5)</f>
        <v>955758885</v>
      </c>
      <c r="D5" s="43">
        <f>+D6+D7+D8+D9+D10+D11</f>
        <v>955758885</v>
      </c>
      <c r="E5" s="62">
        <f>+E6+E7+E8+E9+E10+E11</f>
        <v>0</v>
      </c>
      <c r="F5" s="62">
        <f>+F6+F7+F8+F9+F10+F11</f>
        <v>0</v>
      </c>
    </row>
    <row r="6" spans="1:6" s="36" customFormat="1" ht="12" customHeight="1" x14ac:dyDescent="0.2">
      <c r="A6" s="7" t="s">
        <v>48</v>
      </c>
      <c r="B6" s="64" t="s">
        <v>154</v>
      </c>
      <c r="C6" s="154">
        <f t="shared" si="0"/>
        <v>228389971</v>
      </c>
      <c r="D6" s="83">
        <f>227855923+534048</f>
        <v>228389971</v>
      </c>
      <c r="E6" s="65"/>
      <c r="F6" s="65"/>
    </row>
    <row r="7" spans="1:6" s="36" customFormat="1" ht="12" customHeight="1" x14ac:dyDescent="0.2">
      <c r="A7" s="6" t="s">
        <v>49</v>
      </c>
      <c r="B7" s="67" t="s">
        <v>155</v>
      </c>
      <c r="C7" s="78">
        <f t="shared" si="0"/>
        <v>227307468</v>
      </c>
      <c r="D7" s="86">
        <f>224734134+735168+2268933-430767</f>
        <v>227307468</v>
      </c>
      <c r="E7" s="69"/>
      <c r="F7" s="69"/>
    </row>
    <row r="8" spans="1:6" s="36" customFormat="1" ht="12" customHeight="1" x14ac:dyDescent="0.2">
      <c r="A8" s="6" t="s">
        <v>50</v>
      </c>
      <c r="B8" s="67" t="s">
        <v>345</v>
      </c>
      <c r="C8" s="78">
        <f t="shared" si="0"/>
        <v>458722106</v>
      </c>
      <c r="D8" s="86">
        <f>126991000+65060600+192410145+62092600+7543000-2426400+8618094-5657410+4090477</f>
        <v>458722106</v>
      </c>
      <c r="E8" s="69"/>
      <c r="F8" s="69"/>
    </row>
    <row r="9" spans="1:6" s="36" customFormat="1" ht="12" customHeight="1" x14ac:dyDescent="0.2">
      <c r="A9" s="6" t="s">
        <v>51</v>
      </c>
      <c r="B9" s="67" t="s">
        <v>157</v>
      </c>
      <c r="C9" s="78">
        <f t="shared" si="0"/>
        <v>21974226</v>
      </c>
      <c r="D9" s="86">
        <f>16122040+1398336+4545780+305691-397621</f>
        <v>21974226</v>
      </c>
      <c r="E9" s="69"/>
      <c r="F9" s="69"/>
    </row>
    <row r="10" spans="1:6" s="36" customFormat="1" ht="12" customHeight="1" x14ac:dyDescent="0.2">
      <c r="A10" s="6" t="s">
        <v>63</v>
      </c>
      <c r="B10" s="71" t="s">
        <v>158</v>
      </c>
      <c r="C10" s="78">
        <f t="shared" si="0"/>
        <v>19365114</v>
      </c>
      <c r="D10" s="86">
        <f>16254886+190231327+1309600+298022-4545780-8453447-1002120-15000000+7332000-58000000+6500000-1330167-114229207</f>
        <v>19365114</v>
      </c>
      <c r="E10" s="69"/>
      <c r="F10" s="69"/>
    </row>
    <row r="11" spans="1:6" s="36" customFormat="1" ht="12" customHeight="1" thickBot="1" x14ac:dyDescent="0.25">
      <c r="A11" s="8" t="s">
        <v>52</v>
      </c>
      <c r="B11" s="23" t="s">
        <v>159</v>
      </c>
      <c r="C11" s="152">
        <f t="shared" si="0"/>
        <v>0</v>
      </c>
      <c r="D11" s="22"/>
      <c r="E11" s="73"/>
      <c r="F11" s="73"/>
    </row>
    <row r="12" spans="1:6" s="36" customFormat="1" ht="12" customHeight="1" thickBot="1" x14ac:dyDescent="0.25">
      <c r="A12" s="9" t="s">
        <v>7</v>
      </c>
      <c r="B12" s="75" t="s">
        <v>160</v>
      </c>
      <c r="C12" s="62">
        <f t="shared" si="0"/>
        <v>119005816</v>
      </c>
      <c r="D12" s="43">
        <f>+D13+D14+D15+D16+D17</f>
        <v>115888959</v>
      </c>
      <c r="E12" s="62">
        <f>+E13+E14+E15+E16+E17</f>
        <v>3116857</v>
      </c>
      <c r="F12" s="62">
        <f>+F13+F14+F15+F16+F17</f>
        <v>0</v>
      </c>
    </row>
    <row r="13" spans="1:6" s="36" customFormat="1" ht="12" customHeight="1" x14ac:dyDescent="0.2">
      <c r="A13" s="7" t="s">
        <v>54</v>
      </c>
      <c r="B13" s="64" t="s">
        <v>80</v>
      </c>
      <c r="C13" s="91">
        <f t="shared" si="0"/>
        <v>0</v>
      </c>
      <c r="D13" s="44"/>
      <c r="E13" s="77"/>
      <c r="F13" s="77"/>
    </row>
    <row r="14" spans="1:6" s="36" customFormat="1" ht="12" customHeight="1" x14ac:dyDescent="0.2">
      <c r="A14" s="6" t="s">
        <v>55</v>
      </c>
      <c r="B14" s="67" t="s">
        <v>161</v>
      </c>
      <c r="C14" s="153">
        <f t="shared" si="0"/>
        <v>0</v>
      </c>
      <c r="D14" s="22"/>
      <c r="E14" s="73"/>
      <c r="F14" s="73"/>
    </row>
    <row r="15" spans="1:6" s="36" customFormat="1" ht="12" customHeight="1" x14ac:dyDescent="0.2">
      <c r="A15" s="6" t="s">
        <v>56</v>
      </c>
      <c r="B15" s="67" t="s">
        <v>162</v>
      </c>
      <c r="C15" s="78">
        <f t="shared" si="0"/>
        <v>0</v>
      </c>
      <c r="D15" s="22"/>
      <c r="E15" s="73"/>
      <c r="F15" s="73"/>
    </row>
    <row r="16" spans="1:6" s="36" customFormat="1" ht="12" customHeight="1" x14ac:dyDescent="0.2">
      <c r="A16" s="6" t="s">
        <v>57</v>
      </c>
      <c r="B16" s="67" t="s">
        <v>163</v>
      </c>
      <c r="C16" s="78">
        <f t="shared" si="0"/>
        <v>0</v>
      </c>
      <c r="D16" s="22"/>
      <c r="E16" s="73"/>
      <c r="F16" s="73"/>
    </row>
    <row r="17" spans="1:6" s="36" customFormat="1" ht="12" customHeight="1" x14ac:dyDescent="0.2">
      <c r="A17" s="6" t="s">
        <v>164</v>
      </c>
      <c r="B17" s="67" t="s">
        <v>165</v>
      </c>
      <c r="C17" s="78">
        <f t="shared" si="0"/>
        <v>119005816</v>
      </c>
      <c r="D17" s="86">
        <f>4320000+24250000-344442+85531256+1831815+11367000+1154934-11367000+145396-1000000</f>
        <v>115888959</v>
      </c>
      <c r="E17" s="80">
        <f>3096237+20620</f>
        <v>3116857</v>
      </c>
      <c r="F17" s="69"/>
    </row>
    <row r="18" spans="1:6" s="36" customFormat="1" ht="12" customHeight="1" thickBot="1" x14ac:dyDescent="0.25">
      <c r="A18" s="8" t="s">
        <v>166</v>
      </c>
      <c r="B18" s="23" t="s">
        <v>167</v>
      </c>
      <c r="C18" s="152">
        <f t="shared" si="0"/>
        <v>85531256</v>
      </c>
      <c r="D18" s="97">
        <v>85531256</v>
      </c>
      <c r="E18" s="82"/>
      <c r="F18" s="82"/>
    </row>
    <row r="19" spans="1:6" s="36" customFormat="1" ht="12" customHeight="1" thickBot="1" x14ac:dyDescent="0.25">
      <c r="A19" s="9" t="s">
        <v>8</v>
      </c>
      <c r="B19" s="61" t="s">
        <v>168</v>
      </c>
      <c r="C19" s="62">
        <f t="shared" si="0"/>
        <v>78557723</v>
      </c>
      <c r="D19" s="43">
        <f>+D20+D21+D22+D23+D24</f>
        <v>78557723</v>
      </c>
      <c r="E19" s="62">
        <f>+E20+E21+E22+E23+E24</f>
        <v>0</v>
      </c>
      <c r="F19" s="62">
        <f>+F20+F21+F22+F23+F24</f>
        <v>0</v>
      </c>
    </row>
    <row r="20" spans="1:6" s="36" customFormat="1" ht="12" customHeight="1" x14ac:dyDescent="0.2">
      <c r="A20" s="7" t="s">
        <v>169</v>
      </c>
      <c r="B20" s="64" t="s">
        <v>81</v>
      </c>
      <c r="C20" s="154">
        <f t="shared" si="0"/>
        <v>19753000</v>
      </c>
      <c r="D20" s="83">
        <f>322000+19431000</f>
        <v>19753000</v>
      </c>
      <c r="E20" s="84"/>
      <c r="F20" s="84"/>
    </row>
    <row r="21" spans="1:6" s="36" customFormat="1" ht="12" customHeight="1" x14ac:dyDescent="0.2">
      <c r="A21" s="6" t="s">
        <v>170</v>
      </c>
      <c r="B21" s="67" t="s">
        <v>171</v>
      </c>
      <c r="C21" s="153">
        <f t="shared" si="0"/>
        <v>0</v>
      </c>
      <c r="D21" s="86"/>
      <c r="E21" s="69"/>
      <c r="F21" s="69"/>
    </row>
    <row r="22" spans="1:6" s="36" customFormat="1" ht="12" customHeight="1" x14ac:dyDescent="0.2">
      <c r="A22" s="6" t="s">
        <v>172</v>
      </c>
      <c r="B22" s="67" t="s">
        <v>173</v>
      </c>
      <c r="C22" s="78">
        <f t="shared" si="0"/>
        <v>0</v>
      </c>
      <c r="D22" s="86"/>
      <c r="E22" s="69"/>
      <c r="F22" s="69"/>
    </row>
    <row r="23" spans="1:6" s="36" customFormat="1" ht="12" customHeight="1" x14ac:dyDescent="0.2">
      <c r="A23" s="6" t="s">
        <v>174</v>
      </c>
      <c r="B23" s="67" t="s">
        <v>175</v>
      </c>
      <c r="C23" s="78">
        <f t="shared" si="0"/>
        <v>0</v>
      </c>
      <c r="D23" s="86"/>
      <c r="E23" s="69"/>
      <c r="F23" s="69"/>
    </row>
    <row r="24" spans="1:6" s="36" customFormat="1" ht="12" customHeight="1" x14ac:dyDescent="0.2">
      <c r="A24" s="6" t="s">
        <v>176</v>
      </c>
      <c r="B24" s="67" t="s">
        <v>177</v>
      </c>
      <c r="C24" s="78">
        <f t="shared" si="0"/>
        <v>58804723</v>
      </c>
      <c r="D24" s="86">
        <f>5866130+3779393+3796748+55505576+136269-10279393</f>
        <v>58804723</v>
      </c>
      <c r="E24" s="69"/>
      <c r="F24" s="69"/>
    </row>
    <row r="25" spans="1:6" s="36" customFormat="1" ht="12" customHeight="1" thickBot="1" x14ac:dyDescent="0.25">
      <c r="A25" s="8" t="s">
        <v>178</v>
      </c>
      <c r="B25" s="87" t="s">
        <v>179</v>
      </c>
      <c r="C25" s="152">
        <f t="shared" si="0"/>
        <v>58668454</v>
      </c>
      <c r="D25" s="81">
        <f>9645523+3796748+55505576-10279393</f>
        <v>58668454</v>
      </c>
      <c r="E25" s="82"/>
      <c r="F25" s="98"/>
    </row>
    <row r="26" spans="1:6" s="36" customFormat="1" ht="12" customHeight="1" thickBot="1" x14ac:dyDescent="0.25">
      <c r="A26" s="9" t="s">
        <v>66</v>
      </c>
      <c r="B26" s="61" t="s">
        <v>82</v>
      </c>
      <c r="C26" s="62">
        <f t="shared" si="0"/>
        <v>402108000</v>
      </c>
      <c r="D26" s="88">
        <f>+D27+D31+D32+D33</f>
        <v>402108000</v>
      </c>
      <c r="E26" s="89">
        <f>+E27+E31+E32+E33</f>
        <v>0</v>
      </c>
      <c r="F26" s="89">
        <f>+F27+F31+F32+F33</f>
        <v>0</v>
      </c>
    </row>
    <row r="27" spans="1:6" s="36" customFormat="1" ht="12" customHeight="1" x14ac:dyDescent="0.2">
      <c r="A27" s="7" t="s">
        <v>83</v>
      </c>
      <c r="B27" s="64" t="s">
        <v>125</v>
      </c>
      <c r="C27" s="91">
        <f t="shared" si="0"/>
        <v>361554000</v>
      </c>
      <c r="D27" s="90">
        <f>SUM(D28:D30)</f>
        <v>361554000</v>
      </c>
      <c r="E27" s="91"/>
      <c r="F27" s="91"/>
    </row>
    <row r="28" spans="1:6" s="36" customFormat="1" ht="12" customHeight="1" x14ac:dyDescent="0.2">
      <c r="A28" s="6" t="s">
        <v>180</v>
      </c>
      <c r="B28" s="67" t="s">
        <v>87</v>
      </c>
      <c r="C28" s="78">
        <f t="shared" si="0"/>
        <v>76900000</v>
      </c>
      <c r="D28" s="22">
        <f>77500000+5000000-5600000</f>
        <v>76900000</v>
      </c>
      <c r="E28" s="73"/>
      <c r="F28" s="73"/>
    </row>
    <row r="29" spans="1:6" s="36" customFormat="1" ht="12" customHeight="1" x14ac:dyDescent="0.2">
      <c r="A29" s="6" t="s">
        <v>181</v>
      </c>
      <c r="B29" s="67" t="s">
        <v>346</v>
      </c>
      <c r="C29" s="78">
        <f t="shared" si="0"/>
        <v>284654000</v>
      </c>
      <c r="D29" s="22">
        <f>231154000+52000000+50000000-48500000</f>
        <v>284654000</v>
      </c>
      <c r="E29" s="73"/>
      <c r="F29" s="73"/>
    </row>
    <row r="30" spans="1:6" s="36" customFormat="1" ht="12" customHeight="1" x14ac:dyDescent="0.2">
      <c r="A30" s="6" t="s">
        <v>347</v>
      </c>
      <c r="B30" s="67" t="s">
        <v>140</v>
      </c>
      <c r="C30" s="78">
        <f t="shared" si="0"/>
        <v>0</v>
      </c>
      <c r="D30" s="86"/>
      <c r="E30" s="69"/>
      <c r="F30" s="69"/>
    </row>
    <row r="31" spans="1:6" s="36" customFormat="1" ht="12" customHeight="1" x14ac:dyDescent="0.2">
      <c r="A31" s="6" t="s">
        <v>84</v>
      </c>
      <c r="B31" s="67" t="s">
        <v>88</v>
      </c>
      <c r="C31" s="78">
        <f t="shared" si="0"/>
        <v>30050000</v>
      </c>
      <c r="D31" s="22">
        <f>28000000+3000000-950000</f>
        <v>30050000</v>
      </c>
      <c r="E31" s="73"/>
      <c r="F31" s="69"/>
    </row>
    <row r="32" spans="1:6" s="36" customFormat="1" ht="12" customHeight="1" x14ac:dyDescent="0.2">
      <c r="A32" s="6" t="s">
        <v>85</v>
      </c>
      <c r="B32" s="67" t="s">
        <v>89</v>
      </c>
      <c r="C32" s="78">
        <f t="shared" si="0"/>
        <v>4000</v>
      </c>
      <c r="D32" s="22">
        <f>4504000-4500000</f>
        <v>4000</v>
      </c>
      <c r="E32" s="73"/>
      <c r="F32" s="69"/>
    </row>
    <row r="33" spans="1:6" s="36" customFormat="1" ht="12" customHeight="1" thickBot="1" x14ac:dyDescent="0.25">
      <c r="A33" s="8" t="s">
        <v>86</v>
      </c>
      <c r="B33" s="87" t="s">
        <v>90</v>
      </c>
      <c r="C33" s="152">
        <f t="shared" si="0"/>
        <v>10500000</v>
      </c>
      <c r="D33" s="81">
        <f>11500000+4500000-5500000</f>
        <v>10500000</v>
      </c>
      <c r="E33" s="82"/>
      <c r="F33" s="82"/>
    </row>
    <row r="34" spans="1:6" s="36" customFormat="1" ht="12" customHeight="1" thickBot="1" x14ac:dyDescent="0.25">
      <c r="A34" s="9" t="s">
        <v>10</v>
      </c>
      <c r="B34" s="61" t="s">
        <v>183</v>
      </c>
      <c r="C34" s="62">
        <f t="shared" si="0"/>
        <v>211521039</v>
      </c>
      <c r="D34" s="43">
        <f>SUM(D35:D45)</f>
        <v>8430527</v>
      </c>
      <c r="E34" s="62">
        <f>SUM(E35:E45)</f>
        <v>2005440</v>
      </c>
      <c r="F34" s="62">
        <f>SUM(F35:F45)</f>
        <v>201085072</v>
      </c>
    </row>
    <row r="35" spans="1:6" s="36" customFormat="1" ht="12" customHeight="1" x14ac:dyDescent="0.2">
      <c r="A35" s="7" t="s">
        <v>45</v>
      </c>
      <c r="B35" s="64" t="s">
        <v>91</v>
      </c>
      <c r="C35" s="154">
        <f t="shared" si="0"/>
        <v>89845</v>
      </c>
      <c r="D35" s="83"/>
      <c r="E35" s="65"/>
      <c r="F35" s="65">
        <f>20000+69845</f>
        <v>89845</v>
      </c>
    </row>
    <row r="36" spans="1:6" s="36" customFormat="1" ht="12" customHeight="1" x14ac:dyDescent="0.2">
      <c r="A36" s="6" t="s">
        <v>46</v>
      </c>
      <c r="B36" s="67" t="s">
        <v>92</v>
      </c>
      <c r="C36" s="78">
        <f t="shared" si="0"/>
        <v>67194397</v>
      </c>
      <c r="D36" s="86">
        <f>13910169+100000+7239600-5170400+70000+3200000</f>
        <v>19349369</v>
      </c>
      <c r="E36" s="69">
        <f>1198440+380000</f>
        <v>1578440</v>
      </c>
      <c r="F36" s="65">
        <v>46266588</v>
      </c>
    </row>
    <row r="37" spans="1:6" s="36" customFormat="1" ht="12" customHeight="1" x14ac:dyDescent="0.2">
      <c r="A37" s="6" t="s">
        <v>47</v>
      </c>
      <c r="B37" s="67" t="s">
        <v>93</v>
      </c>
      <c r="C37" s="78">
        <f t="shared" si="0"/>
        <v>65574504</v>
      </c>
      <c r="D37" s="86">
        <f>500000+300000+50000+1400000+947000+300000+52200+2500000+114855-26795615+400000+723064-1437000</f>
        <v>-20945496</v>
      </c>
      <c r="E37" s="69"/>
      <c r="F37" s="65">
        <v>86520000</v>
      </c>
    </row>
    <row r="38" spans="1:6" s="36" customFormat="1" ht="12" customHeight="1" x14ac:dyDescent="0.2">
      <c r="A38" s="6" t="s">
        <v>184</v>
      </c>
      <c r="B38" s="67" t="s">
        <v>94</v>
      </c>
      <c r="C38" s="78">
        <f t="shared" si="0"/>
        <v>430000</v>
      </c>
      <c r="D38" s="86">
        <v>430000</v>
      </c>
      <c r="E38" s="69"/>
      <c r="F38" s="65"/>
    </row>
    <row r="39" spans="1:6" s="36" customFormat="1" ht="12" customHeight="1" x14ac:dyDescent="0.2">
      <c r="A39" s="6" t="s">
        <v>185</v>
      </c>
      <c r="B39" s="67" t="s">
        <v>95</v>
      </c>
      <c r="C39" s="78">
        <f t="shared" si="0"/>
        <v>18466618</v>
      </c>
      <c r="D39" s="86"/>
      <c r="E39" s="69"/>
      <c r="F39" s="65">
        <f>21166618-2700000</f>
        <v>18466618</v>
      </c>
    </row>
    <row r="40" spans="1:6" s="36" customFormat="1" ht="12" customHeight="1" x14ac:dyDescent="0.2">
      <c r="A40" s="6" t="s">
        <v>186</v>
      </c>
      <c r="B40" s="67" t="s">
        <v>187</v>
      </c>
      <c r="C40" s="78">
        <f t="shared" si="0"/>
        <v>33157629</v>
      </c>
      <c r="D40" s="86">
        <f>5162000+81000+13500+378000+81000+14094+682000+1954692+675000+31010-7234816+18900+108000+195228-590000-370000</f>
        <v>1199608</v>
      </c>
      <c r="E40" s="69">
        <f>324000+103000</f>
        <v>427000</v>
      </c>
      <c r="F40" s="65">
        <f>31512166+18855</f>
        <v>31531021</v>
      </c>
    </row>
    <row r="41" spans="1:6" s="36" customFormat="1" ht="12" customHeight="1" x14ac:dyDescent="0.2">
      <c r="A41" s="6" t="s">
        <v>188</v>
      </c>
      <c r="B41" s="67" t="s">
        <v>189</v>
      </c>
      <c r="C41" s="78">
        <f t="shared" si="0"/>
        <v>18210000</v>
      </c>
      <c r="D41" s="86"/>
      <c r="E41" s="69"/>
      <c r="F41" s="65">
        <v>18210000</v>
      </c>
    </row>
    <row r="42" spans="1:6" s="36" customFormat="1" ht="12" customHeight="1" x14ac:dyDescent="0.2">
      <c r="A42" s="6" t="s">
        <v>190</v>
      </c>
      <c r="B42" s="67" t="s">
        <v>348</v>
      </c>
      <c r="C42" s="78">
        <f t="shared" si="0"/>
        <v>31000</v>
      </c>
      <c r="D42" s="86">
        <v>30000</v>
      </c>
      <c r="E42" s="69"/>
      <c r="F42" s="65">
        <v>1000</v>
      </c>
    </row>
    <row r="43" spans="1:6" s="36" customFormat="1" ht="12" customHeight="1" x14ac:dyDescent="0.2">
      <c r="A43" s="6" t="s">
        <v>192</v>
      </c>
      <c r="B43" s="67" t="s">
        <v>97</v>
      </c>
      <c r="C43" s="78">
        <f t="shared" si="0"/>
        <v>0</v>
      </c>
      <c r="D43" s="86"/>
      <c r="E43" s="69"/>
      <c r="F43" s="65"/>
    </row>
    <row r="44" spans="1:6" s="36" customFormat="1" ht="12" customHeight="1" x14ac:dyDescent="0.2">
      <c r="A44" s="8" t="s">
        <v>193</v>
      </c>
      <c r="B44" s="87" t="s">
        <v>126</v>
      </c>
      <c r="C44" s="78">
        <f t="shared" si="0"/>
        <v>200000</v>
      </c>
      <c r="D44" s="81">
        <f>500000-300000</f>
        <v>200000</v>
      </c>
      <c r="E44" s="82"/>
      <c r="F44" s="82"/>
    </row>
    <row r="45" spans="1:6" s="36" customFormat="1" ht="12" customHeight="1" thickBot="1" x14ac:dyDescent="0.25">
      <c r="A45" s="8" t="s">
        <v>194</v>
      </c>
      <c r="B45" s="23" t="s">
        <v>98</v>
      </c>
      <c r="C45" s="152">
        <f t="shared" si="0"/>
        <v>8167046</v>
      </c>
      <c r="D45" s="81">
        <f>600000+1577143+3223528+1452268+1003094+130141+180000-1534128+1535000</f>
        <v>8167046</v>
      </c>
      <c r="E45" s="82"/>
      <c r="F45" s="124"/>
    </row>
    <row r="46" spans="1:6" s="36" customFormat="1" ht="12" customHeight="1" thickBot="1" x14ac:dyDescent="0.25">
      <c r="A46" s="9" t="s">
        <v>11</v>
      </c>
      <c r="B46" s="61" t="s">
        <v>195</v>
      </c>
      <c r="C46" s="62">
        <f t="shared" si="0"/>
        <v>30332500</v>
      </c>
      <c r="D46" s="43">
        <f>SUM(D47:D51)</f>
        <v>30332500</v>
      </c>
      <c r="E46" s="62">
        <f>SUM(E47:E51)</f>
        <v>0</v>
      </c>
      <c r="F46" s="62">
        <f>SUM(F47:F51)</f>
        <v>0</v>
      </c>
    </row>
    <row r="47" spans="1:6" s="36" customFormat="1" ht="12" customHeight="1" x14ac:dyDescent="0.2">
      <c r="A47" s="7" t="s">
        <v>196</v>
      </c>
      <c r="B47" s="64" t="s">
        <v>99</v>
      </c>
      <c r="C47" s="91">
        <f t="shared" si="0"/>
        <v>0</v>
      </c>
      <c r="D47" s="83"/>
      <c r="E47" s="65"/>
      <c r="F47" s="65"/>
    </row>
    <row r="48" spans="1:6" s="36" customFormat="1" ht="12" customHeight="1" x14ac:dyDescent="0.2">
      <c r="A48" s="6" t="s">
        <v>197</v>
      </c>
      <c r="B48" s="67" t="s">
        <v>100</v>
      </c>
      <c r="C48" s="153">
        <f>SUM(D48:F48)</f>
        <v>30332500</v>
      </c>
      <c r="D48" s="86">
        <v>30332500</v>
      </c>
      <c r="E48" s="69"/>
      <c r="F48" s="69"/>
    </row>
    <row r="49" spans="1:6" s="36" customFormat="1" ht="12" customHeight="1" x14ac:dyDescent="0.2">
      <c r="A49" s="6" t="s">
        <v>198</v>
      </c>
      <c r="B49" s="67" t="s">
        <v>101</v>
      </c>
      <c r="C49" s="153">
        <f t="shared" si="0"/>
        <v>0</v>
      </c>
      <c r="D49" s="86"/>
      <c r="E49" s="69"/>
      <c r="F49" s="69"/>
    </row>
    <row r="50" spans="1:6" s="36" customFormat="1" ht="12" customHeight="1" x14ac:dyDescent="0.2">
      <c r="A50" s="6" t="s">
        <v>199</v>
      </c>
      <c r="B50" s="67" t="s">
        <v>200</v>
      </c>
      <c r="C50" s="153">
        <f t="shared" si="0"/>
        <v>0</v>
      </c>
      <c r="D50" s="86"/>
      <c r="E50" s="69"/>
      <c r="F50" s="69"/>
    </row>
    <row r="51" spans="1:6" s="36" customFormat="1" ht="12" customHeight="1" thickBot="1" x14ac:dyDescent="0.25">
      <c r="A51" s="8" t="s">
        <v>201</v>
      </c>
      <c r="B51" s="23" t="s">
        <v>202</v>
      </c>
      <c r="C51" s="155">
        <f t="shared" si="0"/>
        <v>0</v>
      </c>
      <c r="D51" s="81"/>
      <c r="E51" s="82"/>
      <c r="F51" s="82"/>
    </row>
    <row r="52" spans="1:6" s="36" customFormat="1" ht="12" customHeight="1" thickBot="1" x14ac:dyDescent="0.25">
      <c r="A52" s="9" t="s">
        <v>68</v>
      </c>
      <c r="B52" s="61" t="s">
        <v>203</v>
      </c>
      <c r="C52" s="62">
        <f t="shared" si="0"/>
        <v>1950000</v>
      </c>
      <c r="D52" s="43">
        <f>SUM(D53:D55)</f>
        <v>1950000</v>
      </c>
      <c r="E52" s="62">
        <f>SUM(E53:E55)</f>
        <v>0</v>
      </c>
      <c r="F52" s="62">
        <f>SUM(F53:F55)</f>
        <v>0</v>
      </c>
    </row>
    <row r="53" spans="1:6" s="36" customFormat="1" ht="12" customHeight="1" x14ac:dyDescent="0.2">
      <c r="A53" s="7" t="s">
        <v>204</v>
      </c>
      <c r="B53" s="64" t="s">
        <v>205</v>
      </c>
      <c r="C53" s="91">
        <f t="shared" si="0"/>
        <v>0</v>
      </c>
      <c r="D53" s="44"/>
      <c r="E53" s="77"/>
      <c r="F53" s="77"/>
    </row>
    <row r="54" spans="1:6" s="36" customFormat="1" ht="12" customHeight="1" x14ac:dyDescent="0.2">
      <c r="A54" s="6" t="s">
        <v>206</v>
      </c>
      <c r="B54" s="67" t="s">
        <v>207</v>
      </c>
      <c r="C54" s="78">
        <f t="shared" si="0"/>
        <v>0</v>
      </c>
      <c r="D54" s="86"/>
      <c r="E54" s="69"/>
      <c r="F54" s="69"/>
    </row>
    <row r="55" spans="1:6" s="36" customFormat="1" ht="12" customHeight="1" x14ac:dyDescent="0.2">
      <c r="A55" s="6" t="s">
        <v>208</v>
      </c>
      <c r="B55" s="67" t="s">
        <v>209</v>
      </c>
      <c r="C55" s="78">
        <f t="shared" si="0"/>
        <v>1950000</v>
      </c>
      <c r="D55" s="86">
        <f>2900000+20000+30000-1000000</f>
        <v>1950000</v>
      </c>
      <c r="E55" s="69"/>
      <c r="F55" s="69"/>
    </row>
    <row r="56" spans="1:6" s="36" customFormat="1" ht="12" customHeight="1" thickBot="1" x14ac:dyDescent="0.25">
      <c r="A56" s="8" t="s">
        <v>210</v>
      </c>
      <c r="B56" s="23" t="s">
        <v>211</v>
      </c>
      <c r="C56" s="152">
        <f t="shared" si="0"/>
        <v>0</v>
      </c>
      <c r="D56" s="97"/>
      <c r="E56" s="98"/>
      <c r="F56" s="98"/>
    </row>
    <row r="57" spans="1:6" s="36" customFormat="1" ht="12" customHeight="1" thickBot="1" x14ac:dyDescent="0.25">
      <c r="A57" s="9" t="s">
        <v>13</v>
      </c>
      <c r="B57" s="75" t="s">
        <v>212</v>
      </c>
      <c r="C57" s="156">
        <f t="shared" si="0"/>
        <v>0</v>
      </c>
      <c r="D57" s="43">
        <f>SUM(D58:D60)</f>
        <v>0</v>
      </c>
      <c r="E57" s="62">
        <f>SUM(E58:E60)</f>
        <v>0</v>
      </c>
      <c r="F57" s="62">
        <f>SUM(F58:F60)</f>
        <v>0</v>
      </c>
    </row>
    <row r="58" spans="1:6" s="36" customFormat="1" ht="12" customHeight="1" x14ac:dyDescent="0.2">
      <c r="A58" s="7" t="s">
        <v>213</v>
      </c>
      <c r="B58" s="64" t="s">
        <v>214</v>
      </c>
      <c r="C58" s="91">
        <f t="shared" si="0"/>
        <v>0</v>
      </c>
      <c r="D58" s="86"/>
      <c r="E58" s="69"/>
      <c r="F58" s="69"/>
    </row>
    <row r="59" spans="1:6" s="36" customFormat="1" ht="12" customHeight="1" x14ac:dyDescent="0.2">
      <c r="A59" s="6" t="s">
        <v>215</v>
      </c>
      <c r="B59" s="67" t="s">
        <v>216</v>
      </c>
      <c r="C59" s="78">
        <f t="shared" si="0"/>
        <v>0</v>
      </c>
      <c r="D59" s="86"/>
      <c r="E59" s="69"/>
      <c r="F59" s="69"/>
    </row>
    <row r="60" spans="1:6" s="36" customFormat="1" ht="12" customHeight="1" x14ac:dyDescent="0.2">
      <c r="A60" s="6" t="s">
        <v>217</v>
      </c>
      <c r="B60" s="67" t="s">
        <v>218</v>
      </c>
      <c r="C60" s="78">
        <f t="shared" si="0"/>
        <v>0</v>
      </c>
      <c r="D60" s="86"/>
      <c r="E60" s="69"/>
      <c r="F60" s="69"/>
    </row>
    <row r="61" spans="1:6" s="36" customFormat="1" ht="12" customHeight="1" thickBot="1" x14ac:dyDescent="0.25">
      <c r="A61" s="8" t="s">
        <v>219</v>
      </c>
      <c r="B61" s="23" t="s">
        <v>220</v>
      </c>
      <c r="C61" s="155">
        <f t="shared" si="0"/>
        <v>0</v>
      </c>
      <c r="D61" s="86"/>
      <c r="E61" s="69"/>
      <c r="F61" s="69"/>
    </row>
    <row r="62" spans="1:6" s="36" customFormat="1" ht="12" customHeight="1" thickBot="1" x14ac:dyDescent="0.25">
      <c r="A62" s="99" t="s">
        <v>221</v>
      </c>
      <c r="B62" s="61" t="s">
        <v>102</v>
      </c>
      <c r="C62" s="62">
        <f t="shared" si="0"/>
        <v>1799233963</v>
      </c>
      <c r="D62" s="88">
        <f>+D5+D12+D19+D26+D34+D46+D52+D57</f>
        <v>1593026594</v>
      </c>
      <c r="E62" s="89">
        <f>+E5+E12+E19+E26+E34+E46+E52+E57</f>
        <v>5122297</v>
      </c>
      <c r="F62" s="89">
        <f>+F5+F12+F19+F26+F34+F46+F52+F57</f>
        <v>201085072</v>
      </c>
    </row>
    <row r="63" spans="1:6" s="36" customFormat="1" ht="12" customHeight="1" thickBot="1" x14ac:dyDescent="0.25">
      <c r="A63" s="100" t="s">
        <v>222</v>
      </c>
      <c r="B63" s="75" t="s">
        <v>223</v>
      </c>
      <c r="C63" s="156">
        <f t="shared" si="0"/>
        <v>212343590</v>
      </c>
      <c r="D63" s="43">
        <f>SUM(D64:D66)</f>
        <v>212343590</v>
      </c>
      <c r="E63" s="62">
        <f>SUM(E64:E66)</f>
        <v>0</v>
      </c>
      <c r="F63" s="62">
        <f>SUM(F64:F66)</f>
        <v>0</v>
      </c>
    </row>
    <row r="64" spans="1:6" s="36" customFormat="1" ht="12" customHeight="1" x14ac:dyDescent="0.2">
      <c r="A64" s="7" t="s">
        <v>224</v>
      </c>
      <c r="B64" s="64" t="s">
        <v>225</v>
      </c>
      <c r="C64" s="154">
        <f t="shared" si="0"/>
        <v>112343590</v>
      </c>
      <c r="D64" s="86">
        <f>93478462+25000000-315732-5819140</f>
        <v>112343590</v>
      </c>
      <c r="E64" s="69"/>
      <c r="F64" s="69"/>
    </row>
    <row r="65" spans="1:6" s="36" customFormat="1" ht="12" customHeight="1" x14ac:dyDescent="0.2">
      <c r="A65" s="6" t="s">
        <v>226</v>
      </c>
      <c r="B65" s="67" t="s">
        <v>227</v>
      </c>
      <c r="C65" s="78">
        <f t="shared" si="0"/>
        <v>100000000</v>
      </c>
      <c r="D65" s="86">
        <v>100000000</v>
      </c>
      <c r="E65" s="69"/>
      <c r="F65" s="69"/>
    </row>
    <row r="66" spans="1:6" s="36" customFormat="1" ht="12" customHeight="1" thickBot="1" x14ac:dyDescent="0.25">
      <c r="A66" s="8" t="s">
        <v>228</v>
      </c>
      <c r="B66" s="101" t="s">
        <v>229</v>
      </c>
      <c r="C66" s="155">
        <f t="shared" si="0"/>
        <v>0</v>
      </c>
      <c r="D66" s="86"/>
      <c r="E66" s="69"/>
      <c r="F66" s="69"/>
    </row>
    <row r="67" spans="1:6" s="36" customFormat="1" ht="12" customHeight="1" thickBot="1" x14ac:dyDescent="0.25">
      <c r="A67" s="100" t="s">
        <v>230</v>
      </c>
      <c r="B67" s="75" t="s">
        <v>231</v>
      </c>
      <c r="C67" s="156">
        <f t="shared" si="0"/>
        <v>0</v>
      </c>
      <c r="D67" s="43">
        <f>SUM(D68:D71)</f>
        <v>0</v>
      </c>
      <c r="E67" s="62">
        <f>SUM(E68:E71)</f>
        <v>0</v>
      </c>
      <c r="F67" s="62">
        <f>SUM(F68:F71)</f>
        <v>0</v>
      </c>
    </row>
    <row r="68" spans="1:6" s="36" customFormat="1" ht="12" customHeight="1" x14ac:dyDescent="0.2">
      <c r="A68" s="7" t="s">
        <v>232</v>
      </c>
      <c r="B68" s="64" t="s">
        <v>233</v>
      </c>
      <c r="C68" s="91">
        <f t="shared" si="0"/>
        <v>0</v>
      </c>
      <c r="D68" s="86"/>
      <c r="E68" s="69"/>
      <c r="F68" s="69"/>
    </row>
    <row r="69" spans="1:6" s="36" customFormat="1" ht="12" customHeight="1" x14ac:dyDescent="0.2">
      <c r="A69" s="6" t="s">
        <v>234</v>
      </c>
      <c r="B69" s="67" t="s">
        <v>235</v>
      </c>
      <c r="C69" s="153">
        <f t="shared" ref="C69:C87" si="1">SUM(D69:F69)</f>
        <v>0</v>
      </c>
      <c r="D69" s="86"/>
      <c r="E69" s="69"/>
      <c r="F69" s="69"/>
    </row>
    <row r="70" spans="1:6" s="36" customFormat="1" ht="12" customHeight="1" x14ac:dyDescent="0.2">
      <c r="A70" s="6" t="s">
        <v>236</v>
      </c>
      <c r="B70" s="67" t="s">
        <v>237</v>
      </c>
      <c r="C70" s="153">
        <f t="shared" si="1"/>
        <v>0</v>
      </c>
      <c r="D70" s="86"/>
      <c r="E70" s="69"/>
      <c r="F70" s="69"/>
    </row>
    <row r="71" spans="1:6" s="36" customFormat="1" ht="12" customHeight="1" thickBot="1" x14ac:dyDescent="0.25">
      <c r="A71" s="8" t="s">
        <v>238</v>
      </c>
      <c r="B71" s="23" t="s">
        <v>239</v>
      </c>
      <c r="C71" s="155">
        <f t="shared" si="1"/>
        <v>0</v>
      </c>
      <c r="D71" s="86"/>
      <c r="E71" s="69"/>
      <c r="F71" s="69"/>
    </row>
    <row r="72" spans="1:6" s="36" customFormat="1" ht="12" customHeight="1" thickBot="1" x14ac:dyDescent="0.25">
      <c r="A72" s="100" t="s">
        <v>240</v>
      </c>
      <c r="B72" s="75" t="s">
        <v>241</v>
      </c>
      <c r="C72" s="62">
        <f t="shared" si="1"/>
        <v>602650240</v>
      </c>
      <c r="D72" s="43">
        <f>SUM(D73:D74)</f>
        <v>594503730</v>
      </c>
      <c r="E72" s="62">
        <f>SUM(E73:E74)</f>
        <v>3212174</v>
      </c>
      <c r="F72" s="62">
        <f>SUM(F73:F74)</f>
        <v>4934336</v>
      </c>
    </row>
    <row r="73" spans="1:6" s="36" customFormat="1" ht="12" customHeight="1" x14ac:dyDescent="0.2">
      <c r="A73" s="7" t="s">
        <v>242</v>
      </c>
      <c r="B73" s="64" t="s">
        <v>243</v>
      </c>
      <c r="C73" s="154">
        <f t="shared" si="1"/>
        <v>602650240</v>
      </c>
      <c r="D73" s="86">
        <f>569119704-28+25384054</f>
        <v>594503730</v>
      </c>
      <c r="E73" s="69">
        <f>3148853+63321</f>
        <v>3212174</v>
      </c>
      <c r="F73" s="69">
        <v>4934336</v>
      </c>
    </row>
    <row r="74" spans="1:6" s="36" customFormat="1" ht="12" customHeight="1" thickBot="1" x14ac:dyDescent="0.25">
      <c r="A74" s="8" t="s">
        <v>244</v>
      </c>
      <c r="B74" s="23" t="s">
        <v>245</v>
      </c>
      <c r="C74" s="155">
        <f t="shared" si="1"/>
        <v>0</v>
      </c>
      <c r="D74" s="86"/>
      <c r="E74" s="69"/>
      <c r="F74" s="69"/>
    </row>
    <row r="75" spans="1:6" s="36" customFormat="1" ht="12" customHeight="1" thickBot="1" x14ac:dyDescent="0.25">
      <c r="A75" s="100" t="s">
        <v>246</v>
      </c>
      <c r="B75" s="75" t="s">
        <v>247</v>
      </c>
      <c r="C75" s="156">
        <f t="shared" si="1"/>
        <v>41904332</v>
      </c>
      <c r="D75" s="43">
        <f>SUM(D76:D78)</f>
        <v>41904332</v>
      </c>
      <c r="E75" s="62">
        <f>SUM(E76:E78)</f>
        <v>0</v>
      </c>
      <c r="F75" s="62">
        <f>SUM(F76:F78)</f>
        <v>0</v>
      </c>
    </row>
    <row r="76" spans="1:6" s="36" customFormat="1" ht="12" customHeight="1" x14ac:dyDescent="0.2">
      <c r="A76" s="7" t="s">
        <v>248</v>
      </c>
      <c r="B76" s="64" t="s">
        <v>249</v>
      </c>
      <c r="C76" s="154">
        <f t="shared" si="1"/>
        <v>41904332</v>
      </c>
      <c r="D76" s="86">
        <v>41904332</v>
      </c>
      <c r="E76" s="69"/>
      <c r="F76" s="69"/>
    </row>
    <row r="77" spans="1:6" s="36" customFormat="1" ht="12" customHeight="1" x14ac:dyDescent="0.2">
      <c r="A77" s="6" t="s">
        <v>250</v>
      </c>
      <c r="B77" s="67" t="s">
        <v>251</v>
      </c>
      <c r="C77" s="153">
        <f t="shared" si="1"/>
        <v>0</v>
      </c>
      <c r="D77" s="86"/>
      <c r="E77" s="69"/>
      <c r="F77" s="69"/>
    </row>
    <row r="78" spans="1:6" s="36" customFormat="1" ht="12" customHeight="1" thickBot="1" x14ac:dyDescent="0.25">
      <c r="A78" s="8" t="s">
        <v>252</v>
      </c>
      <c r="B78" s="23" t="s">
        <v>253</v>
      </c>
      <c r="C78" s="155">
        <f t="shared" si="1"/>
        <v>0</v>
      </c>
      <c r="D78" s="86"/>
      <c r="E78" s="69"/>
      <c r="F78" s="69"/>
    </row>
    <row r="79" spans="1:6" s="36" customFormat="1" ht="12" customHeight="1" thickBot="1" x14ac:dyDescent="0.25">
      <c r="A79" s="100" t="s">
        <v>254</v>
      </c>
      <c r="B79" s="75" t="s">
        <v>255</v>
      </c>
      <c r="C79" s="156">
        <f t="shared" si="1"/>
        <v>0</v>
      </c>
      <c r="D79" s="43">
        <f>SUM(D80:D83)</f>
        <v>0</v>
      </c>
      <c r="E79" s="62">
        <f>SUM(E80:E83)</f>
        <v>0</v>
      </c>
      <c r="F79" s="62">
        <f>SUM(F80:F83)</f>
        <v>0</v>
      </c>
    </row>
    <row r="80" spans="1:6" s="36" customFormat="1" ht="12" customHeight="1" x14ac:dyDescent="0.2">
      <c r="A80" s="102" t="s">
        <v>256</v>
      </c>
      <c r="B80" s="64" t="s">
        <v>257</v>
      </c>
      <c r="C80" s="91">
        <f t="shared" si="1"/>
        <v>0</v>
      </c>
      <c r="D80" s="86"/>
      <c r="E80" s="69"/>
      <c r="F80" s="69"/>
    </row>
    <row r="81" spans="1:6" s="36" customFormat="1" ht="12" customHeight="1" x14ac:dyDescent="0.2">
      <c r="A81" s="103" t="s">
        <v>258</v>
      </c>
      <c r="B81" s="67" t="s">
        <v>259</v>
      </c>
      <c r="C81" s="153">
        <f t="shared" si="1"/>
        <v>0</v>
      </c>
      <c r="D81" s="86"/>
      <c r="E81" s="69"/>
      <c r="F81" s="69"/>
    </row>
    <row r="82" spans="1:6" s="36" customFormat="1" ht="12" customHeight="1" x14ac:dyDescent="0.2">
      <c r="A82" s="103" t="s">
        <v>260</v>
      </c>
      <c r="B82" s="67" t="s">
        <v>261</v>
      </c>
      <c r="C82" s="153">
        <f t="shared" si="1"/>
        <v>0</v>
      </c>
      <c r="D82" s="86"/>
      <c r="E82" s="69"/>
      <c r="F82" s="69"/>
    </row>
    <row r="83" spans="1:6" s="36" customFormat="1" ht="12" customHeight="1" thickBot="1" x14ac:dyDescent="0.25">
      <c r="A83" s="104" t="s">
        <v>262</v>
      </c>
      <c r="B83" s="23" t="s">
        <v>263</v>
      </c>
      <c r="C83" s="155">
        <f t="shared" si="1"/>
        <v>0</v>
      </c>
      <c r="D83" s="86"/>
      <c r="E83" s="69"/>
      <c r="F83" s="69"/>
    </row>
    <row r="84" spans="1:6" s="36" customFormat="1" ht="12" customHeight="1" thickBot="1" x14ac:dyDescent="0.25">
      <c r="A84" s="100" t="s">
        <v>264</v>
      </c>
      <c r="B84" s="75" t="s">
        <v>265</v>
      </c>
      <c r="C84" s="157">
        <f t="shared" si="1"/>
        <v>0</v>
      </c>
      <c r="D84" s="105"/>
      <c r="E84" s="40"/>
      <c r="F84" s="40"/>
    </row>
    <row r="85" spans="1:6" s="36" customFormat="1" ht="13.5" customHeight="1" thickBot="1" x14ac:dyDescent="0.25">
      <c r="A85" s="100" t="s">
        <v>266</v>
      </c>
      <c r="B85" s="75" t="s">
        <v>267</v>
      </c>
      <c r="C85" s="156">
        <f t="shared" si="1"/>
        <v>0</v>
      </c>
      <c r="D85" s="105"/>
      <c r="E85" s="40"/>
      <c r="F85" s="40"/>
    </row>
    <row r="86" spans="1:6" s="36" customFormat="1" ht="15.75" customHeight="1" thickBot="1" x14ac:dyDescent="0.25">
      <c r="A86" s="100" t="s">
        <v>268</v>
      </c>
      <c r="B86" s="106" t="s">
        <v>269</v>
      </c>
      <c r="C86" s="62">
        <f t="shared" si="1"/>
        <v>856898162</v>
      </c>
      <c r="D86" s="88">
        <f>+D63+D67+D72+D75+D79+D85+D84</f>
        <v>848751652</v>
      </c>
      <c r="E86" s="89">
        <f>+E63+E67+E72+E75+E79+E85+E84</f>
        <v>3212174</v>
      </c>
      <c r="F86" s="89">
        <f>+F63+F67+F72+F75+F79+F85+F84</f>
        <v>4934336</v>
      </c>
    </row>
    <row r="87" spans="1:6" s="36" customFormat="1" ht="16.5" customHeight="1" thickBot="1" x14ac:dyDescent="0.25">
      <c r="A87" s="107" t="s">
        <v>270</v>
      </c>
      <c r="B87" s="108" t="s">
        <v>271</v>
      </c>
      <c r="C87" s="137">
        <f t="shared" si="1"/>
        <v>2656132125</v>
      </c>
      <c r="D87" s="88">
        <f>+D62+D86</f>
        <v>2441778246</v>
      </c>
      <c r="E87" s="89">
        <f>+E62+E86</f>
        <v>8334471</v>
      </c>
      <c r="F87" s="89">
        <f>+F62+F86</f>
        <v>206019408</v>
      </c>
    </row>
    <row r="88" spans="1:6" s="36" customFormat="1" ht="83.25" customHeight="1" x14ac:dyDescent="0.2">
      <c r="A88" s="109"/>
      <c r="B88" s="110"/>
      <c r="C88" s="111"/>
    </row>
    <row r="89" spans="1:6" ht="16.5" customHeight="1" x14ac:dyDescent="0.25">
      <c r="A89" s="473" t="s">
        <v>33</v>
      </c>
      <c r="B89" s="473"/>
      <c r="C89" s="473"/>
    </row>
    <row r="90" spans="1:6" s="113" customFormat="1" ht="16.5" customHeight="1" thickBot="1" x14ac:dyDescent="0.3">
      <c r="A90" s="474" t="s">
        <v>65</v>
      </c>
      <c r="B90" s="474"/>
      <c r="C90" s="112" t="s">
        <v>149</v>
      </c>
    </row>
    <row r="91" spans="1:6" ht="38.1" customHeight="1" thickBot="1" x14ac:dyDescent="0.3">
      <c r="A91" s="10" t="s">
        <v>44</v>
      </c>
      <c r="B91" s="11" t="s">
        <v>34</v>
      </c>
      <c r="C91" s="59" t="str">
        <f>+C3</f>
        <v>2018. évi előirányzat</v>
      </c>
    </row>
    <row r="92" spans="1:6" s="35" customFormat="1" ht="12" customHeight="1" thickBot="1" x14ac:dyDescent="0.25">
      <c r="A92" s="13" t="s">
        <v>122</v>
      </c>
      <c r="B92" s="114" t="s">
        <v>123</v>
      </c>
      <c r="C92" s="60" t="s">
        <v>124</v>
      </c>
    </row>
    <row r="93" spans="1:6" ht="12" customHeight="1" thickBot="1" x14ac:dyDescent="0.3">
      <c r="A93" s="115" t="s">
        <v>6</v>
      </c>
      <c r="B93" s="116" t="s">
        <v>272</v>
      </c>
      <c r="C93" s="62">
        <f t="shared" ref="C93:C154" si="2">SUM(D93:F93)</f>
        <v>1524404582</v>
      </c>
      <c r="D93" s="118">
        <f>+D94+D95+D96+D97+D98+D111</f>
        <v>566790063</v>
      </c>
      <c r="E93" s="119">
        <f>+E94+E95+E96+E97+E98+E111</f>
        <v>28774983</v>
      </c>
      <c r="F93" s="95">
        <f>F94+F95+F96+F97+F98+F111</f>
        <v>928839536</v>
      </c>
    </row>
    <row r="94" spans="1:6" ht="12" customHeight="1" x14ac:dyDescent="0.25">
      <c r="A94" s="120" t="s">
        <v>48</v>
      </c>
      <c r="B94" s="4" t="s">
        <v>35</v>
      </c>
      <c r="C94" s="151">
        <f t="shared" si="2"/>
        <v>501977572</v>
      </c>
      <c r="D94" s="122">
        <f>2854500+25097896+11111000+584100+20000+1182990+1095900-175365+408000-198000+58577+6274800+23800+450000-1077738+237552+1313740+277000-198000+10136586+100000+1757125+1407675+12000+972-277000+1167404-493314-198000+70000-27206+120000+25000+810212-10136586-24904-1472000-1390000-800000-1500000-4500000</f>
        <v>44128716</v>
      </c>
      <c r="E94" s="123">
        <f>481000+2215000</f>
        <v>2696000</v>
      </c>
      <c r="F94" s="158">
        <f>454281366-811000+1852490+80000-250000</f>
        <v>455152856</v>
      </c>
    </row>
    <row r="95" spans="1:6" ht="12" customHeight="1" x14ac:dyDescent="0.25">
      <c r="A95" s="6" t="s">
        <v>49</v>
      </c>
      <c r="B95" s="2" t="s">
        <v>69</v>
      </c>
      <c r="C95" s="68">
        <f t="shared" si="2"/>
        <v>105922106</v>
      </c>
      <c r="D95" s="86">
        <f>500965+4771305+2167000+14000+207615+213701-18991+71604+3298-34749+11423+1380456+4650+78975-225759-237552+261960+54015-34749+1949335+337374+2331-972+249327-96196-34749+13000-2653+21060+10178+307362-1949335+2366+5000-400000-190000-200000-500000+5846-990000</f>
        <v>7728441</v>
      </c>
      <c r="E95" s="69">
        <f>114000+461687</f>
        <v>575687</v>
      </c>
      <c r="F95" s="159">
        <f>97140882-128290+341346+14040+250000</f>
        <v>97617978</v>
      </c>
    </row>
    <row r="96" spans="1:6" ht="12" customHeight="1" x14ac:dyDescent="0.25">
      <c r="A96" s="6" t="s">
        <v>50</v>
      </c>
      <c r="B96" s="2" t="s">
        <v>62</v>
      </c>
      <c r="C96" s="78">
        <f t="shared" si="2"/>
        <v>557156005</v>
      </c>
      <c r="D96" s="81">
        <f>13447475+835000+50000+52909601+6787092+2456000+4504030+871220+34163000+50473064+3285067+9000000+443000+120000+17207888+17042731+48545760+500000+381000-83792+60000+110000+178500-37621053+63500+8564000+45720-813975+943240+256115-351000+30000+1406000-615000+12214369-2190001+1016000+282000+44000+277000+169960+3115000+3175000+55554+2848963+88900+6050+127000+160000+273050+500000+400050-190500+37000+4000-1450000+195689-5000+508000+918292-34052-1841500-20175000-350000-4600000-50940000</f>
        <v>179834007</v>
      </c>
      <c r="E96" s="82">
        <f>324000+352000+137126+419550+20620</f>
        <v>1253296</v>
      </c>
      <c r="F96" s="159">
        <f>375583932-1110+485880+624000-624000</f>
        <v>376068702</v>
      </c>
    </row>
    <row r="97" spans="1:6" ht="12" customHeight="1" x14ac:dyDescent="0.25">
      <c r="A97" s="6" t="s">
        <v>51</v>
      </c>
      <c r="B97" s="2" t="s">
        <v>70</v>
      </c>
      <c r="C97" s="78">
        <f t="shared" si="2"/>
        <v>139384000</v>
      </c>
      <c r="D97" s="81">
        <f>69500000+3500000+69312000-2000000-1016000-282000+2436008-2436008+24050000-24050000-400000-80000-23400000</f>
        <v>115134000</v>
      </c>
      <c r="E97" s="82">
        <v>24250000</v>
      </c>
      <c r="F97" s="159"/>
    </row>
    <row r="98" spans="1:6" ht="12" customHeight="1" x14ac:dyDescent="0.25">
      <c r="A98" s="6" t="s">
        <v>273</v>
      </c>
      <c r="B98" s="1" t="s">
        <v>71</v>
      </c>
      <c r="C98" s="78">
        <f>SUM(D98:F98)</f>
        <v>127974841</v>
      </c>
      <c r="D98" s="81">
        <f>5697126+16985629+16551218+32866801+100000+660000+49357310+3869819+86500+4500000-3392000+245000+400000-32562+80000</f>
        <v>127974841</v>
      </c>
      <c r="E98" s="82"/>
      <c r="F98" s="82"/>
    </row>
    <row r="99" spans="1:6" ht="12" customHeight="1" x14ac:dyDescent="0.25">
      <c r="A99" s="6" t="s">
        <v>52</v>
      </c>
      <c r="B99" s="2" t="s">
        <v>274</v>
      </c>
      <c r="C99" s="78">
        <f>SUM(D99:F99)</f>
        <v>4056319</v>
      </c>
      <c r="D99" s="81">
        <f>100000+3869819+86500</f>
        <v>4056319</v>
      </c>
      <c r="E99" s="82"/>
      <c r="F99" s="82"/>
    </row>
    <row r="100" spans="1:6" ht="12" customHeight="1" x14ac:dyDescent="0.25">
      <c r="A100" s="6" t="s">
        <v>53</v>
      </c>
      <c r="B100" s="126" t="s">
        <v>275</v>
      </c>
      <c r="C100" s="78">
        <f t="shared" si="2"/>
        <v>0</v>
      </c>
      <c r="D100" s="81"/>
      <c r="E100" s="82"/>
      <c r="F100" s="82"/>
    </row>
    <row r="101" spans="1:6" ht="12" customHeight="1" x14ac:dyDescent="0.25">
      <c r="A101" s="6" t="s">
        <v>58</v>
      </c>
      <c r="B101" s="126" t="s">
        <v>276</v>
      </c>
      <c r="C101" s="78">
        <f t="shared" si="2"/>
        <v>0</v>
      </c>
      <c r="D101" s="81"/>
      <c r="E101" s="82"/>
      <c r="F101" s="82"/>
    </row>
    <row r="102" spans="1:6" ht="12" customHeight="1" x14ac:dyDescent="0.25">
      <c r="A102" s="6" t="s">
        <v>59</v>
      </c>
      <c r="B102" s="127" t="s">
        <v>277</v>
      </c>
      <c r="C102" s="78">
        <f t="shared" si="2"/>
        <v>0</v>
      </c>
      <c r="D102" s="81"/>
      <c r="E102" s="82"/>
      <c r="F102" s="82"/>
    </row>
    <row r="103" spans="1:6" ht="12" customHeight="1" x14ac:dyDescent="0.25">
      <c r="A103" s="6" t="s">
        <v>60</v>
      </c>
      <c r="B103" s="128" t="s">
        <v>278</v>
      </c>
      <c r="C103" s="78">
        <f t="shared" si="2"/>
        <v>0</v>
      </c>
      <c r="D103" s="81"/>
      <c r="E103" s="82"/>
      <c r="F103" s="82"/>
    </row>
    <row r="104" spans="1:6" ht="12" customHeight="1" x14ac:dyDescent="0.25">
      <c r="A104" s="6" t="s">
        <v>61</v>
      </c>
      <c r="B104" s="128" t="s">
        <v>279</v>
      </c>
      <c r="C104" s="78">
        <f t="shared" si="2"/>
        <v>0</v>
      </c>
      <c r="D104" s="81"/>
      <c r="E104" s="82"/>
      <c r="F104" s="82"/>
    </row>
    <row r="105" spans="1:6" ht="12" customHeight="1" x14ac:dyDescent="0.25">
      <c r="A105" s="6" t="s">
        <v>280</v>
      </c>
      <c r="B105" s="127" t="s">
        <v>281</v>
      </c>
      <c r="C105" s="78">
        <f t="shared" si="2"/>
        <v>660000</v>
      </c>
      <c r="D105" s="81">
        <v>660000</v>
      </c>
      <c r="E105" s="82"/>
      <c r="F105" s="82"/>
    </row>
    <row r="106" spans="1:6" ht="12" customHeight="1" x14ac:dyDescent="0.25">
      <c r="A106" s="6" t="s">
        <v>282</v>
      </c>
      <c r="B106" s="127" t="s">
        <v>283</v>
      </c>
      <c r="C106" s="78">
        <f t="shared" si="2"/>
        <v>0</v>
      </c>
      <c r="D106" s="160"/>
      <c r="E106" s="82"/>
      <c r="F106" s="82"/>
    </row>
    <row r="107" spans="1:6" ht="12" customHeight="1" x14ac:dyDescent="0.25">
      <c r="A107" s="6" t="s">
        <v>284</v>
      </c>
      <c r="B107" s="128" t="s">
        <v>285</v>
      </c>
      <c r="C107" s="78">
        <f t="shared" si="2"/>
        <v>0</v>
      </c>
      <c r="D107" s="81"/>
      <c r="E107" s="82"/>
      <c r="F107" s="82"/>
    </row>
    <row r="108" spans="1:6" ht="12" customHeight="1" x14ac:dyDescent="0.25">
      <c r="A108" s="129" t="s">
        <v>286</v>
      </c>
      <c r="B108" s="126" t="s">
        <v>287</v>
      </c>
      <c r="C108" s="78">
        <f t="shared" si="2"/>
        <v>0</v>
      </c>
      <c r="D108" s="81"/>
      <c r="E108" s="82"/>
      <c r="F108" s="82"/>
    </row>
    <row r="109" spans="1:6" ht="12" customHeight="1" x14ac:dyDescent="0.25">
      <c r="A109" s="6" t="s">
        <v>288</v>
      </c>
      <c r="B109" s="126" t="s">
        <v>289</v>
      </c>
      <c r="C109" s="78">
        <f t="shared" si="2"/>
        <v>0</v>
      </c>
      <c r="D109" s="81"/>
      <c r="E109" s="82"/>
      <c r="F109" s="82"/>
    </row>
    <row r="110" spans="1:6" ht="12" customHeight="1" x14ac:dyDescent="0.25">
      <c r="A110" s="8" t="s">
        <v>290</v>
      </c>
      <c r="B110" s="126" t="s">
        <v>291</v>
      </c>
      <c r="C110" s="78">
        <f t="shared" si="2"/>
        <v>123258522</v>
      </c>
      <c r="D110" s="86">
        <f>5697126+16985629+16551218+32866801+660000+49357310-660000+4500000-3392000+245000-32562+400000+80000</f>
        <v>123258522</v>
      </c>
      <c r="E110" s="69"/>
      <c r="F110" s="82"/>
    </row>
    <row r="111" spans="1:6" ht="12" customHeight="1" x14ac:dyDescent="0.25">
      <c r="A111" s="6" t="s">
        <v>292</v>
      </c>
      <c r="B111" s="2" t="s">
        <v>293</v>
      </c>
      <c r="C111" s="78">
        <f t="shared" si="2"/>
        <v>91990058</v>
      </c>
      <c r="D111" s="86">
        <f>SUM(D112:D113)</f>
        <v>91990058</v>
      </c>
      <c r="E111" s="69"/>
      <c r="F111" s="69">
        <f>SUM(F112:F113)</f>
        <v>0</v>
      </c>
    </row>
    <row r="112" spans="1:6" ht="12" customHeight="1" x14ac:dyDescent="0.25">
      <c r="A112" s="6" t="s">
        <v>294</v>
      </c>
      <c r="B112" s="2" t="s">
        <v>295</v>
      </c>
      <c r="C112" s="78">
        <f t="shared" si="2"/>
        <v>10857171</v>
      </c>
      <c r="D112" s="81">
        <f>15000000-21705-8451320+266142+295985-5833975+4111442+318287-2711045-668403+1866146+6685617</f>
        <v>10857171</v>
      </c>
      <c r="E112" s="82"/>
      <c r="F112" s="69"/>
    </row>
    <row r="113" spans="1:6" ht="12" customHeight="1" thickBot="1" x14ac:dyDescent="0.3">
      <c r="A113" s="130" t="s">
        <v>296</v>
      </c>
      <c r="B113" s="131" t="s">
        <v>297</v>
      </c>
      <c r="C113" s="152">
        <f t="shared" si="2"/>
        <v>81132887</v>
      </c>
      <c r="D113" s="133">
        <f>65846522-6946019+750000-2582475-1500181-997960-200000+19431000+7332000</f>
        <v>81132887</v>
      </c>
      <c r="E113" s="134"/>
      <c r="F113" s="134"/>
    </row>
    <row r="114" spans="1:6" ht="12" customHeight="1" thickBot="1" x14ac:dyDescent="0.3">
      <c r="A114" s="41" t="s">
        <v>7</v>
      </c>
      <c r="B114" s="161" t="s">
        <v>298</v>
      </c>
      <c r="C114" s="62">
        <f t="shared" si="2"/>
        <v>683396480</v>
      </c>
      <c r="D114" s="43">
        <f>+D115+D117+D119</f>
        <v>674145600</v>
      </c>
      <c r="E114" s="62">
        <f>+E115+E117+E119</f>
        <v>0</v>
      </c>
      <c r="F114" s="137">
        <f>+F115+F117+F119</f>
        <v>9250880</v>
      </c>
    </row>
    <row r="115" spans="1:6" ht="18.75" customHeight="1" x14ac:dyDescent="0.25">
      <c r="A115" s="7" t="s">
        <v>54</v>
      </c>
      <c r="B115" s="2" t="s">
        <v>77</v>
      </c>
      <c r="C115" s="154">
        <f t="shared" si="2"/>
        <v>341474953</v>
      </c>
      <c r="D115" s="83">
        <f>359410+2345001+219008101+381000+1500000+3139585+33894811+2338070+4950460-60000+275000+20930495+5189661+457200+6704583+305000+174200+752475+1598336+515000-1212200+797560-169560+2902000+25000000+136269+279200+54500+287516</f>
        <v>332833673</v>
      </c>
      <c r="E115" s="65"/>
      <c r="F115" s="65">
        <f>8663894-22614</f>
        <v>8641280</v>
      </c>
    </row>
    <row r="116" spans="1:6" ht="12" customHeight="1" x14ac:dyDescent="0.25">
      <c r="A116" s="7" t="s">
        <v>55</v>
      </c>
      <c r="B116" s="5" t="s">
        <v>299</v>
      </c>
      <c r="C116" s="154">
        <f t="shared" si="2"/>
        <v>280159423</v>
      </c>
      <c r="D116" s="83">
        <f>218246101+33259811+20930495+1187993+6704583-169560</f>
        <v>280159423</v>
      </c>
      <c r="E116" s="65"/>
      <c r="F116" s="65"/>
    </row>
    <row r="117" spans="1:6" ht="12" customHeight="1" x14ac:dyDescent="0.25">
      <c r="A117" s="7" t="s">
        <v>56</v>
      </c>
      <c r="B117" s="5" t="s">
        <v>72</v>
      </c>
      <c r="C117" s="154">
        <f t="shared" si="2"/>
        <v>276110806</v>
      </c>
      <c r="D117" s="86">
        <f>180701362+1500000+37902555+48165993+9194292-354600+3402201+479353-127000-315732+63500-5144770+34052</f>
        <v>275501206</v>
      </c>
      <c r="E117" s="69"/>
      <c r="F117" s="69">
        <v>609600</v>
      </c>
    </row>
    <row r="118" spans="1:6" ht="12" customHeight="1" x14ac:dyDescent="0.25">
      <c r="A118" s="7" t="s">
        <v>57</v>
      </c>
      <c r="B118" s="5" t="s">
        <v>300</v>
      </c>
      <c r="C118" s="154">
        <f t="shared" si="2"/>
        <v>230773273</v>
      </c>
      <c r="D118" s="86">
        <f>146098020+36509260+48165993</f>
        <v>230773273</v>
      </c>
      <c r="E118" s="140"/>
      <c r="F118" s="140"/>
    </row>
    <row r="119" spans="1:6" ht="12" customHeight="1" x14ac:dyDescent="0.25">
      <c r="A119" s="7" t="s">
        <v>164</v>
      </c>
      <c r="B119" s="23" t="s">
        <v>78</v>
      </c>
      <c r="C119" s="78">
        <f t="shared" si="2"/>
        <v>65810721</v>
      </c>
      <c r="D119" s="81">
        <f>65710721+100000</f>
        <v>65810721</v>
      </c>
      <c r="E119" s="86"/>
      <c r="F119" s="86"/>
    </row>
    <row r="120" spans="1:6" ht="12" customHeight="1" x14ac:dyDescent="0.25">
      <c r="A120" s="7" t="s">
        <v>166</v>
      </c>
      <c r="B120" s="71" t="s">
        <v>301</v>
      </c>
      <c r="C120" s="78">
        <f t="shared" si="2"/>
        <v>0</v>
      </c>
      <c r="D120" s="22"/>
      <c r="E120" s="22"/>
      <c r="F120" s="22"/>
    </row>
    <row r="121" spans="1:6" ht="12" customHeight="1" x14ac:dyDescent="0.25">
      <c r="A121" s="7" t="s">
        <v>302</v>
      </c>
      <c r="B121" s="141" t="s">
        <v>303</v>
      </c>
      <c r="C121" s="78">
        <f t="shared" si="2"/>
        <v>0</v>
      </c>
      <c r="D121" s="22"/>
      <c r="E121" s="22"/>
      <c r="F121" s="22"/>
    </row>
    <row r="122" spans="1:6" x14ac:dyDescent="0.25">
      <c r="A122" s="7" t="s">
        <v>304</v>
      </c>
      <c r="B122" s="128" t="s">
        <v>279</v>
      </c>
      <c r="C122" s="78">
        <f t="shared" si="2"/>
        <v>0</v>
      </c>
      <c r="D122" s="22"/>
      <c r="E122" s="22"/>
      <c r="F122" s="22"/>
    </row>
    <row r="123" spans="1:6" ht="12" customHeight="1" x14ac:dyDescent="0.25">
      <c r="A123" s="7" t="s">
        <v>305</v>
      </c>
      <c r="B123" s="128" t="s">
        <v>306</v>
      </c>
      <c r="C123" s="78">
        <f t="shared" si="2"/>
        <v>0</v>
      </c>
      <c r="D123" s="22"/>
      <c r="E123" s="22"/>
      <c r="F123" s="22"/>
    </row>
    <row r="124" spans="1:6" ht="12" customHeight="1" x14ac:dyDescent="0.25">
      <c r="A124" s="7" t="s">
        <v>307</v>
      </c>
      <c r="B124" s="128" t="s">
        <v>308</v>
      </c>
      <c r="C124" s="78">
        <f t="shared" si="2"/>
        <v>0</v>
      </c>
      <c r="D124" s="22"/>
      <c r="E124" s="22"/>
      <c r="F124" s="22"/>
    </row>
    <row r="125" spans="1:6" ht="12" customHeight="1" x14ac:dyDescent="0.25">
      <c r="A125" s="7" t="s">
        <v>309</v>
      </c>
      <c r="B125" s="128" t="s">
        <v>285</v>
      </c>
      <c r="C125" s="78">
        <f t="shared" si="2"/>
        <v>0</v>
      </c>
      <c r="D125" s="22"/>
      <c r="E125" s="22"/>
      <c r="F125" s="22"/>
    </row>
    <row r="126" spans="1:6" ht="12" customHeight="1" x14ac:dyDescent="0.25">
      <c r="A126" s="7" t="s">
        <v>310</v>
      </c>
      <c r="B126" s="128" t="s">
        <v>311</v>
      </c>
      <c r="C126" s="78">
        <f t="shared" si="2"/>
        <v>0</v>
      </c>
      <c r="D126" s="22"/>
      <c r="E126" s="22"/>
      <c r="F126" s="22"/>
    </row>
    <row r="127" spans="1:6" ht="16.5" thickBot="1" x14ac:dyDescent="0.3">
      <c r="A127" s="129" t="s">
        <v>312</v>
      </c>
      <c r="B127" s="128" t="s">
        <v>313</v>
      </c>
      <c r="C127" s="152">
        <f t="shared" si="2"/>
        <v>65810721</v>
      </c>
      <c r="D127" s="97">
        <f>65710721+100000</f>
        <v>65810721</v>
      </c>
      <c r="E127" s="81"/>
      <c r="F127" s="97"/>
    </row>
    <row r="128" spans="1:6" ht="12" customHeight="1" thickBot="1" x14ac:dyDescent="0.3">
      <c r="A128" s="9" t="s">
        <v>8</v>
      </c>
      <c r="B128" s="18" t="s">
        <v>127</v>
      </c>
      <c r="C128" s="62">
        <f t="shared" si="2"/>
        <v>2207801062</v>
      </c>
      <c r="D128" s="43">
        <f>+D93+D114</f>
        <v>1240935663</v>
      </c>
      <c r="E128" s="62">
        <f>+E93+E114</f>
        <v>28774983</v>
      </c>
      <c r="F128" s="62">
        <f>+F93+F114</f>
        <v>938090416</v>
      </c>
    </row>
    <row r="129" spans="1:6" ht="12" customHeight="1" thickBot="1" x14ac:dyDescent="0.3">
      <c r="A129" s="9" t="s">
        <v>9</v>
      </c>
      <c r="B129" s="18" t="s">
        <v>314</v>
      </c>
      <c r="C129" s="156">
        <f t="shared" si="2"/>
        <v>104042704</v>
      </c>
      <c r="D129" s="43">
        <f>+D130+D131+D132</f>
        <v>104042704</v>
      </c>
      <c r="E129" s="62">
        <f>+E130+E131+E132</f>
        <v>0</v>
      </c>
      <c r="F129" s="62">
        <f>+F130+F131+F132</f>
        <v>0</v>
      </c>
    </row>
    <row r="130" spans="1:6" ht="12" customHeight="1" x14ac:dyDescent="0.25">
      <c r="A130" s="7" t="s">
        <v>83</v>
      </c>
      <c r="B130" s="5" t="s">
        <v>315</v>
      </c>
      <c r="C130" s="91">
        <f t="shared" si="2"/>
        <v>4042704</v>
      </c>
      <c r="D130" s="86">
        <v>4042704</v>
      </c>
      <c r="E130" s="86"/>
      <c r="F130" s="86"/>
    </row>
    <row r="131" spans="1:6" ht="12" customHeight="1" x14ac:dyDescent="0.25">
      <c r="A131" s="7" t="s">
        <v>84</v>
      </c>
      <c r="B131" s="5" t="s">
        <v>316</v>
      </c>
      <c r="C131" s="153">
        <f t="shared" si="2"/>
        <v>100000000</v>
      </c>
      <c r="D131" s="22">
        <v>100000000</v>
      </c>
      <c r="E131" s="22"/>
      <c r="F131" s="22"/>
    </row>
    <row r="132" spans="1:6" ht="12" customHeight="1" thickBot="1" x14ac:dyDescent="0.3">
      <c r="A132" s="129" t="s">
        <v>85</v>
      </c>
      <c r="B132" s="5" t="s">
        <v>317</v>
      </c>
      <c r="C132" s="155">
        <f t="shared" si="2"/>
        <v>0</v>
      </c>
      <c r="D132" s="22"/>
      <c r="E132" s="22"/>
      <c r="F132" s="22"/>
    </row>
    <row r="133" spans="1:6" ht="12" customHeight="1" thickBot="1" x14ac:dyDescent="0.3">
      <c r="A133" s="9" t="s">
        <v>10</v>
      </c>
      <c r="B133" s="18" t="s">
        <v>318</v>
      </c>
      <c r="C133" s="156">
        <f t="shared" si="2"/>
        <v>0</v>
      </c>
      <c r="D133" s="43">
        <f>+D134+D135+D136+D137+D138+D139</f>
        <v>0</v>
      </c>
      <c r="E133" s="62">
        <f>+E134+E135+E136+E137+E138+E139</f>
        <v>0</v>
      </c>
      <c r="F133" s="62">
        <f>SUM(F134:F139)</f>
        <v>0</v>
      </c>
    </row>
    <row r="134" spans="1:6" ht="12" customHeight="1" x14ac:dyDescent="0.25">
      <c r="A134" s="7" t="s">
        <v>45</v>
      </c>
      <c r="B134" s="3" t="s">
        <v>319</v>
      </c>
      <c r="C134" s="91">
        <f t="shared" si="2"/>
        <v>0</v>
      </c>
      <c r="D134" s="22"/>
      <c r="E134" s="22"/>
      <c r="F134" s="22"/>
    </row>
    <row r="135" spans="1:6" ht="12" customHeight="1" x14ac:dyDescent="0.25">
      <c r="A135" s="7" t="s">
        <v>46</v>
      </c>
      <c r="B135" s="3" t="s">
        <v>320</v>
      </c>
      <c r="C135" s="153">
        <f t="shared" si="2"/>
        <v>0</v>
      </c>
      <c r="D135" s="22"/>
      <c r="E135" s="22"/>
      <c r="F135" s="22"/>
    </row>
    <row r="136" spans="1:6" ht="12" customHeight="1" x14ac:dyDescent="0.25">
      <c r="A136" s="7" t="s">
        <v>47</v>
      </c>
      <c r="B136" s="3" t="s">
        <v>321</v>
      </c>
      <c r="C136" s="153">
        <f t="shared" si="2"/>
        <v>0</v>
      </c>
      <c r="D136" s="22"/>
      <c r="E136" s="22"/>
      <c r="F136" s="22"/>
    </row>
    <row r="137" spans="1:6" ht="12" customHeight="1" x14ac:dyDescent="0.25">
      <c r="A137" s="7" t="s">
        <v>184</v>
      </c>
      <c r="B137" s="3" t="s">
        <v>322</v>
      </c>
      <c r="C137" s="153">
        <f t="shared" si="2"/>
        <v>0</v>
      </c>
      <c r="D137" s="22"/>
      <c r="E137" s="22"/>
      <c r="F137" s="22"/>
    </row>
    <row r="138" spans="1:6" ht="12" customHeight="1" x14ac:dyDescent="0.25">
      <c r="A138" s="7" t="s">
        <v>185</v>
      </c>
      <c r="B138" s="3" t="s">
        <v>323</v>
      </c>
      <c r="C138" s="153">
        <f t="shared" si="2"/>
        <v>0</v>
      </c>
      <c r="D138" s="22"/>
      <c r="E138" s="22"/>
      <c r="F138" s="22"/>
    </row>
    <row r="139" spans="1:6" ht="12" customHeight="1" thickBot="1" x14ac:dyDescent="0.3">
      <c r="A139" s="129" t="s">
        <v>186</v>
      </c>
      <c r="B139" s="3" t="s">
        <v>324</v>
      </c>
      <c r="C139" s="155">
        <f t="shared" si="2"/>
        <v>0</v>
      </c>
      <c r="D139" s="22"/>
      <c r="E139" s="22"/>
      <c r="F139" s="22"/>
    </row>
    <row r="140" spans="1:6" ht="12" customHeight="1" thickBot="1" x14ac:dyDescent="0.3">
      <c r="A140" s="9" t="s">
        <v>11</v>
      </c>
      <c r="B140" s="18" t="s">
        <v>325</v>
      </c>
      <c r="C140" s="62">
        <f t="shared" si="2"/>
        <v>38167591</v>
      </c>
      <c r="D140" s="88">
        <f>+D141+D142+D143+D144</f>
        <v>38167591</v>
      </c>
      <c r="E140" s="89">
        <f>+E141+E142+E143+E144</f>
        <v>0</v>
      </c>
      <c r="F140" s="89">
        <f>+F141+F142+F143+F144</f>
        <v>0</v>
      </c>
    </row>
    <row r="141" spans="1:6" ht="12" customHeight="1" x14ac:dyDescent="0.25">
      <c r="A141" s="7" t="s">
        <v>196</v>
      </c>
      <c r="B141" s="3" t="s">
        <v>326</v>
      </c>
      <c r="C141" s="91">
        <f t="shared" si="2"/>
        <v>0</v>
      </c>
      <c r="D141" s="22"/>
      <c r="E141" s="22"/>
      <c r="F141" s="22"/>
    </row>
    <row r="142" spans="1:6" ht="12" customHeight="1" x14ac:dyDescent="0.25">
      <c r="A142" s="7" t="s">
        <v>197</v>
      </c>
      <c r="B142" s="3" t="s">
        <v>327</v>
      </c>
      <c r="C142" s="153">
        <f t="shared" si="2"/>
        <v>38167591</v>
      </c>
      <c r="D142" s="22">
        <v>38167591</v>
      </c>
      <c r="E142" s="22"/>
      <c r="F142" s="22"/>
    </row>
    <row r="143" spans="1:6" ht="12" customHeight="1" x14ac:dyDescent="0.25">
      <c r="A143" s="7" t="s">
        <v>198</v>
      </c>
      <c r="B143" s="3" t="s">
        <v>328</v>
      </c>
      <c r="C143" s="153">
        <f t="shared" si="2"/>
        <v>0</v>
      </c>
      <c r="D143" s="22"/>
      <c r="E143" s="22"/>
      <c r="F143" s="22"/>
    </row>
    <row r="144" spans="1:6" ht="12" customHeight="1" thickBot="1" x14ac:dyDescent="0.3">
      <c r="A144" s="129" t="s">
        <v>199</v>
      </c>
      <c r="B144" s="1" t="s">
        <v>329</v>
      </c>
      <c r="C144" s="155">
        <f t="shared" si="2"/>
        <v>0</v>
      </c>
      <c r="D144" s="22"/>
      <c r="E144" s="22"/>
      <c r="F144" s="22"/>
    </row>
    <row r="145" spans="1:9" ht="12" customHeight="1" thickBot="1" x14ac:dyDescent="0.3">
      <c r="A145" s="9" t="s">
        <v>12</v>
      </c>
      <c r="B145" s="18" t="s">
        <v>330</v>
      </c>
      <c r="C145" s="156">
        <f t="shared" si="2"/>
        <v>0</v>
      </c>
      <c r="D145" s="145">
        <f>+D146+D147+D148+D149+D150</f>
        <v>0</v>
      </c>
      <c r="E145" s="146">
        <f>+E146+E147+E148+E149+E150</f>
        <v>0</v>
      </c>
      <c r="F145" s="146">
        <f>SUM(F146:F150)</f>
        <v>0</v>
      </c>
    </row>
    <row r="146" spans="1:9" ht="12" customHeight="1" x14ac:dyDescent="0.25">
      <c r="A146" s="7" t="s">
        <v>204</v>
      </c>
      <c r="B146" s="3" t="s">
        <v>331</v>
      </c>
      <c r="C146" s="91">
        <f t="shared" si="2"/>
        <v>0</v>
      </c>
      <c r="D146" s="22"/>
      <c r="E146" s="22"/>
      <c r="F146" s="22"/>
    </row>
    <row r="147" spans="1:9" ht="12" customHeight="1" x14ac:dyDescent="0.25">
      <c r="A147" s="7" t="s">
        <v>206</v>
      </c>
      <c r="B147" s="3" t="s">
        <v>332</v>
      </c>
      <c r="C147" s="153">
        <f t="shared" si="2"/>
        <v>0</v>
      </c>
      <c r="D147" s="22"/>
      <c r="E147" s="22"/>
      <c r="F147" s="22"/>
    </row>
    <row r="148" spans="1:9" ht="12" customHeight="1" x14ac:dyDescent="0.25">
      <c r="A148" s="7" t="s">
        <v>208</v>
      </c>
      <c r="B148" s="3" t="s">
        <v>333</v>
      </c>
      <c r="C148" s="153">
        <f t="shared" si="2"/>
        <v>0</v>
      </c>
      <c r="D148" s="22"/>
      <c r="E148" s="22"/>
      <c r="F148" s="22"/>
    </row>
    <row r="149" spans="1:9" ht="12" customHeight="1" x14ac:dyDescent="0.25">
      <c r="A149" s="7" t="s">
        <v>210</v>
      </c>
      <c r="B149" s="3" t="s">
        <v>334</v>
      </c>
      <c r="C149" s="153">
        <f t="shared" si="2"/>
        <v>0</v>
      </c>
      <c r="D149" s="22"/>
      <c r="E149" s="22"/>
      <c r="F149" s="22"/>
    </row>
    <row r="150" spans="1:9" ht="12" customHeight="1" thickBot="1" x14ac:dyDescent="0.3">
      <c r="A150" s="7" t="s">
        <v>335</v>
      </c>
      <c r="B150" s="3" t="s">
        <v>336</v>
      </c>
      <c r="C150" s="155">
        <f t="shared" si="2"/>
        <v>0</v>
      </c>
      <c r="D150" s="97"/>
      <c r="E150" s="97"/>
      <c r="F150" s="22"/>
    </row>
    <row r="151" spans="1:9" ht="12" customHeight="1" thickBot="1" x14ac:dyDescent="0.3">
      <c r="A151" s="9" t="s">
        <v>13</v>
      </c>
      <c r="B151" s="18" t="s">
        <v>337</v>
      </c>
      <c r="C151" s="62">
        <f t="shared" si="2"/>
        <v>0</v>
      </c>
      <c r="D151" s="145"/>
      <c r="E151" s="146"/>
      <c r="F151" s="147"/>
    </row>
    <row r="152" spans="1:9" ht="12" customHeight="1" thickBot="1" x14ac:dyDescent="0.3">
      <c r="A152" s="9" t="s">
        <v>14</v>
      </c>
      <c r="B152" s="18" t="s">
        <v>338</v>
      </c>
      <c r="C152" s="119">
        <f t="shared" si="2"/>
        <v>0</v>
      </c>
      <c r="D152" s="145"/>
      <c r="E152" s="146"/>
      <c r="F152" s="147"/>
    </row>
    <row r="153" spans="1:9" ht="15" customHeight="1" thickBot="1" x14ac:dyDescent="0.3">
      <c r="A153" s="9" t="s">
        <v>15</v>
      </c>
      <c r="B153" s="18" t="s">
        <v>339</v>
      </c>
      <c r="C153" s="119">
        <f t="shared" si="2"/>
        <v>142210295</v>
      </c>
      <c r="D153" s="47">
        <f>+D129+D133+D140+D145+D151+D152</f>
        <v>142210295</v>
      </c>
      <c r="E153" s="148">
        <f>+E129+E133+E140+E145+E151+E152</f>
        <v>0</v>
      </c>
      <c r="F153" s="148">
        <f>+F129+F133+F140+F145+F151+F152</f>
        <v>0</v>
      </c>
      <c r="G153" s="37"/>
      <c r="H153" s="37"/>
      <c r="I153" s="37"/>
    </row>
    <row r="154" spans="1:9" s="36" customFormat="1" ht="12.95" customHeight="1" thickBot="1" x14ac:dyDescent="0.25">
      <c r="A154" s="24" t="s">
        <v>16</v>
      </c>
      <c r="B154" s="29" t="s">
        <v>340</v>
      </c>
      <c r="C154" s="62">
        <f t="shared" si="2"/>
        <v>2350011357</v>
      </c>
      <c r="D154" s="47">
        <f>+D128+D153</f>
        <v>1383145958</v>
      </c>
      <c r="E154" s="148">
        <f>+E128+E153</f>
        <v>28774983</v>
      </c>
      <c r="F154" s="148">
        <f>+F128+F153</f>
        <v>938090416</v>
      </c>
    </row>
    <row r="155" spans="1:9" ht="7.5" customHeight="1" x14ac:dyDescent="0.25"/>
    <row r="156" spans="1:9" x14ac:dyDescent="0.25">
      <c r="A156" s="475" t="s">
        <v>341</v>
      </c>
      <c r="B156" s="475"/>
      <c r="C156" s="475"/>
    </row>
    <row r="157" spans="1:9" ht="15" customHeight="1" thickBot="1" x14ac:dyDescent="0.3">
      <c r="A157" s="472" t="s">
        <v>342</v>
      </c>
      <c r="B157" s="472"/>
      <c r="C157" s="25" t="s">
        <v>149</v>
      </c>
    </row>
    <row r="158" spans="1:9" ht="13.5" customHeight="1" thickBot="1" x14ac:dyDescent="0.3">
      <c r="A158" s="9">
        <v>1</v>
      </c>
      <c r="B158" s="12" t="s">
        <v>343</v>
      </c>
      <c r="C158" s="62">
        <f>+C62-C128</f>
        <v>-408567099</v>
      </c>
    </row>
    <row r="159" spans="1:9" ht="27.75" customHeight="1" thickBot="1" x14ac:dyDescent="0.3">
      <c r="A159" s="9" t="s">
        <v>7</v>
      </c>
      <c r="B159" s="12" t="s">
        <v>344</v>
      </c>
      <c r="C159" s="62">
        <f>+C86-C153</f>
        <v>714687867</v>
      </c>
    </row>
    <row r="160" spans="1:9" x14ac:dyDescent="0.25">
      <c r="F160" s="162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 KÖTELEZŐ FELADATAINAK MÉRLEGE
 &amp;R&amp;"Times New Roman CE,Félkövér dőlt"&amp;11 2. melléklet a 7/2019.(III.14.) önkormányzati rendelethez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F32"/>
  <sheetViews>
    <sheetView view="pageLayout" zoomScaleNormal="100" zoomScaleSheetLayoutView="100" workbookViewId="0">
      <selection activeCell="F1" sqref="F1:F31"/>
    </sheetView>
  </sheetViews>
  <sheetFormatPr defaultRowHeight="12.75" x14ac:dyDescent="0.2"/>
  <cols>
    <col min="1" max="1" width="6.83203125" style="15" customWidth="1"/>
    <col min="2" max="2" width="55.1640625" style="20" customWidth="1"/>
    <col min="3" max="3" width="16" style="15" bestFit="1" customWidth="1"/>
    <col min="4" max="4" width="55.1640625" style="15" customWidth="1"/>
    <col min="5" max="5" width="16.33203125" style="15" customWidth="1"/>
    <col min="6" max="6" width="4.83203125" style="15" customWidth="1"/>
    <col min="7" max="16384" width="9.33203125" style="15"/>
  </cols>
  <sheetData>
    <row r="1" spans="1:6" ht="39.75" customHeight="1" thickBot="1" x14ac:dyDescent="0.25">
      <c r="B1" s="164" t="s">
        <v>349</v>
      </c>
      <c r="C1" s="165"/>
      <c r="D1" s="165"/>
      <c r="E1" s="165"/>
      <c r="F1" s="476"/>
    </row>
    <row r="2" spans="1:6" ht="18" customHeight="1" thickBot="1" x14ac:dyDescent="0.25">
      <c r="A2" s="477" t="s">
        <v>44</v>
      </c>
      <c r="B2" s="166" t="s">
        <v>39</v>
      </c>
      <c r="C2" s="167"/>
      <c r="D2" s="166" t="s">
        <v>40</v>
      </c>
      <c r="E2" s="168"/>
      <c r="F2" s="476"/>
    </row>
    <row r="3" spans="1:6" s="169" customFormat="1" ht="35.25" customHeight="1" thickBot="1" x14ac:dyDescent="0.25">
      <c r="A3" s="478"/>
      <c r="B3" s="21" t="s">
        <v>350</v>
      </c>
      <c r="C3" s="59" t="s">
        <v>351</v>
      </c>
      <c r="D3" s="21" t="s">
        <v>350</v>
      </c>
      <c r="E3" s="14" t="str">
        <f>+C3</f>
        <v>2018.évi előirányzat</v>
      </c>
      <c r="F3" s="476"/>
    </row>
    <row r="4" spans="1:6" s="174" customFormat="1" ht="12" customHeight="1" thickBot="1" x14ac:dyDescent="0.25">
      <c r="A4" s="170" t="s">
        <v>122</v>
      </c>
      <c r="B4" s="171" t="s">
        <v>123</v>
      </c>
      <c r="C4" s="172" t="s">
        <v>124</v>
      </c>
      <c r="D4" s="171" t="s">
        <v>128</v>
      </c>
      <c r="E4" s="173" t="s">
        <v>129</v>
      </c>
      <c r="F4" s="476"/>
    </row>
    <row r="5" spans="1:6" ht="12.95" customHeight="1" x14ac:dyDescent="0.2">
      <c r="A5" s="175" t="s">
        <v>6</v>
      </c>
      <c r="B5" s="176" t="s">
        <v>352</v>
      </c>
      <c r="C5" s="395">
        <v>1170233686</v>
      </c>
      <c r="D5" s="177" t="s">
        <v>353</v>
      </c>
      <c r="E5" s="55">
        <f>974200639-250000</f>
        <v>973950639</v>
      </c>
      <c r="F5" s="476"/>
    </row>
    <row r="6" spans="1:6" ht="12.95" customHeight="1" x14ac:dyDescent="0.2">
      <c r="A6" s="178" t="s">
        <v>7</v>
      </c>
      <c r="B6" s="179" t="s">
        <v>103</v>
      </c>
      <c r="C6" s="16">
        <v>279095571</v>
      </c>
      <c r="D6" s="180" t="s">
        <v>69</v>
      </c>
      <c r="E6" s="56">
        <f>205243807+250000</f>
        <v>205493807</v>
      </c>
      <c r="F6" s="476"/>
    </row>
    <row r="7" spans="1:6" ht="12.95" customHeight="1" x14ac:dyDescent="0.2">
      <c r="A7" s="178" t="s">
        <v>8</v>
      </c>
      <c r="B7" s="179" t="s">
        <v>354</v>
      </c>
      <c r="C7" s="16">
        <v>85930791</v>
      </c>
      <c r="D7" s="180" t="s">
        <v>355</v>
      </c>
      <c r="E7" s="17">
        <v>810844114</v>
      </c>
      <c r="F7" s="476"/>
    </row>
    <row r="8" spans="1:6" ht="12.95" customHeight="1" x14ac:dyDescent="0.2">
      <c r="A8" s="178" t="s">
        <v>9</v>
      </c>
      <c r="B8" s="179" t="s">
        <v>67</v>
      </c>
      <c r="C8" s="16">
        <v>402108000</v>
      </c>
      <c r="D8" s="180" t="s">
        <v>70</v>
      </c>
      <c r="E8" s="17">
        <v>139384000</v>
      </c>
      <c r="F8" s="476"/>
    </row>
    <row r="9" spans="1:6" ht="12.95" customHeight="1" x14ac:dyDescent="0.2">
      <c r="A9" s="178" t="s">
        <v>10</v>
      </c>
      <c r="B9" s="181" t="s">
        <v>356</v>
      </c>
      <c r="C9" s="16">
        <v>405741309</v>
      </c>
      <c r="D9" s="180" t="s">
        <v>71</v>
      </c>
      <c r="E9" s="17">
        <f>163732363+80000</f>
        <v>163812363</v>
      </c>
      <c r="F9" s="476"/>
    </row>
    <row r="10" spans="1:6" ht="12.95" customHeight="1" x14ac:dyDescent="0.2">
      <c r="A10" s="178" t="s">
        <v>11</v>
      </c>
      <c r="B10" s="179" t="s">
        <v>104</v>
      </c>
      <c r="C10" s="185">
        <v>4224000</v>
      </c>
      <c r="D10" s="180" t="s">
        <v>293</v>
      </c>
      <c r="E10" s="17">
        <f>91990058-29991364</f>
        <v>61998694</v>
      </c>
      <c r="F10" s="476"/>
    </row>
    <row r="11" spans="1:6" ht="12.95" customHeight="1" x14ac:dyDescent="0.2">
      <c r="A11" s="178" t="s">
        <v>12</v>
      </c>
      <c r="B11" s="179" t="s">
        <v>357</v>
      </c>
      <c r="C11" s="16"/>
      <c r="D11" s="182"/>
      <c r="E11" s="17"/>
      <c r="F11" s="476"/>
    </row>
    <row r="12" spans="1:6" ht="12.95" customHeight="1" x14ac:dyDescent="0.2">
      <c r="A12" s="178" t="s">
        <v>13</v>
      </c>
      <c r="B12" s="183"/>
      <c r="C12" s="16"/>
      <c r="D12" s="182"/>
      <c r="E12" s="17"/>
      <c r="F12" s="476"/>
    </row>
    <row r="13" spans="1:6" ht="12.95" customHeight="1" x14ac:dyDescent="0.2">
      <c r="A13" s="178" t="s">
        <v>14</v>
      </c>
      <c r="B13" s="184"/>
      <c r="C13" s="185"/>
      <c r="D13" s="182"/>
      <c r="E13" s="17"/>
      <c r="F13" s="476"/>
    </row>
    <row r="14" spans="1:6" ht="12.95" customHeight="1" x14ac:dyDescent="0.2">
      <c r="A14" s="178" t="s">
        <v>15</v>
      </c>
      <c r="B14" s="183"/>
      <c r="C14" s="16"/>
      <c r="D14" s="182"/>
      <c r="E14" s="17"/>
      <c r="F14" s="476"/>
    </row>
    <row r="15" spans="1:6" ht="12.95" customHeight="1" x14ac:dyDescent="0.2">
      <c r="A15" s="178" t="s">
        <v>16</v>
      </c>
      <c r="B15" s="183"/>
      <c r="C15" s="16"/>
      <c r="D15" s="183"/>
      <c r="E15" s="17"/>
      <c r="F15" s="476"/>
    </row>
    <row r="16" spans="1:6" ht="12.95" customHeight="1" thickBot="1" x14ac:dyDescent="0.25">
      <c r="A16" s="178" t="s">
        <v>17</v>
      </c>
      <c r="B16" s="186"/>
      <c r="C16" s="187"/>
      <c r="D16" s="183"/>
      <c r="E16" s="26"/>
      <c r="F16" s="476"/>
    </row>
    <row r="17" spans="1:6" ht="15.95" customHeight="1" thickBot="1" x14ac:dyDescent="0.25">
      <c r="A17" s="188" t="s">
        <v>18</v>
      </c>
      <c r="B17" s="189" t="s">
        <v>358</v>
      </c>
      <c r="C17" s="190">
        <f>SUM(C5:C16)-C7</f>
        <v>2261402566</v>
      </c>
      <c r="D17" s="189" t="s">
        <v>359</v>
      </c>
      <c r="E17" s="27">
        <f>SUM(E5:E16)</f>
        <v>2355483617</v>
      </c>
      <c r="F17" s="476"/>
    </row>
    <row r="18" spans="1:6" ht="12.95" customHeight="1" x14ac:dyDescent="0.2">
      <c r="A18" s="191" t="s">
        <v>19</v>
      </c>
      <c r="B18" s="192" t="s">
        <v>360</v>
      </c>
      <c r="C18" s="193">
        <f>SUM(C19:C22)</f>
        <v>620677200</v>
      </c>
      <c r="D18" s="180" t="s">
        <v>361</v>
      </c>
      <c r="E18" s="28"/>
      <c r="F18" s="476"/>
    </row>
    <row r="19" spans="1:6" ht="12.95" customHeight="1" x14ac:dyDescent="0.2">
      <c r="A19" s="194" t="s">
        <v>20</v>
      </c>
      <c r="B19" s="180" t="s">
        <v>362</v>
      </c>
      <c r="C19" s="16">
        <v>620677200</v>
      </c>
      <c r="D19" s="180" t="s">
        <v>363</v>
      </c>
      <c r="E19" s="17">
        <v>100000000</v>
      </c>
      <c r="F19" s="476"/>
    </row>
    <row r="20" spans="1:6" ht="12.95" customHeight="1" x14ac:dyDescent="0.2">
      <c r="A20" s="194" t="s">
        <v>21</v>
      </c>
      <c r="B20" s="180" t="s">
        <v>364</v>
      </c>
      <c r="C20" s="16"/>
      <c r="D20" s="180" t="s">
        <v>365</v>
      </c>
      <c r="E20" s="17"/>
      <c r="F20" s="476"/>
    </row>
    <row r="21" spans="1:6" ht="12.95" customHeight="1" x14ac:dyDescent="0.2">
      <c r="A21" s="194" t="s">
        <v>22</v>
      </c>
      <c r="B21" s="180" t="s">
        <v>366</v>
      </c>
      <c r="C21" s="16"/>
      <c r="D21" s="180" t="s">
        <v>367</v>
      </c>
      <c r="E21" s="17"/>
      <c r="F21" s="476"/>
    </row>
    <row r="22" spans="1:6" ht="12.95" customHeight="1" x14ac:dyDescent="0.2">
      <c r="A22" s="194" t="s">
        <v>23</v>
      </c>
      <c r="B22" s="180" t="s">
        <v>368</v>
      </c>
      <c r="C22" s="16"/>
      <c r="D22" s="192" t="s">
        <v>369</v>
      </c>
      <c r="E22" s="17"/>
      <c r="F22" s="476"/>
    </row>
    <row r="23" spans="1:6" ht="12.95" customHeight="1" x14ac:dyDescent="0.2">
      <c r="A23" s="194" t="s">
        <v>24</v>
      </c>
      <c r="B23" s="180" t="s">
        <v>370</v>
      </c>
      <c r="C23" s="195">
        <f>SUM(C24:C25)</f>
        <v>100000000</v>
      </c>
      <c r="D23" s="180" t="s">
        <v>371</v>
      </c>
      <c r="E23" s="17"/>
      <c r="F23" s="476"/>
    </row>
    <row r="24" spans="1:6" ht="12.95" customHeight="1" x14ac:dyDescent="0.2">
      <c r="A24" s="191" t="s">
        <v>25</v>
      </c>
      <c r="B24" s="192" t="s">
        <v>372</v>
      </c>
      <c r="C24" s="196">
        <v>100000000</v>
      </c>
      <c r="D24" s="176" t="s">
        <v>328</v>
      </c>
      <c r="E24" s="28"/>
      <c r="F24" s="476"/>
    </row>
    <row r="25" spans="1:6" ht="12.95" customHeight="1" x14ac:dyDescent="0.2">
      <c r="A25" s="194" t="s">
        <v>26</v>
      </c>
      <c r="B25" s="180" t="s">
        <v>373</v>
      </c>
      <c r="C25" s="16"/>
      <c r="D25" s="179" t="s">
        <v>337</v>
      </c>
      <c r="E25" s="17"/>
      <c r="F25" s="476"/>
    </row>
    <row r="26" spans="1:6" ht="12.95" customHeight="1" x14ac:dyDescent="0.2">
      <c r="A26" s="178" t="s">
        <v>27</v>
      </c>
      <c r="B26" s="180" t="s">
        <v>249</v>
      </c>
      <c r="C26" s="16">
        <v>41904332</v>
      </c>
      <c r="D26" s="179" t="s">
        <v>338</v>
      </c>
      <c r="E26" s="17"/>
      <c r="F26" s="476"/>
    </row>
    <row r="27" spans="1:6" ht="12.95" customHeight="1" thickBot="1" x14ac:dyDescent="0.25">
      <c r="A27" s="197" t="s">
        <v>28</v>
      </c>
      <c r="B27" s="192" t="s">
        <v>267</v>
      </c>
      <c r="C27" s="196"/>
      <c r="D27" s="198" t="s">
        <v>374</v>
      </c>
      <c r="E27" s="28">
        <v>38167591</v>
      </c>
      <c r="F27" s="476"/>
    </row>
    <row r="28" spans="1:6" ht="21.75" customHeight="1" thickBot="1" x14ac:dyDescent="0.25">
      <c r="A28" s="188" t="s">
        <v>29</v>
      </c>
      <c r="B28" s="189" t="s">
        <v>375</v>
      </c>
      <c r="C28" s="190">
        <f>+C18+C23+C26+C27</f>
        <v>762581532</v>
      </c>
      <c r="D28" s="189" t="s">
        <v>376</v>
      </c>
      <c r="E28" s="27">
        <f>SUM(E18:E27)</f>
        <v>138167591</v>
      </c>
      <c r="F28" s="476"/>
    </row>
    <row r="29" spans="1:6" ht="13.5" thickBot="1" x14ac:dyDescent="0.25">
      <c r="A29" s="188" t="s">
        <v>30</v>
      </c>
      <c r="B29" s="199" t="s">
        <v>377</v>
      </c>
      <c r="C29" s="200">
        <f>+C17+C28</f>
        <v>3023984098</v>
      </c>
      <c r="D29" s="199" t="s">
        <v>378</v>
      </c>
      <c r="E29" s="200">
        <f>E28+E17</f>
        <v>2493651208</v>
      </c>
      <c r="F29" s="476"/>
    </row>
    <row r="30" spans="1:6" ht="13.5" thickBot="1" x14ac:dyDescent="0.25">
      <c r="A30" s="188" t="s">
        <v>31</v>
      </c>
      <c r="B30" s="199" t="s">
        <v>379</v>
      </c>
      <c r="C30" s="200">
        <f>IF(C17-E17&lt;0,E17-C17,"-")</f>
        <v>94081051</v>
      </c>
      <c r="D30" s="199" t="s">
        <v>380</v>
      </c>
      <c r="E30" s="200" t="str">
        <f>IF(C17-E17&gt;0,C17-E17,"-")</f>
        <v>-</v>
      </c>
      <c r="F30" s="476"/>
    </row>
    <row r="31" spans="1:6" ht="13.5" thickBot="1" x14ac:dyDescent="0.25">
      <c r="A31" s="188" t="s">
        <v>32</v>
      </c>
      <c r="B31" s="199" t="s">
        <v>381</v>
      </c>
      <c r="C31" s="201" t="str">
        <f>IF(C29-E29&lt;0,E29-C29,"-")</f>
        <v>-</v>
      </c>
      <c r="D31" s="199" t="s">
        <v>382</v>
      </c>
      <c r="E31" s="200">
        <f>IF(C29-E29&gt;0,C29-E29,"-")</f>
        <v>530332890</v>
      </c>
      <c r="F31" s="476"/>
    </row>
    <row r="32" spans="1:6" ht="18.75" x14ac:dyDescent="0.2">
      <c r="B32" s="479"/>
      <c r="C32" s="479"/>
      <c r="D32" s="479"/>
    </row>
  </sheetData>
  <mergeCells count="3"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3. melléklet a 7/2019.(III.14.)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view="pageLayout" topLeftCell="B1" zoomScaleNormal="130" workbookViewId="0">
      <selection activeCell="G45" sqref="G45"/>
    </sheetView>
  </sheetViews>
  <sheetFormatPr defaultRowHeight="12.75" x14ac:dyDescent="0.2"/>
  <cols>
    <col min="1" max="1" width="16" style="461" customWidth="1"/>
    <col min="2" max="2" width="92.33203125" style="415" customWidth="1"/>
    <col min="3" max="3" width="29.1640625" style="467" customWidth="1"/>
    <col min="4" max="4" width="9.33203125" style="415"/>
    <col min="5" max="5" width="12.5" style="400" hidden="1" customWidth="1"/>
    <col min="6" max="6" width="14.5" style="400" hidden="1" customWidth="1"/>
    <col min="7" max="256" width="9.33203125" style="415"/>
    <col min="257" max="257" width="16" style="415" customWidth="1"/>
    <col min="258" max="258" width="92.33203125" style="415" customWidth="1"/>
    <col min="259" max="259" width="29.1640625" style="415" customWidth="1"/>
    <col min="260" max="512" width="9.33203125" style="415"/>
    <col min="513" max="513" width="16" style="415" customWidth="1"/>
    <col min="514" max="514" width="92.33203125" style="415" customWidth="1"/>
    <col min="515" max="515" width="29.1640625" style="415" customWidth="1"/>
    <col min="516" max="768" width="9.33203125" style="415"/>
    <col min="769" max="769" width="16" style="415" customWidth="1"/>
    <col min="770" max="770" width="92.33203125" style="415" customWidth="1"/>
    <col min="771" max="771" width="29.1640625" style="415" customWidth="1"/>
    <col min="772" max="1024" width="9.33203125" style="415"/>
    <col min="1025" max="1025" width="16" style="415" customWidth="1"/>
    <col min="1026" max="1026" width="92.33203125" style="415" customWidth="1"/>
    <col min="1027" max="1027" width="29.1640625" style="415" customWidth="1"/>
    <col min="1028" max="1280" width="9.33203125" style="415"/>
    <col min="1281" max="1281" width="16" style="415" customWidth="1"/>
    <col min="1282" max="1282" width="92.33203125" style="415" customWidth="1"/>
    <col min="1283" max="1283" width="29.1640625" style="415" customWidth="1"/>
    <col min="1284" max="1536" width="9.33203125" style="415"/>
    <col min="1537" max="1537" width="16" style="415" customWidth="1"/>
    <col min="1538" max="1538" width="92.33203125" style="415" customWidth="1"/>
    <col min="1539" max="1539" width="29.1640625" style="415" customWidth="1"/>
    <col min="1540" max="1792" width="9.33203125" style="415"/>
    <col min="1793" max="1793" width="16" style="415" customWidth="1"/>
    <col min="1794" max="1794" width="92.33203125" style="415" customWidth="1"/>
    <col min="1795" max="1795" width="29.1640625" style="415" customWidth="1"/>
    <col min="1796" max="2048" width="9.33203125" style="415"/>
    <col min="2049" max="2049" width="16" style="415" customWidth="1"/>
    <col min="2050" max="2050" width="92.33203125" style="415" customWidth="1"/>
    <col min="2051" max="2051" width="29.1640625" style="415" customWidth="1"/>
    <col min="2052" max="2304" width="9.33203125" style="415"/>
    <col min="2305" max="2305" width="16" style="415" customWidth="1"/>
    <col min="2306" max="2306" width="92.33203125" style="415" customWidth="1"/>
    <col min="2307" max="2307" width="29.1640625" style="415" customWidth="1"/>
    <col min="2308" max="2560" width="9.33203125" style="415"/>
    <col min="2561" max="2561" width="16" style="415" customWidth="1"/>
    <col min="2562" max="2562" width="92.33203125" style="415" customWidth="1"/>
    <col min="2563" max="2563" width="29.1640625" style="415" customWidth="1"/>
    <col min="2564" max="2816" width="9.33203125" style="415"/>
    <col min="2817" max="2817" width="16" style="415" customWidth="1"/>
    <col min="2818" max="2818" width="92.33203125" style="415" customWidth="1"/>
    <col min="2819" max="2819" width="29.1640625" style="415" customWidth="1"/>
    <col min="2820" max="3072" width="9.33203125" style="415"/>
    <col min="3073" max="3073" width="16" style="415" customWidth="1"/>
    <col min="3074" max="3074" width="92.33203125" style="415" customWidth="1"/>
    <col min="3075" max="3075" width="29.1640625" style="415" customWidth="1"/>
    <col min="3076" max="3328" width="9.33203125" style="415"/>
    <col min="3329" max="3329" width="16" style="415" customWidth="1"/>
    <col min="3330" max="3330" width="92.33203125" style="415" customWidth="1"/>
    <col min="3331" max="3331" width="29.1640625" style="415" customWidth="1"/>
    <col min="3332" max="3584" width="9.33203125" style="415"/>
    <col min="3585" max="3585" width="16" style="415" customWidth="1"/>
    <col min="3586" max="3586" width="92.33203125" style="415" customWidth="1"/>
    <col min="3587" max="3587" width="29.1640625" style="415" customWidth="1"/>
    <col min="3588" max="3840" width="9.33203125" style="415"/>
    <col min="3841" max="3841" width="16" style="415" customWidth="1"/>
    <col min="3842" max="3842" width="92.33203125" style="415" customWidth="1"/>
    <col min="3843" max="3843" width="29.1640625" style="415" customWidth="1"/>
    <col min="3844" max="4096" width="9.33203125" style="415"/>
    <col min="4097" max="4097" width="16" style="415" customWidth="1"/>
    <col min="4098" max="4098" width="92.33203125" style="415" customWidth="1"/>
    <col min="4099" max="4099" width="29.1640625" style="415" customWidth="1"/>
    <col min="4100" max="4352" width="9.33203125" style="415"/>
    <col min="4353" max="4353" width="16" style="415" customWidth="1"/>
    <col min="4354" max="4354" width="92.33203125" style="415" customWidth="1"/>
    <col min="4355" max="4355" width="29.1640625" style="415" customWidth="1"/>
    <col min="4356" max="4608" width="9.33203125" style="415"/>
    <col min="4609" max="4609" width="16" style="415" customWidth="1"/>
    <col min="4610" max="4610" width="92.33203125" style="415" customWidth="1"/>
    <col min="4611" max="4611" width="29.1640625" style="415" customWidth="1"/>
    <col min="4612" max="4864" width="9.33203125" style="415"/>
    <col min="4865" max="4865" width="16" style="415" customWidth="1"/>
    <col min="4866" max="4866" width="92.33203125" style="415" customWidth="1"/>
    <col min="4867" max="4867" width="29.1640625" style="415" customWidth="1"/>
    <col min="4868" max="5120" width="9.33203125" style="415"/>
    <col min="5121" max="5121" width="16" style="415" customWidth="1"/>
    <col min="5122" max="5122" width="92.33203125" style="415" customWidth="1"/>
    <col min="5123" max="5123" width="29.1640625" style="415" customWidth="1"/>
    <col min="5124" max="5376" width="9.33203125" style="415"/>
    <col min="5377" max="5377" width="16" style="415" customWidth="1"/>
    <col min="5378" max="5378" width="92.33203125" style="415" customWidth="1"/>
    <col min="5379" max="5379" width="29.1640625" style="415" customWidth="1"/>
    <col min="5380" max="5632" width="9.33203125" style="415"/>
    <col min="5633" max="5633" width="16" style="415" customWidth="1"/>
    <col min="5634" max="5634" width="92.33203125" style="415" customWidth="1"/>
    <col min="5635" max="5635" width="29.1640625" style="415" customWidth="1"/>
    <col min="5636" max="5888" width="9.33203125" style="415"/>
    <col min="5889" max="5889" width="16" style="415" customWidth="1"/>
    <col min="5890" max="5890" width="92.33203125" style="415" customWidth="1"/>
    <col min="5891" max="5891" width="29.1640625" style="415" customWidth="1"/>
    <col min="5892" max="6144" width="9.33203125" style="415"/>
    <col min="6145" max="6145" width="16" style="415" customWidth="1"/>
    <col min="6146" max="6146" width="92.33203125" style="415" customWidth="1"/>
    <col min="6147" max="6147" width="29.1640625" style="415" customWidth="1"/>
    <col min="6148" max="6400" width="9.33203125" style="415"/>
    <col min="6401" max="6401" width="16" style="415" customWidth="1"/>
    <col min="6402" max="6402" width="92.33203125" style="415" customWidth="1"/>
    <col min="6403" max="6403" width="29.1640625" style="415" customWidth="1"/>
    <col min="6404" max="6656" width="9.33203125" style="415"/>
    <col min="6657" max="6657" width="16" style="415" customWidth="1"/>
    <col min="6658" max="6658" width="92.33203125" style="415" customWidth="1"/>
    <col min="6659" max="6659" width="29.1640625" style="415" customWidth="1"/>
    <col min="6660" max="6912" width="9.33203125" style="415"/>
    <col min="6913" max="6913" width="16" style="415" customWidth="1"/>
    <col min="6914" max="6914" width="92.33203125" style="415" customWidth="1"/>
    <col min="6915" max="6915" width="29.1640625" style="415" customWidth="1"/>
    <col min="6916" max="7168" width="9.33203125" style="415"/>
    <col min="7169" max="7169" width="16" style="415" customWidth="1"/>
    <col min="7170" max="7170" width="92.33203125" style="415" customWidth="1"/>
    <col min="7171" max="7171" width="29.1640625" style="415" customWidth="1"/>
    <col min="7172" max="7424" width="9.33203125" style="415"/>
    <col min="7425" max="7425" width="16" style="415" customWidth="1"/>
    <col min="7426" max="7426" width="92.33203125" style="415" customWidth="1"/>
    <col min="7427" max="7427" width="29.1640625" style="415" customWidth="1"/>
    <col min="7428" max="7680" width="9.33203125" style="415"/>
    <col min="7681" max="7681" width="16" style="415" customWidth="1"/>
    <col min="7682" max="7682" width="92.33203125" style="415" customWidth="1"/>
    <col min="7683" max="7683" width="29.1640625" style="415" customWidth="1"/>
    <col min="7684" max="7936" width="9.33203125" style="415"/>
    <col min="7937" max="7937" width="16" style="415" customWidth="1"/>
    <col min="7938" max="7938" width="92.33203125" style="415" customWidth="1"/>
    <col min="7939" max="7939" width="29.1640625" style="415" customWidth="1"/>
    <col min="7940" max="8192" width="9.33203125" style="415"/>
    <col min="8193" max="8193" width="16" style="415" customWidth="1"/>
    <col min="8194" max="8194" width="92.33203125" style="415" customWidth="1"/>
    <col min="8195" max="8195" width="29.1640625" style="415" customWidth="1"/>
    <col min="8196" max="8448" width="9.33203125" style="415"/>
    <col min="8449" max="8449" width="16" style="415" customWidth="1"/>
    <col min="8450" max="8450" width="92.33203125" style="415" customWidth="1"/>
    <col min="8451" max="8451" width="29.1640625" style="415" customWidth="1"/>
    <col min="8452" max="8704" width="9.33203125" style="415"/>
    <col min="8705" max="8705" width="16" style="415" customWidth="1"/>
    <col min="8706" max="8706" width="92.33203125" style="415" customWidth="1"/>
    <col min="8707" max="8707" width="29.1640625" style="415" customWidth="1"/>
    <col min="8708" max="8960" width="9.33203125" style="415"/>
    <col min="8961" max="8961" width="16" style="415" customWidth="1"/>
    <col min="8962" max="8962" width="92.33203125" style="415" customWidth="1"/>
    <col min="8963" max="8963" width="29.1640625" style="415" customWidth="1"/>
    <col min="8964" max="9216" width="9.33203125" style="415"/>
    <col min="9217" max="9217" width="16" style="415" customWidth="1"/>
    <col min="9218" max="9218" width="92.33203125" style="415" customWidth="1"/>
    <col min="9219" max="9219" width="29.1640625" style="415" customWidth="1"/>
    <col min="9220" max="9472" width="9.33203125" style="415"/>
    <col min="9473" max="9473" width="16" style="415" customWidth="1"/>
    <col min="9474" max="9474" width="92.33203125" style="415" customWidth="1"/>
    <col min="9475" max="9475" width="29.1640625" style="415" customWidth="1"/>
    <col min="9476" max="9728" width="9.33203125" style="415"/>
    <col min="9729" max="9729" width="16" style="415" customWidth="1"/>
    <col min="9730" max="9730" width="92.33203125" style="415" customWidth="1"/>
    <col min="9731" max="9731" width="29.1640625" style="415" customWidth="1"/>
    <col min="9732" max="9984" width="9.33203125" style="415"/>
    <col min="9985" max="9985" width="16" style="415" customWidth="1"/>
    <col min="9986" max="9986" width="92.33203125" style="415" customWidth="1"/>
    <col min="9987" max="9987" width="29.1640625" style="415" customWidth="1"/>
    <col min="9988" max="10240" width="9.33203125" style="415"/>
    <col min="10241" max="10241" width="16" style="415" customWidth="1"/>
    <col min="10242" max="10242" width="92.33203125" style="415" customWidth="1"/>
    <col min="10243" max="10243" width="29.1640625" style="415" customWidth="1"/>
    <col min="10244" max="10496" width="9.33203125" style="415"/>
    <col min="10497" max="10497" width="16" style="415" customWidth="1"/>
    <col min="10498" max="10498" width="92.33203125" style="415" customWidth="1"/>
    <col min="10499" max="10499" width="29.1640625" style="415" customWidth="1"/>
    <col min="10500" max="10752" width="9.33203125" style="415"/>
    <col min="10753" max="10753" width="16" style="415" customWidth="1"/>
    <col min="10754" max="10754" width="92.33203125" style="415" customWidth="1"/>
    <col min="10755" max="10755" width="29.1640625" style="415" customWidth="1"/>
    <col min="10756" max="11008" width="9.33203125" style="415"/>
    <col min="11009" max="11009" width="16" style="415" customWidth="1"/>
    <col min="11010" max="11010" width="92.33203125" style="415" customWidth="1"/>
    <col min="11011" max="11011" width="29.1640625" style="415" customWidth="1"/>
    <col min="11012" max="11264" width="9.33203125" style="415"/>
    <col min="11265" max="11265" width="16" style="415" customWidth="1"/>
    <col min="11266" max="11266" width="92.33203125" style="415" customWidth="1"/>
    <col min="11267" max="11267" width="29.1640625" style="415" customWidth="1"/>
    <col min="11268" max="11520" width="9.33203125" style="415"/>
    <col min="11521" max="11521" width="16" style="415" customWidth="1"/>
    <col min="11522" max="11522" width="92.33203125" style="415" customWidth="1"/>
    <col min="11523" max="11523" width="29.1640625" style="415" customWidth="1"/>
    <col min="11524" max="11776" width="9.33203125" style="415"/>
    <col min="11777" max="11777" width="16" style="415" customWidth="1"/>
    <col min="11778" max="11778" width="92.33203125" style="415" customWidth="1"/>
    <col min="11779" max="11779" width="29.1640625" style="415" customWidth="1"/>
    <col min="11780" max="12032" width="9.33203125" style="415"/>
    <col min="12033" max="12033" width="16" style="415" customWidth="1"/>
    <col min="12034" max="12034" width="92.33203125" style="415" customWidth="1"/>
    <col min="12035" max="12035" width="29.1640625" style="415" customWidth="1"/>
    <col min="12036" max="12288" width="9.33203125" style="415"/>
    <col min="12289" max="12289" width="16" style="415" customWidth="1"/>
    <col min="12290" max="12290" width="92.33203125" style="415" customWidth="1"/>
    <col min="12291" max="12291" width="29.1640625" style="415" customWidth="1"/>
    <col min="12292" max="12544" width="9.33203125" style="415"/>
    <col min="12545" max="12545" width="16" style="415" customWidth="1"/>
    <col min="12546" max="12546" width="92.33203125" style="415" customWidth="1"/>
    <col min="12547" max="12547" width="29.1640625" style="415" customWidth="1"/>
    <col min="12548" max="12800" width="9.33203125" style="415"/>
    <col min="12801" max="12801" width="16" style="415" customWidth="1"/>
    <col min="12802" max="12802" width="92.33203125" style="415" customWidth="1"/>
    <col min="12803" max="12803" width="29.1640625" style="415" customWidth="1"/>
    <col min="12804" max="13056" width="9.33203125" style="415"/>
    <col min="13057" max="13057" width="16" style="415" customWidth="1"/>
    <col min="13058" max="13058" width="92.33203125" style="415" customWidth="1"/>
    <col min="13059" max="13059" width="29.1640625" style="415" customWidth="1"/>
    <col min="13060" max="13312" width="9.33203125" style="415"/>
    <col min="13313" max="13313" width="16" style="415" customWidth="1"/>
    <col min="13314" max="13314" width="92.33203125" style="415" customWidth="1"/>
    <col min="13315" max="13315" width="29.1640625" style="415" customWidth="1"/>
    <col min="13316" max="13568" width="9.33203125" style="415"/>
    <col min="13569" max="13569" width="16" style="415" customWidth="1"/>
    <col min="13570" max="13570" width="92.33203125" style="415" customWidth="1"/>
    <col min="13571" max="13571" width="29.1640625" style="415" customWidth="1"/>
    <col min="13572" max="13824" width="9.33203125" style="415"/>
    <col min="13825" max="13825" width="16" style="415" customWidth="1"/>
    <col min="13826" max="13826" width="92.33203125" style="415" customWidth="1"/>
    <col min="13827" max="13827" width="29.1640625" style="415" customWidth="1"/>
    <col min="13828" max="14080" width="9.33203125" style="415"/>
    <col min="14081" max="14081" width="16" style="415" customWidth="1"/>
    <col min="14082" max="14082" width="92.33203125" style="415" customWidth="1"/>
    <col min="14083" max="14083" width="29.1640625" style="415" customWidth="1"/>
    <col min="14084" max="14336" width="9.33203125" style="415"/>
    <col min="14337" max="14337" width="16" style="415" customWidth="1"/>
    <col min="14338" max="14338" width="92.33203125" style="415" customWidth="1"/>
    <col min="14339" max="14339" width="29.1640625" style="415" customWidth="1"/>
    <col min="14340" max="14592" width="9.33203125" style="415"/>
    <col min="14593" max="14593" width="16" style="415" customWidth="1"/>
    <col min="14594" max="14594" width="92.33203125" style="415" customWidth="1"/>
    <col min="14595" max="14595" width="29.1640625" style="415" customWidth="1"/>
    <col min="14596" max="14848" width="9.33203125" style="415"/>
    <col min="14849" max="14849" width="16" style="415" customWidth="1"/>
    <col min="14850" max="14850" width="92.33203125" style="415" customWidth="1"/>
    <col min="14851" max="14851" width="29.1640625" style="415" customWidth="1"/>
    <col min="14852" max="15104" width="9.33203125" style="415"/>
    <col min="15105" max="15105" width="16" style="415" customWidth="1"/>
    <col min="15106" max="15106" width="92.33203125" style="415" customWidth="1"/>
    <col min="15107" max="15107" width="29.1640625" style="415" customWidth="1"/>
    <col min="15108" max="15360" width="9.33203125" style="415"/>
    <col min="15361" max="15361" width="16" style="415" customWidth="1"/>
    <col min="15362" max="15362" width="92.33203125" style="415" customWidth="1"/>
    <col min="15363" max="15363" width="29.1640625" style="415" customWidth="1"/>
    <col min="15364" max="15616" width="9.33203125" style="415"/>
    <col min="15617" max="15617" width="16" style="415" customWidth="1"/>
    <col min="15618" max="15618" width="92.33203125" style="415" customWidth="1"/>
    <col min="15619" max="15619" width="29.1640625" style="415" customWidth="1"/>
    <col min="15620" max="15872" width="9.33203125" style="415"/>
    <col min="15873" max="15873" width="16" style="415" customWidth="1"/>
    <col min="15874" max="15874" width="92.33203125" style="415" customWidth="1"/>
    <col min="15875" max="15875" width="29.1640625" style="415" customWidth="1"/>
    <col min="15876" max="16128" width="9.33203125" style="415"/>
    <col min="16129" max="16129" width="16" style="415" customWidth="1"/>
    <col min="16130" max="16130" width="92.33203125" style="415" customWidth="1"/>
    <col min="16131" max="16131" width="29.1640625" style="415" customWidth="1"/>
    <col min="16132" max="16384" width="9.33203125" style="415"/>
  </cols>
  <sheetData>
    <row r="1" spans="1:6" s="399" customFormat="1" ht="21" customHeight="1" thickBot="1" x14ac:dyDescent="0.25">
      <c r="A1" s="396"/>
      <c r="B1" s="397"/>
      <c r="C1" s="398"/>
      <c r="E1" s="400"/>
      <c r="F1" s="400"/>
    </row>
    <row r="2" spans="1:6" s="404" customFormat="1" ht="36" customHeight="1" x14ac:dyDescent="0.2">
      <c r="A2" s="401" t="s">
        <v>74</v>
      </c>
      <c r="B2" s="402" t="s">
        <v>145</v>
      </c>
      <c r="C2" s="403" t="s">
        <v>43</v>
      </c>
      <c r="E2" s="405"/>
      <c r="F2" s="405"/>
    </row>
    <row r="3" spans="1:6" s="404" customFormat="1" ht="24.75" thickBot="1" x14ac:dyDescent="0.25">
      <c r="A3" s="406" t="s">
        <v>73</v>
      </c>
      <c r="B3" s="407" t="s">
        <v>384</v>
      </c>
      <c r="C3" s="408" t="s">
        <v>383</v>
      </c>
      <c r="E3" s="405"/>
      <c r="F3" s="405"/>
    </row>
    <row r="4" spans="1:6" s="411" customFormat="1" ht="15.95" customHeight="1" thickBot="1" x14ac:dyDescent="0.3">
      <c r="A4" s="409"/>
      <c r="B4" s="409"/>
      <c r="C4" s="410" t="s">
        <v>146</v>
      </c>
      <c r="E4" s="405"/>
      <c r="F4" s="405"/>
    </row>
    <row r="5" spans="1:6" ht="13.5" thickBot="1" x14ac:dyDescent="0.25">
      <c r="A5" s="412" t="s">
        <v>75</v>
      </c>
      <c r="B5" s="413" t="s">
        <v>37</v>
      </c>
      <c r="C5" s="414" t="s">
        <v>38</v>
      </c>
    </row>
    <row r="6" spans="1:6" s="419" customFormat="1" ht="12.95" customHeight="1" thickBot="1" x14ac:dyDescent="0.25">
      <c r="A6" s="416" t="s">
        <v>122</v>
      </c>
      <c r="B6" s="417" t="s">
        <v>123</v>
      </c>
      <c r="C6" s="418" t="s">
        <v>124</v>
      </c>
      <c r="E6" s="420"/>
      <c r="F6" s="420"/>
    </row>
    <row r="7" spans="1:6" s="419" customFormat="1" ht="15.95" customHeight="1" thickBot="1" x14ac:dyDescent="0.25">
      <c r="A7" s="421"/>
      <c r="B7" s="422" t="s">
        <v>39</v>
      </c>
      <c r="C7" s="423"/>
      <c r="E7" s="420"/>
      <c r="F7" s="420"/>
    </row>
    <row r="8" spans="1:6" s="426" customFormat="1" ht="12" customHeight="1" thickBot="1" x14ac:dyDescent="0.25">
      <c r="A8" s="416" t="s">
        <v>6</v>
      </c>
      <c r="B8" s="424" t="s">
        <v>131</v>
      </c>
      <c r="C8" s="425">
        <f>SUM(C9:C19)</f>
        <v>13169074</v>
      </c>
      <c r="E8" s="427" t="e">
        <f>'[1]9.4.1. sz. mell EKIK'!C8+#REF!</f>
        <v>#REF!</v>
      </c>
      <c r="F8" s="427" t="e">
        <f>C8-E8</f>
        <v>#REF!</v>
      </c>
    </row>
    <row r="9" spans="1:6" s="426" customFormat="1" ht="12" customHeight="1" x14ac:dyDescent="0.2">
      <c r="A9" s="428" t="s">
        <v>48</v>
      </c>
      <c r="B9" s="4" t="s">
        <v>91</v>
      </c>
      <c r="C9" s="429">
        <f>150000-130000</f>
        <v>20000</v>
      </c>
      <c r="E9" s="427" t="e">
        <f>'[1]9.4.1. sz. mell EKIK'!C9+#REF!</f>
        <v>#REF!</v>
      </c>
      <c r="F9" s="427" t="e">
        <f t="shared" ref="F9:F60" si="0">C9-E9</f>
        <v>#REF!</v>
      </c>
    </row>
    <row r="10" spans="1:6" s="426" customFormat="1" ht="12" customHeight="1" x14ac:dyDescent="0.2">
      <c r="A10" s="430" t="s">
        <v>49</v>
      </c>
      <c r="B10" s="2" t="s">
        <v>92</v>
      </c>
      <c r="C10" s="431">
        <f>10382678+70000</f>
        <v>10452678</v>
      </c>
      <c r="E10" s="427" t="e">
        <f>'[1]9.4.1. sz. mell EKIK'!C10+#REF!</f>
        <v>#REF!</v>
      </c>
      <c r="F10" s="427" t="e">
        <f t="shared" si="0"/>
        <v>#REF!</v>
      </c>
    </row>
    <row r="11" spans="1:6" s="426" customFormat="1" ht="12" customHeight="1" x14ac:dyDescent="0.2">
      <c r="A11" s="430" t="s">
        <v>50</v>
      </c>
      <c r="B11" s="2" t="s">
        <v>93</v>
      </c>
      <c r="C11" s="432">
        <v>50000</v>
      </c>
      <c r="E11" s="427" t="e">
        <f>'[1]9.4.1. sz. mell EKIK'!C11+#REF!</f>
        <v>#REF!</v>
      </c>
      <c r="F11" s="427" t="e">
        <f t="shared" si="0"/>
        <v>#REF!</v>
      </c>
    </row>
    <row r="12" spans="1:6" s="426" customFormat="1" ht="12" customHeight="1" x14ac:dyDescent="0.2">
      <c r="A12" s="430" t="s">
        <v>51</v>
      </c>
      <c r="B12" s="2" t="s">
        <v>94</v>
      </c>
      <c r="C12" s="432"/>
      <c r="E12" s="427" t="e">
        <f>'[1]9.4.1. sz. mell EKIK'!C12+#REF!</f>
        <v>#REF!</v>
      </c>
      <c r="F12" s="427" t="e">
        <f t="shared" si="0"/>
        <v>#REF!</v>
      </c>
    </row>
    <row r="13" spans="1:6" s="426" customFormat="1" ht="12" customHeight="1" x14ac:dyDescent="0.2">
      <c r="A13" s="430" t="s">
        <v>63</v>
      </c>
      <c r="B13" s="2" t="s">
        <v>95</v>
      </c>
      <c r="C13" s="432"/>
      <c r="E13" s="427" t="e">
        <f>'[1]9.4.1. sz. mell EKIK'!C13+#REF!</f>
        <v>#REF!</v>
      </c>
      <c r="F13" s="427" t="e">
        <f t="shared" si="0"/>
        <v>#REF!</v>
      </c>
    </row>
    <row r="14" spans="1:6" s="426" customFormat="1" ht="12" customHeight="1" x14ac:dyDescent="0.2">
      <c r="A14" s="430" t="s">
        <v>52</v>
      </c>
      <c r="B14" s="2" t="s">
        <v>105</v>
      </c>
      <c r="C14" s="431">
        <f>1291322+18900</f>
        <v>1310222</v>
      </c>
      <c r="E14" s="427" t="e">
        <f>'[1]9.4.1. sz. mell EKIK'!C14+#REF!</f>
        <v>#REF!</v>
      </c>
      <c r="F14" s="427" t="e">
        <f t="shared" si="0"/>
        <v>#REF!</v>
      </c>
    </row>
    <row r="15" spans="1:6" s="426" customFormat="1" ht="12" customHeight="1" x14ac:dyDescent="0.2">
      <c r="A15" s="430" t="s">
        <v>53</v>
      </c>
      <c r="B15" s="1" t="s">
        <v>106</v>
      </c>
      <c r="C15" s="432">
        <v>1170000</v>
      </c>
      <c r="E15" s="427" t="e">
        <f>'[1]9.4.1. sz. mell EKIK'!C15+#REF!</f>
        <v>#REF!</v>
      </c>
      <c r="F15" s="427" t="e">
        <f t="shared" si="0"/>
        <v>#REF!</v>
      </c>
    </row>
    <row r="16" spans="1:6" s="426" customFormat="1" ht="12" customHeight="1" x14ac:dyDescent="0.2">
      <c r="A16" s="430" t="s">
        <v>58</v>
      </c>
      <c r="B16" s="2" t="s">
        <v>96</v>
      </c>
      <c r="C16" s="433"/>
      <c r="E16" s="427" t="e">
        <f>'[1]9.4.1. sz. mell EKIK'!C16+#REF!</f>
        <v>#REF!</v>
      </c>
      <c r="F16" s="427" t="e">
        <f t="shared" si="0"/>
        <v>#REF!</v>
      </c>
    </row>
    <row r="17" spans="1:6" s="434" customFormat="1" ht="12" customHeight="1" x14ac:dyDescent="0.2">
      <c r="A17" s="430" t="s">
        <v>59</v>
      </c>
      <c r="B17" s="2" t="s">
        <v>97</v>
      </c>
      <c r="C17" s="432"/>
      <c r="E17" s="427" t="e">
        <f>'[1]9.4.1. sz. mell EKIK'!C17+#REF!</f>
        <v>#REF!</v>
      </c>
      <c r="F17" s="427" t="e">
        <f t="shared" si="0"/>
        <v>#REF!</v>
      </c>
    </row>
    <row r="18" spans="1:6" s="434" customFormat="1" ht="12" customHeight="1" x14ac:dyDescent="0.2">
      <c r="A18" s="430" t="s">
        <v>60</v>
      </c>
      <c r="B18" s="2" t="s">
        <v>126</v>
      </c>
      <c r="C18" s="435"/>
      <c r="E18" s="427" t="e">
        <f>'[1]9.4.1. sz. mell EKIK'!C18+#REF!</f>
        <v>#REF!</v>
      </c>
      <c r="F18" s="427" t="e">
        <f t="shared" si="0"/>
        <v>#REF!</v>
      </c>
    </row>
    <row r="19" spans="1:6" s="434" customFormat="1" ht="12" customHeight="1" thickBot="1" x14ac:dyDescent="0.25">
      <c r="A19" s="430" t="s">
        <v>61</v>
      </c>
      <c r="B19" s="1" t="s">
        <v>98</v>
      </c>
      <c r="C19" s="436">
        <v>166174</v>
      </c>
      <c r="E19" s="427" t="e">
        <f>'[1]9.4.1. sz. mell EKIK'!C19+#REF!</f>
        <v>#REF!</v>
      </c>
      <c r="F19" s="427" t="e">
        <f t="shared" si="0"/>
        <v>#REF!</v>
      </c>
    </row>
    <row r="20" spans="1:6" s="426" customFormat="1" ht="12" customHeight="1" thickBot="1" x14ac:dyDescent="0.25">
      <c r="A20" s="416" t="s">
        <v>7</v>
      </c>
      <c r="B20" s="424" t="s">
        <v>107</v>
      </c>
      <c r="C20" s="425">
        <f>SUM(C21:C23)</f>
        <v>936269</v>
      </c>
      <c r="E20" s="427" t="e">
        <f>'[1]9.4.1. sz. mell EKIK'!C20+#REF!</f>
        <v>#REF!</v>
      </c>
      <c r="F20" s="427" t="e">
        <f t="shared" si="0"/>
        <v>#REF!</v>
      </c>
    </row>
    <row r="21" spans="1:6" s="434" customFormat="1" ht="12" customHeight="1" x14ac:dyDescent="0.2">
      <c r="A21" s="430" t="s">
        <v>54</v>
      </c>
      <c r="B21" s="3" t="s">
        <v>80</v>
      </c>
      <c r="C21" s="432"/>
      <c r="E21" s="427" t="e">
        <f>'[1]9.4.1. sz. mell EKIK'!C21+#REF!</f>
        <v>#REF!</v>
      </c>
      <c r="F21" s="427" t="e">
        <f t="shared" si="0"/>
        <v>#REF!</v>
      </c>
    </row>
    <row r="22" spans="1:6" s="434" customFormat="1" ht="12" customHeight="1" x14ac:dyDescent="0.2">
      <c r="A22" s="430" t="s">
        <v>55</v>
      </c>
      <c r="B22" s="2" t="s">
        <v>108</v>
      </c>
      <c r="C22" s="432"/>
      <c r="E22" s="427" t="e">
        <f>'[1]9.4.1. sz. mell EKIK'!C22+#REF!</f>
        <v>#REF!</v>
      </c>
      <c r="F22" s="427" t="e">
        <f t="shared" si="0"/>
        <v>#REF!</v>
      </c>
    </row>
    <row r="23" spans="1:6" s="434" customFormat="1" ht="12" customHeight="1" x14ac:dyDescent="0.2">
      <c r="A23" s="430" t="s">
        <v>56</v>
      </c>
      <c r="B23" s="2" t="s">
        <v>109</v>
      </c>
      <c r="C23" s="431">
        <f>800000+136269</f>
        <v>936269</v>
      </c>
      <c r="E23" s="427" t="e">
        <f>'[1]9.4.1. sz. mell EKIK'!C23+#REF!</f>
        <v>#REF!</v>
      </c>
      <c r="F23" s="427" t="e">
        <f t="shared" si="0"/>
        <v>#REF!</v>
      </c>
    </row>
    <row r="24" spans="1:6" s="434" customFormat="1" ht="12" customHeight="1" thickBot="1" x14ac:dyDescent="0.25">
      <c r="A24" s="430" t="s">
        <v>57</v>
      </c>
      <c r="B24" s="2" t="s">
        <v>134</v>
      </c>
      <c r="C24" s="432"/>
      <c r="E24" s="427" t="e">
        <f>'[1]9.4.1. sz. mell EKIK'!C24+#REF!</f>
        <v>#REF!</v>
      </c>
      <c r="F24" s="427" t="e">
        <f t="shared" si="0"/>
        <v>#REF!</v>
      </c>
    </row>
    <row r="25" spans="1:6" s="434" customFormat="1" ht="12" customHeight="1" thickBot="1" x14ac:dyDescent="0.25">
      <c r="A25" s="437" t="s">
        <v>8</v>
      </c>
      <c r="B25" s="18" t="s">
        <v>67</v>
      </c>
      <c r="C25" s="438"/>
      <c r="E25" s="427" t="e">
        <f>'[1]9.4.1. sz. mell EKIK'!C25+#REF!</f>
        <v>#REF!</v>
      </c>
      <c r="F25" s="427" t="e">
        <f t="shared" si="0"/>
        <v>#REF!</v>
      </c>
    </row>
    <row r="26" spans="1:6" s="434" customFormat="1" ht="12" customHeight="1" thickBot="1" x14ac:dyDescent="0.25">
      <c r="A26" s="437" t="s">
        <v>9</v>
      </c>
      <c r="B26" s="18" t="s">
        <v>135</v>
      </c>
      <c r="C26" s="425">
        <f>+C27+C28</f>
        <v>0</v>
      </c>
      <c r="E26" s="427" t="e">
        <f>'[1]9.4.1. sz. mell EKIK'!C26+#REF!</f>
        <v>#REF!</v>
      </c>
      <c r="F26" s="427" t="e">
        <f t="shared" si="0"/>
        <v>#REF!</v>
      </c>
    </row>
    <row r="27" spans="1:6" s="434" customFormat="1" ht="12" customHeight="1" x14ac:dyDescent="0.2">
      <c r="A27" s="439" t="s">
        <v>83</v>
      </c>
      <c r="B27" s="38" t="s">
        <v>108</v>
      </c>
      <c r="C27" s="440"/>
      <c r="E27" s="427" t="e">
        <f>'[1]9.4.1. sz. mell EKIK'!C27+#REF!</f>
        <v>#REF!</v>
      </c>
      <c r="F27" s="427" t="e">
        <f t="shared" si="0"/>
        <v>#REF!</v>
      </c>
    </row>
    <row r="28" spans="1:6" s="434" customFormat="1" ht="12" customHeight="1" x14ac:dyDescent="0.2">
      <c r="A28" s="439" t="s">
        <v>84</v>
      </c>
      <c r="B28" s="39" t="s">
        <v>110</v>
      </c>
      <c r="C28" s="441"/>
      <c r="E28" s="427" t="e">
        <f>'[1]9.4.1. sz. mell EKIK'!C28+#REF!</f>
        <v>#REF!</v>
      </c>
      <c r="F28" s="427" t="e">
        <f t="shared" si="0"/>
        <v>#REF!</v>
      </c>
    </row>
    <row r="29" spans="1:6" s="434" customFormat="1" ht="12" customHeight="1" thickBot="1" x14ac:dyDescent="0.25">
      <c r="A29" s="430" t="s">
        <v>85</v>
      </c>
      <c r="B29" s="19" t="s">
        <v>136</v>
      </c>
      <c r="C29" s="442"/>
      <c r="E29" s="427" t="e">
        <f>'[1]9.4.1. sz. mell EKIK'!C29+#REF!</f>
        <v>#REF!</v>
      </c>
      <c r="F29" s="427" t="e">
        <f t="shared" si="0"/>
        <v>#REF!</v>
      </c>
    </row>
    <row r="30" spans="1:6" s="434" customFormat="1" ht="12" customHeight="1" thickBot="1" x14ac:dyDescent="0.25">
      <c r="A30" s="437" t="s">
        <v>10</v>
      </c>
      <c r="B30" s="18" t="s">
        <v>111</v>
      </c>
      <c r="C30" s="425">
        <f>+C31+C32+C33</f>
        <v>0</v>
      </c>
      <c r="E30" s="427" t="e">
        <f>'[1]9.4.1. sz. mell EKIK'!C30+#REF!</f>
        <v>#REF!</v>
      </c>
      <c r="F30" s="427" t="e">
        <f t="shared" si="0"/>
        <v>#REF!</v>
      </c>
    </row>
    <row r="31" spans="1:6" s="434" customFormat="1" ht="12" customHeight="1" x14ac:dyDescent="0.2">
      <c r="A31" s="439" t="s">
        <v>45</v>
      </c>
      <c r="B31" s="38" t="s">
        <v>99</v>
      </c>
      <c r="C31" s="440"/>
      <c r="E31" s="427" t="e">
        <f>'[1]9.4.1. sz. mell EKIK'!C31+#REF!</f>
        <v>#REF!</v>
      </c>
      <c r="F31" s="427" t="e">
        <f t="shared" si="0"/>
        <v>#REF!</v>
      </c>
    </row>
    <row r="32" spans="1:6" s="434" customFormat="1" ht="12" customHeight="1" x14ac:dyDescent="0.2">
      <c r="A32" s="439" t="s">
        <v>46</v>
      </c>
      <c r="B32" s="39" t="s">
        <v>100</v>
      </c>
      <c r="C32" s="441"/>
      <c r="E32" s="427" t="e">
        <f>'[1]9.4.1. sz. mell EKIK'!C32+#REF!</f>
        <v>#REF!</v>
      </c>
      <c r="F32" s="427" t="e">
        <f t="shared" si="0"/>
        <v>#REF!</v>
      </c>
    </row>
    <row r="33" spans="1:6" s="434" customFormat="1" ht="12" customHeight="1" thickBot="1" x14ac:dyDescent="0.25">
      <c r="A33" s="430" t="s">
        <v>47</v>
      </c>
      <c r="B33" s="19" t="s">
        <v>101</v>
      </c>
      <c r="C33" s="442"/>
      <c r="E33" s="427" t="e">
        <f>'[1]9.4.1. sz. mell EKIK'!C33+#REF!</f>
        <v>#REF!</v>
      </c>
      <c r="F33" s="427" t="e">
        <f t="shared" si="0"/>
        <v>#REF!</v>
      </c>
    </row>
    <row r="34" spans="1:6" s="426" customFormat="1" ht="12" customHeight="1" thickBot="1" x14ac:dyDescent="0.25">
      <c r="A34" s="437" t="s">
        <v>11</v>
      </c>
      <c r="B34" s="18" t="s">
        <v>104</v>
      </c>
      <c r="C34" s="438">
        <v>408000</v>
      </c>
      <c r="E34" s="427" t="e">
        <f>'[1]9.4.1. sz. mell EKIK'!C34+#REF!</f>
        <v>#REF!</v>
      </c>
      <c r="F34" s="427" t="e">
        <f t="shared" si="0"/>
        <v>#REF!</v>
      </c>
    </row>
    <row r="35" spans="1:6" s="426" customFormat="1" ht="12" customHeight="1" thickBot="1" x14ac:dyDescent="0.25">
      <c r="A35" s="437" t="s">
        <v>12</v>
      </c>
      <c r="B35" s="18" t="s">
        <v>112</v>
      </c>
      <c r="C35" s="443"/>
      <c r="E35" s="427" t="e">
        <f>'[1]9.4.1. sz. mell EKIK'!C35+#REF!</f>
        <v>#REF!</v>
      </c>
      <c r="F35" s="427" t="e">
        <f t="shared" si="0"/>
        <v>#REF!</v>
      </c>
    </row>
    <row r="36" spans="1:6" s="426" customFormat="1" ht="12" customHeight="1" thickBot="1" x14ac:dyDescent="0.25">
      <c r="A36" s="416" t="s">
        <v>13</v>
      </c>
      <c r="B36" s="18" t="s">
        <v>137</v>
      </c>
      <c r="C36" s="444">
        <f>+C8+C20+C25+C26+C30+C34+C35</f>
        <v>14513343</v>
      </c>
      <c r="E36" s="427" t="e">
        <f>'[1]9.4.1. sz. mell EKIK'!C36+#REF!</f>
        <v>#REF!</v>
      </c>
      <c r="F36" s="427" t="e">
        <f t="shared" si="0"/>
        <v>#REF!</v>
      </c>
    </row>
    <row r="37" spans="1:6" s="426" customFormat="1" ht="12" customHeight="1" thickBot="1" x14ac:dyDescent="0.25">
      <c r="A37" s="445" t="s">
        <v>14</v>
      </c>
      <c r="B37" s="18" t="s">
        <v>113</v>
      </c>
      <c r="C37" s="444">
        <f>+C38+C39+C40</f>
        <v>81326046</v>
      </c>
      <c r="E37" s="427" t="e">
        <f>'[1]9.4.1. sz. mell EKIK'!C37+#REF!</f>
        <v>#REF!</v>
      </c>
      <c r="F37" s="427" t="e">
        <f t="shared" si="0"/>
        <v>#REF!</v>
      </c>
    </row>
    <row r="38" spans="1:6" s="426" customFormat="1" ht="12" customHeight="1" x14ac:dyDescent="0.2">
      <c r="A38" s="439" t="s">
        <v>114</v>
      </c>
      <c r="B38" s="38" t="s">
        <v>79</v>
      </c>
      <c r="C38" s="440">
        <v>361287</v>
      </c>
      <c r="E38" s="427" t="e">
        <f>'[1]9.4.1. sz. mell EKIK'!C38+#REF!</f>
        <v>#REF!</v>
      </c>
      <c r="F38" s="427" t="e">
        <f t="shared" si="0"/>
        <v>#REF!</v>
      </c>
    </row>
    <row r="39" spans="1:6" s="426" customFormat="1" ht="12" customHeight="1" x14ac:dyDescent="0.2">
      <c r="A39" s="439" t="s">
        <v>115</v>
      </c>
      <c r="B39" s="39" t="s">
        <v>0</v>
      </c>
      <c r="C39" s="441"/>
      <c r="E39" s="427" t="e">
        <f>'[1]9.4.1. sz. mell EKIK'!C39+#REF!</f>
        <v>#REF!</v>
      </c>
      <c r="F39" s="427" t="e">
        <f t="shared" si="0"/>
        <v>#REF!</v>
      </c>
    </row>
    <row r="40" spans="1:6" s="434" customFormat="1" ht="12" customHeight="1" thickBot="1" x14ac:dyDescent="0.25">
      <c r="A40" s="430" t="s">
        <v>116</v>
      </c>
      <c r="B40" s="19" t="s">
        <v>117</v>
      </c>
      <c r="C40" s="446">
        <f>84577606+203748+232749+1598336+27000+232749+522000+176000-166174+160745-6600000</f>
        <v>80964759</v>
      </c>
      <c r="E40" s="427" t="e">
        <f>'[1]9.4.1. sz. mell EKIK'!C40+#REF!</f>
        <v>#REF!</v>
      </c>
      <c r="F40" s="427" t="e">
        <f t="shared" si="0"/>
        <v>#REF!</v>
      </c>
    </row>
    <row r="41" spans="1:6" s="434" customFormat="1" ht="15" customHeight="1" thickBot="1" x14ac:dyDescent="0.25">
      <c r="A41" s="445" t="s">
        <v>15</v>
      </c>
      <c r="B41" s="447" t="s">
        <v>118</v>
      </c>
      <c r="C41" s="444">
        <f>+C36+C37</f>
        <v>95839389</v>
      </c>
      <c r="E41" s="427" t="e">
        <f>'[1]9.4.1. sz. mell EKIK'!C41+#REF!</f>
        <v>#REF!</v>
      </c>
      <c r="F41" s="427" t="e">
        <f t="shared" si="0"/>
        <v>#REF!</v>
      </c>
    </row>
    <row r="42" spans="1:6" s="434" customFormat="1" ht="15" customHeight="1" x14ac:dyDescent="0.2">
      <c r="A42" s="448"/>
      <c r="B42" s="449"/>
      <c r="C42" s="450"/>
      <c r="E42" s="427" t="e">
        <f>'[1]9.4.1. sz. mell EKIK'!C42+#REF!</f>
        <v>#REF!</v>
      </c>
      <c r="F42" s="427" t="e">
        <f t="shared" si="0"/>
        <v>#REF!</v>
      </c>
    </row>
    <row r="43" spans="1:6" ht="13.5" thickBot="1" x14ac:dyDescent="0.25">
      <c r="A43" s="451"/>
      <c r="B43" s="452"/>
      <c r="C43" s="453"/>
      <c r="E43" s="427" t="e">
        <f>'[1]9.4.1. sz. mell EKIK'!C43+#REF!</f>
        <v>#REF!</v>
      </c>
      <c r="F43" s="427" t="e">
        <f t="shared" si="0"/>
        <v>#REF!</v>
      </c>
    </row>
    <row r="44" spans="1:6" s="419" customFormat="1" ht="16.5" customHeight="1" thickBot="1" x14ac:dyDescent="0.25">
      <c r="A44" s="454"/>
      <c r="B44" s="455" t="s">
        <v>40</v>
      </c>
      <c r="C44" s="444"/>
      <c r="E44" s="427" t="e">
        <f>'[1]9.4.1. sz. mell EKIK'!C44+#REF!</f>
        <v>#REF!</v>
      </c>
      <c r="F44" s="427" t="e">
        <f t="shared" si="0"/>
        <v>#REF!</v>
      </c>
    </row>
    <row r="45" spans="1:6" s="456" customFormat="1" ht="12" customHeight="1" thickBot="1" x14ac:dyDescent="0.25">
      <c r="A45" s="437" t="s">
        <v>6</v>
      </c>
      <c r="B45" s="18" t="s">
        <v>119</v>
      </c>
      <c r="C45" s="425">
        <f>SUM(C46:C50)</f>
        <v>90543580</v>
      </c>
      <c r="E45" s="427" t="e">
        <f>'[1]9.4.1. sz. mell EKIK'!C45+#REF!</f>
        <v>#REF!</v>
      </c>
      <c r="F45" s="427" t="e">
        <f t="shared" si="0"/>
        <v>#REF!</v>
      </c>
    </row>
    <row r="46" spans="1:6" ht="12" customHeight="1" x14ac:dyDescent="0.2">
      <c r="A46" s="430" t="s">
        <v>48</v>
      </c>
      <c r="B46" s="3" t="s">
        <v>35</v>
      </c>
      <c r="C46" s="457">
        <f>44090923+170500+69000+27000+100000+130212-1500000-250000</f>
        <v>42837635</v>
      </c>
      <c r="E46" s="427" t="e">
        <f>'[1]9.4.1. sz. mell EKIK'!C46+#REF!</f>
        <v>#REF!</v>
      </c>
      <c r="F46" s="427" t="e">
        <f t="shared" si="0"/>
        <v>#REF!</v>
      </c>
    </row>
    <row r="47" spans="1:6" ht="12" customHeight="1" x14ac:dyDescent="0.2">
      <c r="A47" s="430" t="s">
        <v>49</v>
      </c>
      <c r="B47" s="2" t="s">
        <v>69</v>
      </c>
      <c r="C47" s="458">
        <f>8671204+33248+12110+30533-500000+250000</f>
        <v>8497095</v>
      </c>
      <c r="E47" s="427" t="e">
        <f>'[1]9.4.1. sz. mell EKIK'!C47+#REF!</f>
        <v>#REF!</v>
      </c>
      <c r="F47" s="427" t="e">
        <f t="shared" si="0"/>
        <v>#REF!</v>
      </c>
    </row>
    <row r="48" spans="1:6" ht="12" customHeight="1" x14ac:dyDescent="0.2">
      <c r="A48" s="430" t="s">
        <v>50</v>
      </c>
      <c r="B48" s="2" t="s">
        <v>62</v>
      </c>
      <c r="C48" s="459">
        <f>42412062-81110+232749+408000-100000-170000+232749+176000+888900-190500-4600000</f>
        <v>39208850</v>
      </c>
      <c r="E48" s="427" t="e">
        <f>'[1]9.4.1. sz. mell EKIK'!C48+#REF!</f>
        <v>#REF!</v>
      </c>
      <c r="F48" s="427" t="e">
        <f t="shared" si="0"/>
        <v>#REF!</v>
      </c>
    </row>
    <row r="49" spans="1:6" ht="12" customHeight="1" x14ac:dyDescent="0.2">
      <c r="A49" s="430" t="s">
        <v>51</v>
      </c>
      <c r="B49" s="2" t="s">
        <v>70</v>
      </c>
      <c r="C49" s="431"/>
      <c r="E49" s="427" t="e">
        <f>'[1]9.4.1. sz. mell EKIK'!C49+#REF!</f>
        <v>#REF!</v>
      </c>
      <c r="F49" s="427" t="e">
        <f t="shared" si="0"/>
        <v>#REF!</v>
      </c>
    </row>
    <row r="50" spans="1:6" ht="12" customHeight="1" thickBot="1" x14ac:dyDescent="0.25">
      <c r="A50" s="430" t="s">
        <v>63</v>
      </c>
      <c r="B50" s="2" t="s">
        <v>71</v>
      </c>
      <c r="C50" s="431"/>
      <c r="E50" s="427" t="e">
        <f>'[1]9.4.1. sz. mell EKIK'!C50+#REF!</f>
        <v>#REF!</v>
      </c>
      <c r="F50" s="427" t="e">
        <f t="shared" si="0"/>
        <v>#REF!</v>
      </c>
    </row>
    <row r="51" spans="1:6" ht="12" customHeight="1" thickBot="1" x14ac:dyDescent="0.25">
      <c r="A51" s="437" t="s">
        <v>7</v>
      </c>
      <c r="B51" s="18" t="s">
        <v>120</v>
      </c>
      <c r="C51" s="425">
        <f>SUM(C52:C54)</f>
        <v>5295809</v>
      </c>
      <c r="E51" s="427" t="e">
        <f>'[1]9.4.1. sz. mell EKIK'!C51+#REF!</f>
        <v>#REF!</v>
      </c>
      <c r="F51" s="427" t="e">
        <f t="shared" si="0"/>
        <v>#REF!</v>
      </c>
    </row>
    <row r="52" spans="1:6" s="456" customFormat="1" ht="12" customHeight="1" x14ac:dyDescent="0.2">
      <c r="A52" s="430" t="s">
        <v>54</v>
      </c>
      <c r="B52" s="3" t="s">
        <v>77</v>
      </c>
      <c r="C52" s="440">
        <f>2678704+1598336+170000+522000+136269+190500</f>
        <v>5295809</v>
      </c>
      <c r="E52" s="427" t="e">
        <f>'[1]9.4.1. sz. mell EKIK'!C52+#REF!</f>
        <v>#REF!</v>
      </c>
      <c r="F52" s="427" t="e">
        <f t="shared" si="0"/>
        <v>#REF!</v>
      </c>
    </row>
    <row r="53" spans="1:6" ht="12" customHeight="1" x14ac:dyDescent="0.2">
      <c r="A53" s="430" t="s">
        <v>55</v>
      </c>
      <c r="B53" s="2" t="s">
        <v>72</v>
      </c>
      <c r="C53" s="431"/>
      <c r="E53" s="427" t="e">
        <f>'[1]9.4.1. sz. mell EKIK'!C53+#REF!</f>
        <v>#REF!</v>
      </c>
      <c r="F53" s="427" t="e">
        <f t="shared" si="0"/>
        <v>#REF!</v>
      </c>
    </row>
    <row r="54" spans="1:6" ht="12" customHeight="1" x14ac:dyDescent="0.2">
      <c r="A54" s="430" t="s">
        <v>56</v>
      </c>
      <c r="B54" s="2" t="s">
        <v>41</v>
      </c>
      <c r="C54" s="431"/>
      <c r="E54" s="427" t="e">
        <f>'[1]9.4.1. sz. mell EKIK'!C54+#REF!</f>
        <v>#REF!</v>
      </c>
      <c r="F54" s="427" t="e">
        <f t="shared" si="0"/>
        <v>#REF!</v>
      </c>
    </row>
    <row r="55" spans="1:6" ht="12" customHeight="1" thickBot="1" x14ac:dyDescent="0.25">
      <c r="A55" s="430" t="s">
        <v>57</v>
      </c>
      <c r="B55" s="2" t="s">
        <v>132</v>
      </c>
      <c r="C55" s="431"/>
      <c r="E55" s="427" t="e">
        <f>'[1]9.4.1. sz. mell EKIK'!C55+#REF!</f>
        <v>#REF!</v>
      </c>
      <c r="F55" s="427" t="e">
        <f t="shared" si="0"/>
        <v>#REF!</v>
      </c>
    </row>
    <row r="56" spans="1:6" ht="15" customHeight="1" thickBot="1" x14ac:dyDescent="0.25">
      <c r="A56" s="437" t="s">
        <v>8</v>
      </c>
      <c r="B56" s="18" t="s">
        <v>2</v>
      </c>
      <c r="C56" s="438"/>
      <c r="E56" s="427" t="e">
        <f>'[1]9.4.1. sz. mell EKIK'!C56+#REF!</f>
        <v>#REF!</v>
      </c>
      <c r="F56" s="427" t="e">
        <f t="shared" si="0"/>
        <v>#REF!</v>
      </c>
    </row>
    <row r="57" spans="1:6" ht="13.5" thickBot="1" x14ac:dyDescent="0.25">
      <c r="A57" s="437" t="s">
        <v>9</v>
      </c>
      <c r="B57" s="460" t="s">
        <v>133</v>
      </c>
      <c r="C57" s="425">
        <f>+C45+C51+C56</f>
        <v>95839389</v>
      </c>
      <c r="E57" s="427" t="e">
        <f>'[1]9.4.1. sz. mell EKIK'!C57+#REF!</f>
        <v>#REF!</v>
      </c>
      <c r="F57" s="427" t="e">
        <f t="shared" si="0"/>
        <v>#REF!</v>
      </c>
    </row>
    <row r="58" spans="1:6" ht="15" customHeight="1" thickBot="1" x14ac:dyDescent="0.25">
      <c r="C58" s="462"/>
      <c r="E58" s="427" t="e">
        <f>'[1]9.4.1. sz. mell EKIK'!C58+#REF!</f>
        <v>#REF!</v>
      </c>
      <c r="F58" s="427" t="e">
        <f t="shared" si="0"/>
        <v>#REF!</v>
      </c>
    </row>
    <row r="59" spans="1:6" ht="14.25" customHeight="1" thickBot="1" x14ac:dyDescent="0.25">
      <c r="A59" s="463" t="s">
        <v>130</v>
      </c>
      <c r="B59" s="464"/>
      <c r="C59" s="465">
        <v>16.75</v>
      </c>
      <c r="E59" s="427" t="e">
        <f>'[1]9.4.1. sz. mell EKIK'!C59+#REF!</f>
        <v>#REF!</v>
      </c>
      <c r="F59" s="427" t="e">
        <f t="shared" si="0"/>
        <v>#REF!</v>
      </c>
    </row>
    <row r="60" spans="1:6" ht="13.5" thickBot="1" x14ac:dyDescent="0.25">
      <c r="A60" s="463" t="s">
        <v>76</v>
      </c>
      <c r="B60" s="464"/>
      <c r="C60" s="466"/>
      <c r="E60" s="427" t="e">
        <f>'[1]9.4.1. sz. mell EKIK'!C60+#REF!</f>
        <v>#REF!</v>
      </c>
      <c r="F60" s="427" t="e">
        <f t="shared" si="0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69" orientation="portrait" r:id="rId1"/>
  <headerFooter alignWithMargins="0">
    <oddHeader>&amp;R&amp;"Times New Roman CE,Félkövér dőlt"&amp;11 4. melléklet a 7/2019.(III.14.)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2" sqref="C2"/>
    </sheetView>
  </sheetViews>
  <sheetFormatPr defaultRowHeight="12.75" x14ac:dyDescent="0.2"/>
  <cols>
    <col min="1" max="1" width="16" style="461" customWidth="1"/>
    <col min="2" max="2" width="92.33203125" style="415" customWidth="1"/>
    <col min="3" max="3" width="29.1640625" style="467" customWidth="1"/>
    <col min="4" max="256" width="9.33203125" style="415"/>
    <col min="257" max="257" width="16" style="415" customWidth="1"/>
    <col min="258" max="258" width="92.33203125" style="415" customWidth="1"/>
    <col min="259" max="259" width="29.1640625" style="415" customWidth="1"/>
    <col min="260" max="512" width="9.33203125" style="415"/>
    <col min="513" max="513" width="16" style="415" customWidth="1"/>
    <col min="514" max="514" width="92.33203125" style="415" customWidth="1"/>
    <col min="515" max="515" width="29.1640625" style="415" customWidth="1"/>
    <col min="516" max="768" width="9.33203125" style="415"/>
    <col min="769" max="769" width="16" style="415" customWidth="1"/>
    <col min="770" max="770" width="92.33203125" style="415" customWidth="1"/>
    <col min="771" max="771" width="29.1640625" style="415" customWidth="1"/>
    <col min="772" max="1024" width="9.33203125" style="415"/>
    <col min="1025" max="1025" width="16" style="415" customWidth="1"/>
    <col min="1026" max="1026" width="92.33203125" style="415" customWidth="1"/>
    <col min="1027" max="1027" width="29.1640625" style="415" customWidth="1"/>
    <col min="1028" max="1280" width="9.33203125" style="415"/>
    <col min="1281" max="1281" width="16" style="415" customWidth="1"/>
    <col min="1282" max="1282" width="92.33203125" style="415" customWidth="1"/>
    <col min="1283" max="1283" width="29.1640625" style="415" customWidth="1"/>
    <col min="1284" max="1536" width="9.33203125" style="415"/>
    <col min="1537" max="1537" width="16" style="415" customWidth="1"/>
    <col min="1538" max="1538" width="92.33203125" style="415" customWidth="1"/>
    <col min="1539" max="1539" width="29.1640625" style="415" customWidth="1"/>
    <col min="1540" max="1792" width="9.33203125" style="415"/>
    <col min="1793" max="1793" width="16" style="415" customWidth="1"/>
    <col min="1794" max="1794" width="92.33203125" style="415" customWidth="1"/>
    <col min="1795" max="1795" width="29.1640625" style="415" customWidth="1"/>
    <col min="1796" max="2048" width="9.33203125" style="415"/>
    <col min="2049" max="2049" width="16" style="415" customWidth="1"/>
    <col min="2050" max="2050" width="92.33203125" style="415" customWidth="1"/>
    <col min="2051" max="2051" width="29.1640625" style="415" customWidth="1"/>
    <col min="2052" max="2304" width="9.33203125" style="415"/>
    <col min="2305" max="2305" width="16" style="415" customWidth="1"/>
    <col min="2306" max="2306" width="92.33203125" style="415" customWidth="1"/>
    <col min="2307" max="2307" width="29.1640625" style="415" customWidth="1"/>
    <col min="2308" max="2560" width="9.33203125" style="415"/>
    <col min="2561" max="2561" width="16" style="415" customWidth="1"/>
    <col min="2562" max="2562" width="92.33203125" style="415" customWidth="1"/>
    <col min="2563" max="2563" width="29.1640625" style="415" customWidth="1"/>
    <col min="2564" max="2816" width="9.33203125" style="415"/>
    <col min="2817" max="2817" width="16" style="415" customWidth="1"/>
    <col min="2818" max="2818" width="92.33203125" style="415" customWidth="1"/>
    <col min="2819" max="2819" width="29.1640625" style="415" customWidth="1"/>
    <col min="2820" max="3072" width="9.33203125" style="415"/>
    <col min="3073" max="3073" width="16" style="415" customWidth="1"/>
    <col min="3074" max="3074" width="92.33203125" style="415" customWidth="1"/>
    <col min="3075" max="3075" width="29.1640625" style="415" customWidth="1"/>
    <col min="3076" max="3328" width="9.33203125" style="415"/>
    <col min="3329" max="3329" width="16" style="415" customWidth="1"/>
    <col min="3330" max="3330" width="92.33203125" style="415" customWidth="1"/>
    <col min="3331" max="3331" width="29.1640625" style="415" customWidth="1"/>
    <col min="3332" max="3584" width="9.33203125" style="415"/>
    <col min="3585" max="3585" width="16" style="415" customWidth="1"/>
    <col min="3586" max="3586" width="92.33203125" style="415" customWidth="1"/>
    <col min="3587" max="3587" width="29.1640625" style="415" customWidth="1"/>
    <col min="3588" max="3840" width="9.33203125" style="415"/>
    <col min="3841" max="3841" width="16" style="415" customWidth="1"/>
    <col min="3842" max="3842" width="92.33203125" style="415" customWidth="1"/>
    <col min="3843" max="3843" width="29.1640625" style="415" customWidth="1"/>
    <col min="3844" max="4096" width="9.33203125" style="415"/>
    <col min="4097" max="4097" width="16" style="415" customWidth="1"/>
    <col min="4098" max="4098" width="92.33203125" style="415" customWidth="1"/>
    <col min="4099" max="4099" width="29.1640625" style="415" customWidth="1"/>
    <col min="4100" max="4352" width="9.33203125" style="415"/>
    <col min="4353" max="4353" width="16" style="415" customWidth="1"/>
    <col min="4354" max="4354" width="92.33203125" style="415" customWidth="1"/>
    <col min="4355" max="4355" width="29.1640625" style="415" customWidth="1"/>
    <col min="4356" max="4608" width="9.33203125" style="415"/>
    <col min="4609" max="4609" width="16" style="415" customWidth="1"/>
    <col min="4610" max="4610" width="92.33203125" style="415" customWidth="1"/>
    <col min="4611" max="4611" width="29.1640625" style="415" customWidth="1"/>
    <col min="4612" max="4864" width="9.33203125" style="415"/>
    <col min="4865" max="4865" width="16" style="415" customWidth="1"/>
    <col min="4866" max="4866" width="92.33203125" style="415" customWidth="1"/>
    <col min="4867" max="4867" width="29.1640625" style="415" customWidth="1"/>
    <col min="4868" max="5120" width="9.33203125" style="415"/>
    <col min="5121" max="5121" width="16" style="415" customWidth="1"/>
    <col min="5122" max="5122" width="92.33203125" style="415" customWidth="1"/>
    <col min="5123" max="5123" width="29.1640625" style="415" customWidth="1"/>
    <col min="5124" max="5376" width="9.33203125" style="415"/>
    <col min="5377" max="5377" width="16" style="415" customWidth="1"/>
    <col min="5378" max="5378" width="92.33203125" style="415" customWidth="1"/>
    <col min="5379" max="5379" width="29.1640625" style="415" customWidth="1"/>
    <col min="5380" max="5632" width="9.33203125" style="415"/>
    <col min="5633" max="5633" width="16" style="415" customWidth="1"/>
    <col min="5634" max="5634" width="92.33203125" style="415" customWidth="1"/>
    <col min="5635" max="5635" width="29.1640625" style="415" customWidth="1"/>
    <col min="5636" max="5888" width="9.33203125" style="415"/>
    <col min="5889" max="5889" width="16" style="415" customWidth="1"/>
    <col min="5890" max="5890" width="92.33203125" style="415" customWidth="1"/>
    <col min="5891" max="5891" width="29.1640625" style="415" customWidth="1"/>
    <col min="5892" max="6144" width="9.33203125" style="415"/>
    <col min="6145" max="6145" width="16" style="415" customWidth="1"/>
    <col min="6146" max="6146" width="92.33203125" style="415" customWidth="1"/>
    <col min="6147" max="6147" width="29.1640625" style="415" customWidth="1"/>
    <col min="6148" max="6400" width="9.33203125" style="415"/>
    <col min="6401" max="6401" width="16" style="415" customWidth="1"/>
    <col min="6402" max="6402" width="92.33203125" style="415" customWidth="1"/>
    <col min="6403" max="6403" width="29.1640625" style="415" customWidth="1"/>
    <col min="6404" max="6656" width="9.33203125" style="415"/>
    <col min="6657" max="6657" width="16" style="415" customWidth="1"/>
    <col min="6658" max="6658" width="92.33203125" style="415" customWidth="1"/>
    <col min="6659" max="6659" width="29.1640625" style="415" customWidth="1"/>
    <col min="6660" max="6912" width="9.33203125" style="415"/>
    <col min="6913" max="6913" width="16" style="415" customWidth="1"/>
    <col min="6914" max="6914" width="92.33203125" style="415" customWidth="1"/>
    <col min="6915" max="6915" width="29.1640625" style="415" customWidth="1"/>
    <col min="6916" max="7168" width="9.33203125" style="415"/>
    <col min="7169" max="7169" width="16" style="415" customWidth="1"/>
    <col min="7170" max="7170" width="92.33203125" style="415" customWidth="1"/>
    <col min="7171" max="7171" width="29.1640625" style="415" customWidth="1"/>
    <col min="7172" max="7424" width="9.33203125" style="415"/>
    <col min="7425" max="7425" width="16" style="415" customWidth="1"/>
    <col min="7426" max="7426" width="92.33203125" style="415" customWidth="1"/>
    <col min="7427" max="7427" width="29.1640625" style="415" customWidth="1"/>
    <col min="7428" max="7680" width="9.33203125" style="415"/>
    <col min="7681" max="7681" width="16" style="415" customWidth="1"/>
    <col min="7682" max="7682" width="92.33203125" style="415" customWidth="1"/>
    <col min="7683" max="7683" width="29.1640625" style="415" customWidth="1"/>
    <col min="7684" max="7936" width="9.33203125" style="415"/>
    <col min="7937" max="7937" width="16" style="415" customWidth="1"/>
    <col min="7938" max="7938" width="92.33203125" style="415" customWidth="1"/>
    <col min="7939" max="7939" width="29.1640625" style="415" customWidth="1"/>
    <col min="7940" max="8192" width="9.33203125" style="415"/>
    <col min="8193" max="8193" width="16" style="415" customWidth="1"/>
    <col min="8194" max="8194" width="92.33203125" style="415" customWidth="1"/>
    <col min="8195" max="8195" width="29.1640625" style="415" customWidth="1"/>
    <col min="8196" max="8448" width="9.33203125" style="415"/>
    <col min="8449" max="8449" width="16" style="415" customWidth="1"/>
    <col min="8450" max="8450" width="92.33203125" style="415" customWidth="1"/>
    <col min="8451" max="8451" width="29.1640625" style="415" customWidth="1"/>
    <col min="8452" max="8704" width="9.33203125" style="415"/>
    <col min="8705" max="8705" width="16" style="415" customWidth="1"/>
    <col min="8706" max="8706" width="92.33203125" style="415" customWidth="1"/>
    <col min="8707" max="8707" width="29.1640625" style="415" customWidth="1"/>
    <col min="8708" max="8960" width="9.33203125" style="415"/>
    <col min="8961" max="8961" width="16" style="415" customWidth="1"/>
    <col min="8962" max="8962" width="92.33203125" style="415" customWidth="1"/>
    <col min="8963" max="8963" width="29.1640625" style="415" customWidth="1"/>
    <col min="8964" max="9216" width="9.33203125" style="415"/>
    <col min="9217" max="9217" width="16" style="415" customWidth="1"/>
    <col min="9218" max="9218" width="92.33203125" style="415" customWidth="1"/>
    <col min="9219" max="9219" width="29.1640625" style="415" customWidth="1"/>
    <col min="9220" max="9472" width="9.33203125" style="415"/>
    <col min="9473" max="9473" width="16" style="415" customWidth="1"/>
    <col min="9474" max="9474" width="92.33203125" style="415" customWidth="1"/>
    <col min="9475" max="9475" width="29.1640625" style="415" customWidth="1"/>
    <col min="9476" max="9728" width="9.33203125" style="415"/>
    <col min="9729" max="9729" width="16" style="415" customWidth="1"/>
    <col min="9730" max="9730" width="92.33203125" style="415" customWidth="1"/>
    <col min="9731" max="9731" width="29.1640625" style="415" customWidth="1"/>
    <col min="9732" max="9984" width="9.33203125" style="415"/>
    <col min="9985" max="9985" width="16" style="415" customWidth="1"/>
    <col min="9986" max="9986" width="92.33203125" style="415" customWidth="1"/>
    <col min="9987" max="9987" width="29.1640625" style="415" customWidth="1"/>
    <col min="9988" max="10240" width="9.33203125" style="415"/>
    <col min="10241" max="10241" width="16" style="415" customWidth="1"/>
    <col min="10242" max="10242" width="92.33203125" style="415" customWidth="1"/>
    <col min="10243" max="10243" width="29.1640625" style="415" customWidth="1"/>
    <col min="10244" max="10496" width="9.33203125" style="415"/>
    <col min="10497" max="10497" width="16" style="415" customWidth="1"/>
    <col min="10498" max="10498" width="92.33203125" style="415" customWidth="1"/>
    <col min="10499" max="10499" width="29.1640625" style="415" customWidth="1"/>
    <col min="10500" max="10752" width="9.33203125" style="415"/>
    <col min="10753" max="10753" width="16" style="415" customWidth="1"/>
    <col min="10754" max="10754" width="92.33203125" style="415" customWidth="1"/>
    <col min="10755" max="10755" width="29.1640625" style="415" customWidth="1"/>
    <col min="10756" max="11008" width="9.33203125" style="415"/>
    <col min="11009" max="11009" width="16" style="415" customWidth="1"/>
    <col min="11010" max="11010" width="92.33203125" style="415" customWidth="1"/>
    <col min="11011" max="11011" width="29.1640625" style="415" customWidth="1"/>
    <col min="11012" max="11264" width="9.33203125" style="415"/>
    <col min="11265" max="11265" width="16" style="415" customWidth="1"/>
    <col min="11266" max="11266" width="92.33203125" style="415" customWidth="1"/>
    <col min="11267" max="11267" width="29.1640625" style="415" customWidth="1"/>
    <col min="11268" max="11520" width="9.33203125" style="415"/>
    <col min="11521" max="11521" width="16" style="415" customWidth="1"/>
    <col min="11522" max="11522" width="92.33203125" style="415" customWidth="1"/>
    <col min="11523" max="11523" width="29.1640625" style="415" customWidth="1"/>
    <col min="11524" max="11776" width="9.33203125" style="415"/>
    <col min="11777" max="11777" width="16" style="415" customWidth="1"/>
    <col min="11778" max="11778" width="92.33203125" style="415" customWidth="1"/>
    <col min="11779" max="11779" width="29.1640625" style="415" customWidth="1"/>
    <col min="11780" max="12032" width="9.33203125" style="415"/>
    <col min="12033" max="12033" width="16" style="415" customWidth="1"/>
    <col min="12034" max="12034" width="92.33203125" style="415" customWidth="1"/>
    <col min="12035" max="12035" width="29.1640625" style="415" customWidth="1"/>
    <col min="12036" max="12288" width="9.33203125" style="415"/>
    <col min="12289" max="12289" width="16" style="415" customWidth="1"/>
    <col min="12290" max="12290" width="92.33203125" style="415" customWidth="1"/>
    <col min="12291" max="12291" width="29.1640625" style="415" customWidth="1"/>
    <col min="12292" max="12544" width="9.33203125" style="415"/>
    <col min="12545" max="12545" width="16" style="415" customWidth="1"/>
    <col min="12546" max="12546" width="92.33203125" style="415" customWidth="1"/>
    <col min="12547" max="12547" width="29.1640625" style="415" customWidth="1"/>
    <col min="12548" max="12800" width="9.33203125" style="415"/>
    <col min="12801" max="12801" width="16" style="415" customWidth="1"/>
    <col min="12802" max="12802" width="92.33203125" style="415" customWidth="1"/>
    <col min="12803" max="12803" width="29.1640625" style="415" customWidth="1"/>
    <col min="12804" max="13056" width="9.33203125" style="415"/>
    <col min="13057" max="13057" width="16" style="415" customWidth="1"/>
    <col min="13058" max="13058" width="92.33203125" style="415" customWidth="1"/>
    <col min="13059" max="13059" width="29.1640625" style="415" customWidth="1"/>
    <col min="13060" max="13312" width="9.33203125" style="415"/>
    <col min="13313" max="13313" width="16" style="415" customWidth="1"/>
    <col min="13314" max="13314" width="92.33203125" style="415" customWidth="1"/>
    <col min="13315" max="13315" width="29.1640625" style="415" customWidth="1"/>
    <col min="13316" max="13568" width="9.33203125" style="415"/>
    <col min="13569" max="13569" width="16" style="415" customWidth="1"/>
    <col min="13570" max="13570" width="92.33203125" style="415" customWidth="1"/>
    <col min="13571" max="13571" width="29.1640625" style="415" customWidth="1"/>
    <col min="13572" max="13824" width="9.33203125" style="415"/>
    <col min="13825" max="13825" width="16" style="415" customWidth="1"/>
    <col min="13826" max="13826" width="92.33203125" style="415" customWidth="1"/>
    <col min="13827" max="13827" width="29.1640625" style="415" customWidth="1"/>
    <col min="13828" max="14080" width="9.33203125" style="415"/>
    <col min="14081" max="14081" width="16" style="415" customWidth="1"/>
    <col min="14082" max="14082" width="92.33203125" style="415" customWidth="1"/>
    <col min="14083" max="14083" width="29.1640625" style="415" customWidth="1"/>
    <col min="14084" max="14336" width="9.33203125" style="415"/>
    <col min="14337" max="14337" width="16" style="415" customWidth="1"/>
    <col min="14338" max="14338" width="92.33203125" style="415" customWidth="1"/>
    <col min="14339" max="14339" width="29.1640625" style="415" customWidth="1"/>
    <col min="14340" max="14592" width="9.33203125" style="415"/>
    <col min="14593" max="14593" width="16" style="415" customWidth="1"/>
    <col min="14594" max="14594" width="92.33203125" style="415" customWidth="1"/>
    <col min="14595" max="14595" width="29.1640625" style="415" customWidth="1"/>
    <col min="14596" max="14848" width="9.33203125" style="415"/>
    <col min="14849" max="14849" width="16" style="415" customWidth="1"/>
    <col min="14850" max="14850" width="92.33203125" style="415" customWidth="1"/>
    <col min="14851" max="14851" width="29.1640625" style="415" customWidth="1"/>
    <col min="14852" max="15104" width="9.33203125" style="415"/>
    <col min="15105" max="15105" width="16" style="415" customWidth="1"/>
    <col min="15106" max="15106" width="92.33203125" style="415" customWidth="1"/>
    <col min="15107" max="15107" width="29.1640625" style="415" customWidth="1"/>
    <col min="15108" max="15360" width="9.33203125" style="415"/>
    <col min="15361" max="15361" width="16" style="415" customWidth="1"/>
    <col min="15362" max="15362" width="92.33203125" style="415" customWidth="1"/>
    <col min="15363" max="15363" width="29.1640625" style="415" customWidth="1"/>
    <col min="15364" max="15616" width="9.33203125" style="415"/>
    <col min="15617" max="15617" width="16" style="415" customWidth="1"/>
    <col min="15618" max="15618" width="92.33203125" style="415" customWidth="1"/>
    <col min="15619" max="15619" width="29.1640625" style="415" customWidth="1"/>
    <col min="15620" max="15872" width="9.33203125" style="415"/>
    <col min="15873" max="15873" width="16" style="415" customWidth="1"/>
    <col min="15874" max="15874" width="92.33203125" style="415" customWidth="1"/>
    <col min="15875" max="15875" width="29.1640625" style="415" customWidth="1"/>
    <col min="15876" max="16128" width="9.33203125" style="415"/>
    <col min="16129" max="16129" width="16" style="415" customWidth="1"/>
    <col min="16130" max="16130" width="92.33203125" style="415" customWidth="1"/>
    <col min="16131" max="16131" width="29.1640625" style="415" customWidth="1"/>
    <col min="16132" max="16384" width="9.33203125" style="415"/>
  </cols>
  <sheetData>
    <row r="1" spans="1:3" s="399" customFormat="1" ht="21" customHeight="1" thickBot="1" x14ac:dyDescent="0.25">
      <c r="A1" s="396"/>
      <c r="B1" s="397"/>
      <c r="C1" s="398"/>
    </row>
    <row r="2" spans="1:3" s="404" customFormat="1" ht="33" customHeight="1" x14ac:dyDescent="0.2">
      <c r="A2" s="401" t="s">
        <v>74</v>
      </c>
      <c r="B2" s="402" t="s">
        <v>145</v>
      </c>
      <c r="C2" s="403" t="s">
        <v>43</v>
      </c>
    </row>
    <row r="3" spans="1:3" s="404" customFormat="1" ht="24.75" thickBot="1" x14ac:dyDescent="0.25">
      <c r="A3" s="406" t="s">
        <v>73</v>
      </c>
      <c r="B3" s="407" t="s">
        <v>121</v>
      </c>
      <c r="C3" s="408" t="s">
        <v>42</v>
      </c>
    </row>
    <row r="4" spans="1:3" s="411" customFormat="1" ht="15.95" customHeight="1" thickBot="1" x14ac:dyDescent="0.3">
      <c r="A4" s="409"/>
      <c r="B4" s="409"/>
      <c r="C4" s="410" t="s">
        <v>146</v>
      </c>
    </row>
    <row r="5" spans="1:3" ht="13.5" thickBot="1" x14ac:dyDescent="0.25">
      <c r="A5" s="412" t="s">
        <v>75</v>
      </c>
      <c r="B5" s="413" t="s">
        <v>37</v>
      </c>
      <c r="C5" s="414" t="s">
        <v>38</v>
      </c>
    </row>
    <row r="6" spans="1:3" s="419" customFormat="1" ht="12.95" customHeight="1" thickBot="1" x14ac:dyDescent="0.25">
      <c r="A6" s="416" t="s">
        <v>122</v>
      </c>
      <c r="B6" s="417" t="s">
        <v>123</v>
      </c>
      <c r="C6" s="418" t="s">
        <v>124</v>
      </c>
    </row>
    <row r="7" spans="1:3" s="419" customFormat="1" ht="15.95" customHeight="1" thickBot="1" x14ac:dyDescent="0.25">
      <c r="A7" s="421"/>
      <c r="B7" s="422" t="s">
        <v>39</v>
      </c>
      <c r="C7" s="423"/>
    </row>
    <row r="8" spans="1:3" s="426" customFormat="1" ht="12" customHeight="1" thickBot="1" x14ac:dyDescent="0.25">
      <c r="A8" s="416" t="s">
        <v>6</v>
      </c>
      <c r="B8" s="424" t="s">
        <v>131</v>
      </c>
      <c r="C8" s="425">
        <f>SUM(C9:C19)</f>
        <v>12429074</v>
      </c>
    </row>
    <row r="9" spans="1:3" s="426" customFormat="1" ht="12" customHeight="1" x14ac:dyDescent="0.2">
      <c r="A9" s="428" t="s">
        <v>48</v>
      </c>
      <c r="B9" s="4" t="s">
        <v>91</v>
      </c>
      <c r="C9" s="429">
        <f>150000-130000</f>
        <v>20000</v>
      </c>
    </row>
    <row r="10" spans="1:3" s="426" customFormat="1" ht="12" customHeight="1" x14ac:dyDescent="0.2">
      <c r="A10" s="430" t="s">
        <v>49</v>
      </c>
      <c r="B10" s="2" t="s">
        <v>92</v>
      </c>
      <c r="C10" s="431">
        <f>9800000+70000</f>
        <v>9870000</v>
      </c>
    </row>
    <row r="11" spans="1:3" s="426" customFormat="1" ht="12" customHeight="1" x14ac:dyDescent="0.2">
      <c r="A11" s="430" t="s">
        <v>50</v>
      </c>
      <c r="B11" s="2" t="s">
        <v>93</v>
      </c>
      <c r="C11" s="432">
        <v>50000</v>
      </c>
    </row>
    <row r="12" spans="1:3" s="426" customFormat="1" ht="12" customHeight="1" x14ac:dyDescent="0.2">
      <c r="A12" s="430" t="s">
        <v>51</v>
      </c>
      <c r="B12" s="2" t="s">
        <v>94</v>
      </c>
      <c r="C12" s="432"/>
    </row>
    <row r="13" spans="1:3" s="426" customFormat="1" ht="12" customHeight="1" x14ac:dyDescent="0.2">
      <c r="A13" s="430" t="s">
        <v>63</v>
      </c>
      <c r="B13" s="2" t="s">
        <v>95</v>
      </c>
      <c r="C13" s="432"/>
    </row>
    <row r="14" spans="1:3" s="426" customFormat="1" ht="12" customHeight="1" x14ac:dyDescent="0.2">
      <c r="A14" s="430" t="s">
        <v>52</v>
      </c>
      <c r="B14" s="2" t="s">
        <v>105</v>
      </c>
      <c r="C14" s="431">
        <f>1134000+18900</f>
        <v>1152900</v>
      </c>
    </row>
    <row r="15" spans="1:3" s="426" customFormat="1" ht="12" customHeight="1" x14ac:dyDescent="0.2">
      <c r="A15" s="430" t="s">
        <v>53</v>
      </c>
      <c r="B15" s="1" t="s">
        <v>106</v>
      </c>
      <c r="C15" s="432">
        <v>1170000</v>
      </c>
    </row>
    <row r="16" spans="1:3" s="426" customFormat="1" ht="12" customHeight="1" x14ac:dyDescent="0.2">
      <c r="A16" s="430" t="s">
        <v>58</v>
      </c>
      <c r="B16" s="2" t="s">
        <v>96</v>
      </c>
      <c r="C16" s="433"/>
    </row>
    <row r="17" spans="1:3" s="434" customFormat="1" ht="12" customHeight="1" x14ac:dyDescent="0.2">
      <c r="A17" s="430" t="s">
        <v>59</v>
      </c>
      <c r="B17" s="2" t="s">
        <v>97</v>
      </c>
      <c r="C17" s="432"/>
    </row>
    <row r="18" spans="1:3" s="434" customFormat="1" ht="12" customHeight="1" x14ac:dyDescent="0.2">
      <c r="A18" s="430" t="s">
        <v>60</v>
      </c>
      <c r="B18" s="2" t="s">
        <v>126</v>
      </c>
      <c r="C18" s="435"/>
    </row>
    <row r="19" spans="1:3" s="434" customFormat="1" ht="12" customHeight="1" thickBot="1" x14ac:dyDescent="0.25">
      <c r="A19" s="430" t="s">
        <v>61</v>
      </c>
      <c r="B19" s="1" t="s">
        <v>98</v>
      </c>
      <c r="C19" s="468">
        <v>166174</v>
      </c>
    </row>
    <row r="20" spans="1:3" s="426" customFormat="1" ht="12" customHeight="1" thickBot="1" x14ac:dyDescent="0.25">
      <c r="A20" s="416" t="s">
        <v>7</v>
      </c>
      <c r="B20" s="424" t="s">
        <v>107</v>
      </c>
      <c r="C20" s="425">
        <f>SUM(C21:C23)</f>
        <v>136269</v>
      </c>
    </row>
    <row r="21" spans="1:3" s="434" customFormat="1" ht="12" customHeight="1" x14ac:dyDescent="0.2">
      <c r="A21" s="430" t="s">
        <v>54</v>
      </c>
      <c r="B21" s="3" t="s">
        <v>80</v>
      </c>
      <c r="C21" s="432"/>
    </row>
    <row r="22" spans="1:3" s="434" customFormat="1" ht="12" customHeight="1" x14ac:dyDescent="0.2">
      <c r="A22" s="430" t="s">
        <v>55</v>
      </c>
      <c r="B22" s="2" t="s">
        <v>108</v>
      </c>
      <c r="C22" s="432"/>
    </row>
    <row r="23" spans="1:3" s="434" customFormat="1" ht="12" customHeight="1" x14ac:dyDescent="0.2">
      <c r="A23" s="430" t="s">
        <v>56</v>
      </c>
      <c r="B23" s="2" t="s">
        <v>109</v>
      </c>
      <c r="C23" s="431">
        <v>136269</v>
      </c>
    </row>
    <row r="24" spans="1:3" s="434" customFormat="1" ht="12" customHeight="1" thickBot="1" x14ac:dyDescent="0.25">
      <c r="A24" s="430" t="s">
        <v>57</v>
      </c>
      <c r="B24" s="2" t="s">
        <v>134</v>
      </c>
      <c r="C24" s="432"/>
    </row>
    <row r="25" spans="1:3" s="434" customFormat="1" ht="12" customHeight="1" thickBot="1" x14ac:dyDescent="0.25">
      <c r="A25" s="437" t="s">
        <v>8</v>
      </c>
      <c r="B25" s="18" t="s">
        <v>67</v>
      </c>
      <c r="C25" s="438"/>
    </row>
    <row r="26" spans="1:3" s="434" customFormat="1" ht="12" customHeight="1" thickBot="1" x14ac:dyDescent="0.25">
      <c r="A26" s="437" t="s">
        <v>9</v>
      </c>
      <c r="B26" s="18" t="s">
        <v>135</v>
      </c>
      <c r="C26" s="425">
        <f>+C27+C28</f>
        <v>0</v>
      </c>
    </row>
    <row r="27" spans="1:3" s="434" customFormat="1" ht="12" customHeight="1" x14ac:dyDescent="0.2">
      <c r="A27" s="439" t="s">
        <v>83</v>
      </c>
      <c r="B27" s="38" t="s">
        <v>108</v>
      </c>
      <c r="C27" s="440"/>
    </row>
    <row r="28" spans="1:3" s="434" customFormat="1" ht="12" customHeight="1" x14ac:dyDescent="0.2">
      <c r="A28" s="439" t="s">
        <v>84</v>
      </c>
      <c r="B28" s="39" t="s">
        <v>110</v>
      </c>
      <c r="C28" s="441"/>
    </row>
    <row r="29" spans="1:3" s="434" customFormat="1" ht="12" customHeight="1" thickBot="1" x14ac:dyDescent="0.25">
      <c r="A29" s="430" t="s">
        <v>85</v>
      </c>
      <c r="B29" s="19" t="s">
        <v>136</v>
      </c>
      <c r="C29" s="442"/>
    </row>
    <row r="30" spans="1:3" s="434" customFormat="1" ht="12" customHeight="1" thickBot="1" x14ac:dyDescent="0.25">
      <c r="A30" s="437" t="s">
        <v>10</v>
      </c>
      <c r="B30" s="18" t="s">
        <v>111</v>
      </c>
      <c r="C30" s="425">
        <f>+C31+C32+C33</f>
        <v>0</v>
      </c>
    </row>
    <row r="31" spans="1:3" s="434" customFormat="1" ht="12" customHeight="1" x14ac:dyDescent="0.2">
      <c r="A31" s="439" t="s">
        <v>45</v>
      </c>
      <c r="B31" s="38" t="s">
        <v>99</v>
      </c>
      <c r="C31" s="440"/>
    </row>
    <row r="32" spans="1:3" s="434" customFormat="1" ht="12" customHeight="1" x14ac:dyDescent="0.2">
      <c r="A32" s="439" t="s">
        <v>46</v>
      </c>
      <c r="B32" s="39" t="s">
        <v>100</v>
      </c>
      <c r="C32" s="441"/>
    </row>
    <row r="33" spans="1:3" s="434" customFormat="1" ht="12" customHeight="1" thickBot="1" x14ac:dyDescent="0.25">
      <c r="A33" s="430" t="s">
        <v>47</v>
      </c>
      <c r="B33" s="19" t="s">
        <v>101</v>
      </c>
      <c r="C33" s="442"/>
    </row>
    <row r="34" spans="1:3" s="426" customFormat="1" ht="12" customHeight="1" thickBot="1" x14ac:dyDescent="0.25">
      <c r="A34" s="437" t="s">
        <v>11</v>
      </c>
      <c r="B34" s="18" t="s">
        <v>104</v>
      </c>
      <c r="C34" s="438"/>
    </row>
    <row r="35" spans="1:3" s="426" customFormat="1" ht="12" customHeight="1" thickBot="1" x14ac:dyDescent="0.25">
      <c r="A35" s="437" t="s">
        <v>12</v>
      </c>
      <c r="B35" s="18" t="s">
        <v>112</v>
      </c>
      <c r="C35" s="443"/>
    </row>
    <row r="36" spans="1:3" s="426" customFormat="1" ht="12" customHeight="1" thickBot="1" x14ac:dyDescent="0.25">
      <c r="A36" s="416" t="s">
        <v>13</v>
      </c>
      <c r="B36" s="18" t="s">
        <v>137</v>
      </c>
      <c r="C36" s="444">
        <f>+C8+C20+C25+C26+C30+C34+C35</f>
        <v>12565343</v>
      </c>
    </row>
    <row r="37" spans="1:3" s="426" customFormat="1" ht="12" customHeight="1" thickBot="1" x14ac:dyDescent="0.25">
      <c r="A37" s="445" t="s">
        <v>14</v>
      </c>
      <c r="B37" s="18" t="s">
        <v>113</v>
      </c>
      <c r="C37" s="444">
        <f>+C38+C39+C40</f>
        <v>81326046</v>
      </c>
    </row>
    <row r="38" spans="1:3" s="426" customFormat="1" ht="12" customHeight="1" x14ac:dyDescent="0.2">
      <c r="A38" s="439" t="s">
        <v>114</v>
      </c>
      <c r="B38" s="38" t="s">
        <v>79</v>
      </c>
      <c r="C38" s="440">
        <v>361287</v>
      </c>
    </row>
    <row r="39" spans="1:3" s="426" customFormat="1" ht="12" customHeight="1" x14ac:dyDescent="0.2">
      <c r="A39" s="439" t="s">
        <v>115</v>
      </c>
      <c r="B39" s="39" t="s">
        <v>0</v>
      </c>
      <c r="C39" s="441"/>
    </row>
    <row r="40" spans="1:3" s="434" customFormat="1" ht="12" customHeight="1" thickBot="1" x14ac:dyDescent="0.25">
      <c r="A40" s="430" t="s">
        <v>116</v>
      </c>
      <c r="B40" s="19" t="s">
        <v>117</v>
      </c>
      <c r="C40" s="446">
        <f>84577606+203748+232749+1598336+27000+232749+698000-166174+160745-6600000</f>
        <v>80964759</v>
      </c>
    </row>
    <row r="41" spans="1:3" s="434" customFormat="1" ht="15" customHeight="1" thickBot="1" x14ac:dyDescent="0.25">
      <c r="A41" s="445" t="s">
        <v>15</v>
      </c>
      <c r="B41" s="447" t="s">
        <v>118</v>
      </c>
      <c r="C41" s="444">
        <f>+C36+C37</f>
        <v>93891389</v>
      </c>
    </row>
    <row r="42" spans="1:3" s="434" customFormat="1" ht="15" customHeight="1" x14ac:dyDescent="0.2">
      <c r="A42" s="448"/>
      <c r="B42" s="449"/>
      <c r="C42" s="450"/>
    </row>
    <row r="43" spans="1:3" ht="13.5" thickBot="1" x14ac:dyDescent="0.25">
      <c r="A43" s="451"/>
      <c r="B43" s="452"/>
      <c r="C43" s="453"/>
    </row>
    <row r="44" spans="1:3" s="419" customFormat="1" ht="16.5" customHeight="1" thickBot="1" x14ac:dyDescent="0.25">
      <c r="A44" s="454"/>
      <c r="B44" s="455" t="s">
        <v>40</v>
      </c>
      <c r="C44" s="444"/>
    </row>
    <row r="45" spans="1:3" s="456" customFormat="1" ht="12" customHeight="1" thickBot="1" x14ac:dyDescent="0.25">
      <c r="A45" s="437" t="s">
        <v>6</v>
      </c>
      <c r="B45" s="18" t="s">
        <v>119</v>
      </c>
      <c r="C45" s="425">
        <f>SUM(C46:C50)</f>
        <v>88595580</v>
      </c>
    </row>
    <row r="46" spans="1:3" ht="12" customHeight="1" x14ac:dyDescent="0.2">
      <c r="A46" s="430" t="s">
        <v>48</v>
      </c>
      <c r="B46" s="3" t="s">
        <v>35</v>
      </c>
      <c r="C46" s="457">
        <f>44090923+170500+69000+100000+27000+130212-1500000-250000</f>
        <v>42837635</v>
      </c>
    </row>
    <row r="47" spans="1:3" ht="12" customHeight="1" x14ac:dyDescent="0.2">
      <c r="A47" s="430" t="s">
        <v>49</v>
      </c>
      <c r="B47" s="2" t="s">
        <v>69</v>
      </c>
      <c r="C47" s="458">
        <f>8671204+33248+12110+30533-500000+250000</f>
        <v>8497095</v>
      </c>
    </row>
    <row r="48" spans="1:3" ht="12" customHeight="1" x14ac:dyDescent="0.2">
      <c r="A48" s="430" t="s">
        <v>50</v>
      </c>
      <c r="B48" s="2" t="s">
        <v>62</v>
      </c>
      <c r="C48" s="459">
        <f>41672062-81110+232749-100000-170000+232749+176000+88900-190500-4600000</f>
        <v>37260850</v>
      </c>
    </row>
    <row r="49" spans="1:3" ht="12" customHeight="1" x14ac:dyDescent="0.2">
      <c r="A49" s="430" t="s">
        <v>51</v>
      </c>
      <c r="B49" s="2" t="s">
        <v>70</v>
      </c>
      <c r="C49" s="459"/>
    </row>
    <row r="50" spans="1:3" ht="12" customHeight="1" thickBot="1" x14ac:dyDescent="0.25">
      <c r="A50" s="430" t="s">
        <v>63</v>
      </c>
      <c r="B50" s="2" t="s">
        <v>71</v>
      </c>
      <c r="C50" s="459"/>
    </row>
    <row r="51" spans="1:3" ht="12" customHeight="1" thickBot="1" x14ac:dyDescent="0.25">
      <c r="A51" s="437" t="s">
        <v>7</v>
      </c>
      <c r="B51" s="18" t="s">
        <v>120</v>
      </c>
      <c r="C51" s="425">
        <f>SUM(C52:C54)</f>
        <v>5295809</v>
      </c>
    </row>
    <row r="52" spans="1:3" s="456" customFormat="1" ht="12" customHeight="1" x14ac:dyDescent="0.2">
      <c r="A52" s="430" t="s">
        <v>54</v>
      </c>
      <c r="B52" s="3" t="s">
        <v>77</v>
      </c>
      <c r="C52" s="440">
        <f>2678704+1598336+170000+522000+136269+190500</f>
        <v>5295809</v>
      </c>
    </row>
    <row r="53" spans="1:3" ht="12" customHeight="1" x14ac:dyDescent="0.2">
      <c r="A53" s="430" t="s">
        <v>55</v>
      </c>
      <c r="B53" s="2" t="s">
        <v>72</v>
      </c>
      <c r="C53" s="459"/>
    </row>
    <row r="54" spans="1:3" ht="12" customHeight="1" x14ac:dyDescent="0.2">
      <c r="A54" s="430" t="s">
        <v>56</v>
      </c>
      <c r="B54" s="2" t="s">
        <v>41</v>
      </c>
      <c r="C54" s="459"/>
    </row>
    <row r="55" spans="1:3" ht="12" customHeight="1" thickBot="1" x14ac:dyDescent="0.25">
      <c r="A55" s="430" t="s">
        <v>57</v>
      </c>
      <c r="B55" s="2" t="s">
        <v>132</v>
      </c>
      <c r="C55" s="459"/>
    </row>
    <row r="56" spans="1:3" ht="15" customHeight="1" thickBot="1" x14ac:dyDescent="0.25">
      <c r="A56" s="437" t="s">
        <v>8</v>
      </c>
      <c r="B56" s="18" t="s">
        <v>2</v>
      </c>
      <c r="C56" s="438"/>
    </row>
    <row r="57" spans="1:3" ht="13.5" thickBot="1" x14ac:dyDescent="0.25">
      <c r="A57" s="437" t="s">
        <v>9</v>
      </c>
      <c r="B57" s="460" t="s">
        <v>133</v>
      </c>
      <c r="C57" s="425">
        <f>+C45+C51+C56</f>
        <v>93891389</v>
      </c>
    </row>
    <row r="58" spans="1:3" ht="15" customHeight="1" thickBot="1" x14ac:dyDescent="0.25">
      <c r="C58" s="462"/>
    </row>
    <row r="59" spans="1:3" ht="14.25" customHeight="1" thickBot="1" x14ac:dyDescent="0.25">
      <c r="A59" s="463" t="s">
        <v>130</v>
      </c>
      <c r="B59" s="464"/>
      <c r="C59" s="465">
        <v>16.75</v>
      </c>
    </row>
    <row r="60" spans="1:3" ht="13.5" thickBot="1" x14ac:dyDescent="0.25">
      <c r="A60" s="463" t="s">
        <v>76</v>
      </c>
      <c r="B60" s="464"/>
      <c r="C60" s="46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69" orientation="portrait" r:id="rId1"/>
  <headerFooter alignWithMargins="0">
    <oddHeader>&amp;R&amp;"Times New Roman CE,Félkövér dőlt"&amp;11 5. melléklet a 7/2019.(III.14.)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view="pageLayout" zoomScaleNormal="100" zoomScaleSheetLayoutView="115" workbookViewId="0">
      <selection activeCell="I3" sqref="I3"/>
    </sheetView>
  </sheetViews>
  <sheetFormatPr defaultColWidth="14.5" defaultRowHeight="12.75" x14ac:dyDescent="0.2"/>
  <cols>
    <col min="1" max="1" width="41.6640625" style="208" customWidth="1"/>
    <col min="2" max="2" width="14" style="205" customWidth="1"/>
    <col min="3" max="3" width="18.6640625" style="205" customWidth="1"/>
    <col min="4" max="4" width="17.5" style="239" customWidth="1"/>
    <col min="5" max="5" width="16.33203125" style="205" customWidth="1"/>
    <col min="6" max="6" width="16" style="205" customWidth="1"/>
    <col min="7" max="7" width="15.5" style="205" customWidth="1"/>
    <col min="8" max="8" width="14.33203125" style="205" customWidth="1"/>
    <col min="9" max="10" width="14" style="205" customWidth="1"/>
    <col min="11" max="11" width="17.1640625" style="239" customWidth="1"/>
    <col min="12" max="12" width="14.83203125" style="208" bestFit="1" customWidth="1"/>
    <col min="13" max="257" width="14.5" style="208"/>
    <col min="258" max="258" width="39.6640625" style="208" bestFit="1" customWidth="1"/>
    <col min="259" max="259" width="15.1640625" style="208" bestFit="1" customWidth="1"/>
    <col min="260" max="261" width="17.1640625" style="208" bestFit="1" customWidth="1"/>
    <col min="262" max="262" width="15.33203125" style="208" customWidth="1"/>
    <col min="263" max="264" width="15.1640625" style="208" bestFit="1" customWidth="1"/>
    <col min="265" max="265" width="14.83203125" style="208" customWidth="1"/>
    <col min="266" max="266" width="13.6640625" style="208" bestFit="1" customWidth="1"/>
    <col min="267" max="267" width="17.1640625" style="208" bestFit="1" customWidth="1"/>
    <col min="268" max="513" width="14.5" style="208"/>
    <col min="514" max="514" width="39.6640625" style="208" bestFit="1" customWidth="1"/>
    <col min="515" max="515" width="15.1640625" style="208" bestFit="1" customWidth="1"/>
    <col min="516" max="517" width="17.1640625" style="208" bestFit="1" customWidth="1"/>
    <col min="518" max="518" width="15.33203125" style="208" customWidth="1"/>
    <col min="519" max="520" width="15.1640625" style="208" bestFit="1" customWidth="1"/>
    <col min="521" max="521" width="14.83203125" style="208" customWidth="1"/>
    <col min="522" max="522" width="13.6640625" style="208" bestFit="1" customWidth="1"/>
    <col min="523" max="523" width="17.1640625" style="208" bestFit="1" customWidth="1"/>
    <col min="524" max="769" width="14.5" style="208"/>
    <col min="770" max="770" width="39.6640625" style="208" bestFit="1" customWidth="1"/>
    <col min="771" max="771" width="15.1640625" style="208" bestFit="1" customWidth="1"/>
    <col min="772" max="773" width="17.1640625" style="208" bestFit="1" customWidth="1"/>
    <col min="774" max="774" width="15.33203125" style="208" customWidth="1"/>
    <col min="775" max="776" width="15.1640625" style="208" bestFit="1" customWidth="1"/>
    <col min="777" max="777" width="14.83203125" style="208" customWidth="1"/>
    <col min="778" max="778" width="13.6640625" style="208" bestFit="1" customWidth="1"/>
    <col min="779" max="779" width="17.1640625" style="208" bestFit="1" customWidth="1"/>
    <col min="780" max="1025" width="14.5" style="208"/>
    <col min="1026" max="1026" width="39.6640625" style="208" bestFit="1" customWidth="1"/>
    <col min="1027" max="1027" width="15.1640625" style="208" bestFit="1" customWidth="1"/>
    <col min="1028" max="1029" width="17.1640625" style="208" bestFit="1" customWidth="1"/>
    <col min="1030" max="1030" width="15.33203125" style="208" customWidth="1"/>
    <col min="1031" max="1032" width="15.1640625" style="208" bestFit="1" customWidth="1"/>
    <col min="1033" max="1033" width="14.83203125" style="208" customWidth="1"/>
    <col min="1034" max="1034" width="13.6640625" style="208" bestFit="1" customWidth="1"/>
    <col min="1035" max="1035" width="17.1640625" style="208" bestFit="1" customWidth="1"/>
    <col min="1036" max="1281" width="14.5" style="208"/>
    <col min="1282" max="1282" width="39.6640625" style="208" bestFit="1" customWidth="1"/>
    <col min="1283" max="1283" width="15.1640625" style="208" bestFit="1" customWidth="1"/>
    <col min="1284" max="1285" width="17.1640625" style="208" bestFit="1" customWidth="1"/>
    <col min="1286" max="1286" width="15.33203125" style="208" customWidth="1"/>
    <col min="1287" max="1288" width="15.1640625" style="208" bestFit="1" customWidth="1"/>
    <col min="1289" max="1289" width="14.83203125" style="208" customWidth="1"/>
    <col min="1290" max="1290" width="13.6640625" style="208" bestFit="1" customWidth="1"/>
    <col min="1291" max="1291" width="17.1640625" style="208" bestFit="1" customWidth="1"/>
    <col min="1292" max="1537" width="14.5" style="208"/>
    <col min="1538" max="1538" width="39.6640625" style="208" bestFit="1" customWidth="1"/>
    <col min="1539" max="1539" width="15.1640625" style="208" bestFit="1" customWidth="1"/>
    <col min="1540" max="1541" width="17.1640625" style="208" bestFit="1" customWidth="1"/>
    <col min="1542" max="1542" width="15.33203125" style="208" customWidth="1"/>
    <col min="1543" max="1544" width="15.1640625" style="208" bestFit="1" customWidth="1"/>
    <col min="1545" max="1545" width="14.83203125" style="208" customWidth="1"/>
    <col min="1546" max="1546" width="13.6640625" style="208" bestFit="1" customWidth="1"/>
    <col min="1547" max="1547" width="17.1640625" style="208" bestFit="1" customWidth="1"/>
    <col min="1548" max="1793" width="14.5" style="208"/>
    <col min="1794" max="1794" width="39.6640625" style="208" bestFit="1" customWidth="1"/>
    <col min="1795" max="1795" width="15.1640625" style="208" bestFit="1" customWidth="1"/>
    <col min="1796" max="1797" width="17.1640625" style="208" bestFit="1" customWidth="1"/>
    <col min="1798" max="1798" width="15.33203125" style="208" customWidth="1"/>
    <col min="1799" max="1800" width="15.1640625" style="208" bestFit="1" customWidth="1"/>
    <col min="1801" max="1801" width="14.83203125" style="208" customWidth="1"/>
    <col min="1802" max="1802" width="13.6640625" style="208" bestFit="1" customWidth="1"/>
    <col min="1803" max="1803" width="17.1640625" style="208" bestFit="1" customWidth="1"/>
    <col min="1804" max="2049" width="14.5" style="208"/>
    <col min="2050" max="2050" width="39.6640625" style="208" bestFit="1" customWidth="1"/>
    <col min="2051" max="2051" width="15.1640625" style="208" bestFit="1" customWidth="1"/>
    <col min="2052" max="2053" width="17.1640625" style="208" bestFit="1" customWidth="1"/>
    <col min="2054" max="2054" width="15.33203125" style="208" customWidth="1"/>
    <col min="2055" max="2056" width="15.1640625" style="208" bestFit="1" customWidth="1"/>
    <col min="2057" max="2057" width="14.83203125" style="208" customWidth="1"/>
    <col min="2058" max="2058" width="13.6640625" style="208" bestFit="1" customWidth="1"/>
    <col min="2059" max="2059" width="17.1640625" style="208" bestFit="1" customWidth="1"/>
    <col min="2060" max="2305" width="14.5" style="208"/>
    <col min="2306" max="2306" width="39.6640625" style="208" bestFit="1" customWidth="1"/>
    <col min="2307" max="2307" width="15.1640625" style="208" bestFit="1" customWidth="1"/>
    <col min="2308" max="2309" width="17.1640625" style="208" bestFit="1" customWidth="1"/>
    <col min="2310" max="2310" width="15.33203125" style="208" customWidth="1"/>
    <col min="2311" max="2312" width="15.1640625" style="208" bestFit="1" customWidth="1"/>
    <col min="2313" max="2313" width="14.83203125" style="208" customWidth="1"/>
    <col min="2314" max="2314" width="13.6640625" style="208" bestFit="1" customWidth="1"/>
    <col min="2315" max="2315" width="17.1640625" style="208" bestFit="1" customWidth="1"/>
    <col min="2316" max="2561" width="14.5" style="208"/>
    <col min="2562" max="2562" width="39.6640625" style="208" bestFit="1" customWidth="1"/>
    <col min="2563" max="2563" width="15.1640625" style="208" bestFit="1" customWidth="1"/>
    <col min="2564" max="2565" width="17.1640625" style="208" bestFit="1" customWidth="1"/>
    <col min="2566" max="2566" width="15.33203125" style="208" customWidth="1"/>
    <col min="2567" max="2568" width="15.1640625" style="208" bestFit="1" customWidth="1"/>
    <col min="2569" max="2569" width="14.83203125" style="208" customWidth="1"/>
    <col min="2570" max="2570" width="13.6640625" style="208" bestFit="1" customWidth="1"/>
    <col min="2571" max="2571" width="17.1640625" style="208" bestFit="1" customWidth="1"/>
    <col min="2572" max="2817" width="14.5" style="208"/>
    <col min="2818" max="2818" width="39.6640625" style="208" bestFit="1" customWidth="1"/>
    <col min="2819" max="2819" width="15.1640625" style="208" bestFit="1" customWidth="1"/>
    <col min="2820" max="2821" width="17.1640625" style="208" bestFit="1" customWidth="1"/>
    <col min="2822" max="2822" width="15.33203125" style="208" customWidth="1"/>
    <col min="2823" max="2824" width="15.1640625" style="208" bestFit="1" customWidth="1"/>
    <col min="2825" max="2825" width="14.83203125" style="208" customWidth="1"/>
    <col min="2826" max="2826" width="13.6640625" style="208" bestFit="1" customWidth="1"/>
    <col min="2827" max="2827" width="17.1640625" style="208" bestFit="1" customWidth="1"/>
    <col min="2828" max="3073" width="14.5" style="208"/>
    <col min="3074" max="3074" width="39.6640625" style="208" bestFit="1" customWidth="1"/>
    <col min="3075" max="3075" width="15.1640625" style="208" bestFit="1" customWidth="1"/>
    <col min="3076" max="3077" width="17.1640625" style="208" bestFit="1" customWidth="1"/>
    <col min="3078" max="3078" width="15.33203125" style="208" customWidth="1"/>
    <col min="3079" max="3080" width="15.1640625" style="208" bestFit="1" customWidth="1"/>
    <col min="3081" max="3081" width="14.83203125" style="208" customWidth="1"/>
    <col min="3082" max="3082" width="13.6640625" style="208" bestFit="1" customWidth="1"/>
    <col min="3083" max="3083" width="17.1640625" style="208" bestFit="1" customWidth="1"/>
    <col min="3084" max="3329" width="14.5" style="208"/>
    <col min="3330" max="3330" width="39.6640625" style="208" bestFit="1" customWidth="1"/>
    <col min="3331" max="3331" width="15.1640625" style="208" bestFit="1" customWidth="1"/>
    <col min="3332" max="3333" width="17.1640625" style="208" bestFit="1" customWidth="1"/>
    <col min="3334" max="3334" width="15.33203125" style="208" customWidth="1"/>
    <col min="3335" max="3336" width="15.1640625" style="208" bestFit="1" customWidth="1"/>
    <col min="3337" max="3337" width="14.83203125" style="208" customWidth="1"/>
    <col min="3338" max="3338" width="13.6640625" style="208" bestFit="1" customWidth="1"/>
    <col min="3339" max="3339" width="17.1640625" style="208" bestFit="1" customWidth="1"/>
    <col min="3340" max="3585" width="14.5" style="208"/>
    <col min="3586" max="3586" width="39.6640625" style="208" bestFit="1" customWidth="1"/>
    <col min="3587" max="3587" width="15.1640625" style="208" bestFit="1" customWidth="1"/>
    <col min="3588" max="3589" width="17.1640625" style="208" bestFit="1" customWidth="1"/>
    <col min="3590" max="3590" width="15.33203125" style="208" customWidth="1"/>
    <col min="3591" max="3592" width="15.1640625" style="208" bestFit="1" customWidth="1"/>
    <col min="3593" max="3593" width="14.83203125" style="208" customWidth="1"/>
    <col min="3594" max="3594" width="13.6640625" style="208" bestFit="1" customWidth="1"/>
    <col min="3595" max="3595" width="17.1640625" style="208" bestFit="1" customWidth="1"/>
    <col min="3596" max="3841" width="14.5" style="208"/>
    <col min="3842" max="3842" width="39.6640625" style="208" bestFit="1" customWidth="1"/>
    <col min="3843" max="3843" width="15.1640625" style="208" bestFit="1" customWidth="1"/>
    <col min="3844" max="3845" width="17.1640625" style="208" bestFit="1" customWidth="1"/>
    <col min="3846" max="3846" width="15.33203125" style="208" customWidth="1"/>
    <col min="3847" max="3848" width="15.1640625" style="208" bestFit="1" customWidth="1"/>
    <col min="3849" max="3849" width="14.83203125" style="208" customWidth="1"/>
    <col min="3850" max="3850" width="13.6640625" style="208" bestFit="1" customWidth="1"/>
    <col min="3851" max="3851" width="17.1640625" style="208" bestFit="1" customWidth="1"/>
    <col min="3852" max="4097" width="14.5" style="208"/>
    <col min="4098" max="4098" width="39.6640625" style="208" bestFit="1" customWidth="1"/>
    <col min="4099" max="4099" width="15.1640625" style="208" bestFit="1" customWidth="1"/>
    <col min="4100" max="4101" width="17.1640625" style="208" bestFit="1" customWidth="1"/>
    <col min="4102" max="4102" width="15.33203125" style="208" customWidth="1"/>
    <col min="4103" max="4104" width="15.1640625" style="208" bestFit="1" customWidth="1"/>
    <col min="4105" max="4105" width="14.83203125" style="208" customWidth="1"/>
    <col min="4106" max="4106" width="13.6640625" style="208" bestFit="1" customWidth="1"/>
    <col min="4107" max="4107" width="17.1640625" style="208" bestFit="1" customWidth="1"/>
    <col min="4108" max="4353" width="14.5" style="208"/>
    <col min="4354" max="4354" width="39.6640625" style="208" bestFit="1" customWidth="1"/>
    <col min="4355" max="4355" width="15.1640625" style="208" bestFit="1" customWidth="1"/>
    <col min="4356" max="4357" width="17.1640625" style="208" bestFit="1" customWidth="1"/>
    <col min="4358" max="4358" width="15.33203125" style="208" customWidth="1"/>
    <col min="4359" max="4360" width="15.1640625" style="208" bestFit="1" customWidth="1"/>
    <col min="4361" max="4361" width="14.83203125" style="208" customWidth="1"/>
    <col min="4362" max="4362" width="13.6640625" style="208" bestFit="1" customWidth="1"/>
    <col min="4363" max="4363" width="17.1640625" style="208" bestFit="1" customWidth="1"/>
    <col min="4364" max="4609" width="14.5" style="208"/>
    <col min="4610" max="4610" width="39.6640625" style="208" bestFit="1" customWidth="1"/>
    <col min="4611" max="4611" width="15.1640625" style="208" bestFit="1" customWidth="1"/>
    <col min="4612" max="4613" width="17.1640625" style="208" bestFit="1" customWidth="1"/>
    <col min="4614" max="4614" width="15.33203125" style="208" customWidth="1"/>
    <col min="4615" max="4616" width="15.1640625" style="208" bestFit="1" customWidth="1"/>
    <col min="4617" max="4617" width="14.83203125" style="208" customWidth="1"/>
    <col min="4618" max="4618" width="13.6640625" style="208" bestFit="1" customWidth="1"/>
    <col min="4619" max="4619" width="17.1640625" style="208" bestFit="1" customWidth="1"/>
    <col min="4620" max="4865" width="14.5" style="208"/>
    <col min="4866" max="4866" width="39.6640625" style="208" bestFit="1" customWidth="1"/>
    <col min="4867" max="4867" width="15.1640625" style="208" bestFit="1" customWidth="1"/>
    <col min="4868" max="4869" width="17.1640625" style="208" bestFit="1" customWidth="1"/>
    <col min="4870" max="4870" width="15.33203125" style="208" customWidth="1"/>
    <col min="4871" max="4872" width="15.1640625" style="208" bestFit="1" customWidth="1"/>
    <col min="4873" max="4873" width="14.83203125" style="208" customWidth="1"/>
    <col min="4874" max="4874" width="13.6640625" style="208" bestFit="1" customWidth="1"/>
    <col min="4875" max="4875" width="17.1640625" style="208" bestFit="1" customWidth="1"/>
    <col min="4876" max="5121" width="14.5" style="208"/>
    <col min="5122" max="5122" width="39.6640625" style="208" bestFit="1" customWidth="1"/>
    <col min="5123" max="5123" width="15.1640625" style="208" bestFit="1" customWidth="1"/>
    <col min="5124" max="5125" width="17.1640625" style="208" bestFit="1" customWidth="1"/>
    <col min="5126" max="5126" width="15.33203125" style="208" customWidth="1"/>
    <col min="5127" max="5128" width="15.1640625" style="208" bestFit="1" customWidth="1"/>
    <col min="5129" max="5129" width="14.83203125" style="208" customWidth="1"/>
    <col min="5130" max="5130" width="13.6640625" style="208" bestFit="1" customWidth="1"/>
    <col min="5131" max="5131" width="17.1640625" style="208" bestFit="1" customWidth="1"/>
    <col min="5132" max="5377" width="14.5" style="208"/>
    <col min="5378" max="5378" width="39.6640625" style="208" bestFit="1" customWidth="1"/>
    <col min="5379" max="5379" width="15.1640625" style="208" bestFit="1" customWidth="1"/>
    <col min="5380" max="5381" width="17.1640625" style="208" bestFit="1" customWidth="1"/>
    <col min="5382" max="5382" width="15.33203125" style="208" customWidth="1"/>
    <col min="5383" max="5384" width="15.1640625" style="208" bestFit="1" customWidth="1"/>
    <col min="5385" max="5385" width="14.83203125" style="208" customWidth="1"/>
    <col min="5386" max="5386" width="13.6640625" style="208" bestFit="1" customWidth="1"/>
    <col min="5387" max="5387" width="17.1640625" style="208" bestFit="1" customWidth="1"/>
    <col min="5388" max="5633" width="14.5" style="208"/>
    <col min="5634" max="5634" width="39.6640625" style="208" bestFit="1" customWidth="1"/>
    <col min="5635" max="5635" width="15.1640625" style="208" bestFit="1" customWidth="1"/>
    <col min="5636" max="5637" width="17.1640625" style="208" bestFit="1" customWidth="1"/>
    <col min="5638" max="5638" width="15.33203125" style="208" customWidth="1"/>
    <col min="5639" max="5640" width="15.1640625" style="208" bestFit="1" customWidth="1"/>
    <col min="5641" max="5641" width="14.83203125" style="208" customWidth="1"/>
    <col min="5642" max="5642" width="13.6640625" style="208" bestFit="1" customWidth="1"/>
    <col min="5643" max="5643" width="17.1640625" style="208" bestFit="1" customWidth="1"/>
    <col min="5644" max="5889" width="14.5" style="208"/>
    <col min="5890" max="5890" width="39.6640625" style="208" bestFit="1" customWidth="1"/>
    <col min="5891" max="5891" width="15.1640625" style="208" bestFit="1" customWidth="1"/>
    <col min="5892" max="5893" width="17.1640625" style="208" bestFit="1" customWidth="1"/>
    <col min="5894" max="5894" width="15.33203125" style="208" customWidth="1"/>
    <col min="5895" max="5896" width="15.1640625" style="208" bestFit="1" customWidth="1"/>
    <col min="5897" max="5897" width="14.83203125" style="208" customWidth="1"/>
    <col min="5898" max="5898" width="13.6640625" style="208" bestFit="1" customWidth="1"/>
    <col min="5899" max="5899" width="17.1640625" style="208" bestFit="1" customWidth="1"/>
    <col min="5900" max="6145" width="14.5" style="208"/>
    <col min="6146" max="6146" width="39.6640625" style="208" bestFit="1" customWidth="1"/>
    <col min="6147" max="6147" width="15.1640625" style="208" bestFit="1" customWidth="1"/>
    <col min="6148" max="6149" width="17.1640625" style="208" bestFit="1" customWidth="1"/>
    <col min="6150" max="6150" width="15.33203125" style="208" customWidth="1"/>
    <col min="6151" max="6152" width="15.1640625" style="208" bestFit="1" customWidth="1"/>
    <col min="6153" max="6153" width="14.83203125" style="208" customWidth="1"/>
    <col min="6154" max="6154" width="13.6640625" style="208" bestFit="1" customWidth="1"/>
    <col min="6155" max="6155" width="17.1640625" style="208" bestFit="1" customWidth="1"/>
    <col min="6156" max="6401" width="14.5" style="208"/>
    <col min="6402" max="6402" width="39.6640625" style="208" bestFit="1" customWidth="1"/>
    <col min="6403" max="6403" width="15.1640625" style="208" bestFit="1" customWidth="1"/>
    <col min="6404" max="6405" width="17.1640625" style="208" bestFit="1" customWidth="1"/>
    <col min="6406" max="6406" width="15.33203125" style="208" customWidth="1"/>
    <col min="6407" max="6408" width="15.1640625" style="208" bestFit="1" customWidth="1"/>
    <col min="6409" max="6409" width="14.83203125" style="208" customWidth="1"/>
    <col min="6410" max="6410" width="13.6640625" style="208" bestFit="1" customWidth="1"/>
    <col min="6411" max="6411" width="17.1640625" style="208" bestFit="1" customWidth="1"/>
    <col min="6412" max="6657" width="14.5" style="208"/>
    <col min="6658" max="6658" width="39.6640625" style="208" bestFit="1" customWidth="1"/>
    <col min="6659" max="6659" width="15.1640625" style="208" bestFit="1" customWidth="1"/>
    <col min="6660" max="6661" width="17.1640625" style="208" bestFit="1" customWidth="1"/>
    <col min="6662" max="6662" width="15.33203125" style="208" customWidth="1"/>
    <col min="6663" max="6664" width="15.1640625" style="208" bestFit="1" customWidth="1"/>
    <col min="6665" max="6665" width="14.83203125" style="208" customWidth="1"/>
    <col min="6666" max="6666" width="13.6640625" style="208" bestFit="1" customWidth="1"/>
    <col min="6667" max="6667" width="17.1640625" style="208" bestFit="1" customWidth="1"/>
    <col min="6668" max="6913" width="14.5" style="208"/>
    <col min="6914" max="6914" width="39.6640625" style="208" bestFit="1" customWidth="1"/>
    <col min="6915" max="6915" width="15.1640625" style="208" bestFit="1" customWidth="1"/>
    <col min="6916" max="6917" width="17.1640625" style="208" bestFit="1" customWidth="1"/>
    <col min="6918" max="6918" width="15.33203125" style="208" customWidth="1"/>
    <col min="6919" max="6920" width="15.1640625" style="208" bestFit="1" customWidth="1"/>
    <col min="6921" max="6921" width="14.83203125" style="208" customWidth="1"/>
    <col min="6922" max="6922" width="13.6640625" style="208" bestFit="1" customWidth="1"/>
    <col min="6923" max="6923" width="17.1640625" style="208" bestFit="1" customWidth="1"/>
    <col min="6924" max="7169" width="14.5" style="208"/>
    <col min="7170" max="7170" width="39.6640625" style="208" bestFit="1" customWidth="1"/>
    <col min="7171" max="7171" width="15.1640625" style="208" bestFit="1" customWidth="1"/>
    <col min="7172" max="7173" width="17.1640625" style="208" bestFit="1" customWidth="1"/>
    <col min="7174" max="7174" width="15.33203125" style="208" customWidth="1"/>
    <col min="7175" max="7176" width="15.1640625" style="208" bestFit="1" customWidth="1"/>
    <col min="7177" max="7177" width="14.83203125" style="208" customWidth="1"/>
    <col min="7178" max="7178" width="13.6640625" style="208" bestFit="1" customWidth="1"/>
    <col min="7179" max="7179" width="17.1640625" style="208" bestFit="1" customWidth="1"/>
    <col min="7180" max="7425" width="14.5" style="208"/>
    <col min="7426" max="7426" width="39.6640625" style="208" bestFit="1" customWidth="1"/>
    <col min="7427" max="7427" width="15.1640625" style="208" bestFit="1" customWidth="1"/>
    <col min="7428" max="7429" width="17.1640625" style="208" bestFit="1" customWidth="1"/>
    <col min="7430" max="7430" width="15.33203125" style="208" customWidth="1"/>
    <col min="7431" max="7432" width="15.1640625" style="208" bestFit="1" customWidth="1"/>
    <col min="7433" max="7433" width="14.83203125" style="208" customWidth="1"/>
    <col min="7434" max="7434" width="13.6640625" style="208" bestFit="1" customWidth="1"/>
    <col min="7435" max="7435" width="17.1640625" style="208" bestFit="1" customWidth="1"/>
    <col min="7436" max="7681" width="14.5" style="208"/>
    <col min="7682" max="7682" width="39.6640625" style="208" bestFit="1" customWidth="1"/>
    <col min="7683" max="7683" width="15.1640625" style="208" bestFit="1" customWidth="1"/>
    <col min="7684" max="7685" width="17.1640625" style="208" bestFit="1" customWidth="1"/>
    <col min="7686" max="7686" width="15.33203125" style="208" customWidth="1"/>
    <col min="7687" max="7688" width="15.1640625" style="208" bestFit="1" customWidth="1"/>
    <col min="7689" max="7689" width="14.83203125" style="208" customWidth="1"/>
    <col min="7690" max="7690" width="13.6640625" style="208" bestFit="1" customWidth="1"/>
    <col min="7691" max="7691" width="17.1640625" style="208" bestFit="1" customWidth="1"/>
    <col min="7692" max="7937" width="14.5" style="208"/>
    <col min="7938" max="7938" width="39.6640625" style="208" bestFit="1" customWidth="1"/>
    <col min="7939" max="7939" width="15.1640625" style="208" bestFit="1" customWidth="1"/>
    <col min="7940" max="7941" width="17.1640625" style="208" bestFit="1" customWidth="1"/>
    <col min="7942" max="7942" width="15.33203125" style="208" customWidth="1"/>
    <col min="7943" max="7944" width="15.1640625" style="208" bestFit="1" customWidth="1"/>
    <col min="7945" max="7945" width="14.83203125" style="208" customWidth="1"/>
    <col min="7946" max="7946" width="13.6640625" style="208" bestFit="1" customWidth="1"/>
    <col min="7947" max="7947" width="17.1640625" style="208" bestFit="1" customWidth="1"/>
    <col min="7948" max="8193" width="14.5" style="208"/>
    <col min="8194" max="8194" width="39.6640625" style="208" bestFit="1" customWidth="1"/>
    <col min="8195" max="8195" width="15.1640625" style="208" bestFit="1" customWidth="1"/>
    <col min="8196" max="8197" width="17.1640625" style="208" bestFit="1" customWidth="1"/>
    <col min="8198" max="8198" width="15.33203125" style="208" customWidth="1"/>
    <col min="8199" max="8200" width="15.1640625" style="208" bestFit="1" customWidth="1"/>
    <col min="8201" max="8201" width="14.83203125" style="208" customWidth="1"/>
    <col min="8202" max="8202" width="13.6640625" style="208" bestFit="1" customWidth="1"/>
    <col min="8203" max="8203" width="17.1640625" style="208" bestFit="1" customWidth="1"/>
    <col min="8204" max="8449" width="14.5" style="208"/>
    <col min="8450" max="8450" width="39.6640625" style="208" bestFit="1" customWidth="1"/>
    <col min="8451" max="8451" width="15.1640625" style="208" bestFit="1" customWidth="1"/>
    <col min="8452" max="8453" width="17.1640625" style="208" bestFit="1" customWidth="1"/>
    <col min="8454" max="8454" width="15.33203125" style="208" customWidth="1"/>
    <col min="8455" max="8456" width="15.1640625" style="208" bestFit="1" customWidth="1"/>
    <col min="8457" max="8457" width="14.83203125" style="208" customWidth="1"/>
    <col min="8458" max="8458" width="13.6640625" style="208" bestFit="1" customWidth="1"/>
    <col min="8459" max="8459" width="17.1640625" style="208" bestFit="1" customWidth="1"/>
    <col min="8460" max="8705" width="14.5" style="208"/>
    <col min="8706" max="8706" width="39.6640625" style="208" bestFit="1" customWidth="1"/>
    <col min="8707" max="8707" width="15.1640625" style="208" bestFit="1" customWidth="1"/>
    <col min="8708" max="8709" width="17.1640625" style="208" bestFit="1" customWidth="1"/>
    <col min="8710" max="8710" width="15.33203125" style="208" customWidth="1"/>
    <col min="8711" max="8712" width="15.1640625" style="208" bestFit="1" customWidth="1"/>
    <col min="8713" max="8713" width="14.83203125" style="208" customWidth="1"/>
    <col min="8714" max="8714" width="13.6640625" style="208" bestFit="1" customWidth="1"/>
    <col min="8715" max="8715" width="17.1640625" style="208" bestFit="1" customWidth="1"/>
    <col min="8716" max="8961" width="14.5" style="208"/>
    <col min="8962" max="8962" width="39.6640625" style="208" bestFit="1" customWidth="1"/>
    <col min="8963" max="8963" width="15.1640625" style="208" bestFit="1" customWidth="1"/>
    <col min="8964" max="8965" width="17.1640625" style="208" bestFit="1" customWidth="1"/>
    <col min="8966" max="8966" width="15.33203125" style="208" customWidth="1"/>
    <col min="8967" max="8968" width="15.1640625" style="208" bestFit="1" customWidth="1"/>
    <col min="8969" max="8969" width="14.83203125" style="208" customWidth="1"/>
    <col min="8970" max="8970" width="13.6640625" style="208" bestFit="1" customWidth="1"/>
    <col min="8971" max="8971" width="17.1640625" style="208" bestFit="1" customWidth="1"/>
    <col min="8972" max="9217" width="14.5" style="208"/>
    <col min="9218" max="9218" width="39.6640625" style="208" bestFit="1" customWidth="1"/>
    <col min="9219" max="9219" width="15.1640625" style="208" bestFit="1" customWidth="1"/>
    <col min="9220" max="9221" width="17.1640625" style="208" bestFit="1" customWidth="1"/>
    <col min="9222" max="9222" width="15.33203125" style="208" customWidth="1"/>
    <col min="9223" max="9224" width="15.1640625" style="208" bestFit="1" customWidth="1"/>
    <col min="9225" max="9225" width="14.83203125" style="208" customWidth="1"/>
    <col min="9226" max="9226" width="13.6640625" style="208" bestFit="1" customWidth="1"/>
    <col min="9227" max="9227" width="17.1640625" style="208" bestFit="1" customWidth="1"/>
    <col min="9228" max="9473" width="14.5" style="208"/>
    <col min="9474" max="9474" width="39.6640625" style="208" bestFit="1" customWidth="1"/>
    <col min="9475" max="9475" width="15.1640625" style="208" bestFit="1" customWidth="1"/>
    <col min="9476" max="9477" width="17.1640625" style="208" bestFit="1" customWidth="1"/>
    <col min="9478" max="9478" width="15.33203125" style="208" customWidth="1"/>
    <col min="9479" max="9480" width="15.1640625" style="208" bestFit="1" customWidth="1"/>
    <col min="9481" max="9481" width="14.83203125" style="208" customWidth="1"/>
    <col min="9482" max="9482" width="13.6640625" style="208" bestFit="1" customWidth="1"/>
    <col min="9483" max="9483" width="17.1640625" style="208" bestFit="1" customWidth="1"/>
    <col min="9484" max="9729" width="14.5" style="208"/>
    <col min="9730" max="9730" width="39.6640625" style="208" bestFit="1" customWidth="1"/>
    <col min="9731" max="9731" width="15.1640625" style="208" bestFit="1" customWidth="1"/>
    <col min="9732" max="9733" width="17.1640625" style="208" bestFit="1" customWidth="1"/>
    <col min="9734" max="9734" width="15.33203125" style="208" customWidth="1"/>
    <col min="9735" max="9736" width="15.1640625" style="208" bestFit="1" customWidth="1"/>
    <col min="9737" max="9737" width="14.83203125" style="208" customWidth="1"/>
    <col min="9738" max="9738" width="13.6640625" style="208" bestFit="1" customWidth="1"/>
    <col min="9739" max="9739" width="17.1640625" style="208" bestFit="1" customWidth="1"/>
    <col min="9740" max="9985" width="14.5" style="208"/>
    <col min="9986" max="9986" width="39.6640625" style="208" bestFit="1" customWidth="1"/>
    <col min="9987" max="9987" width="15.1640625" style="208" bestFit="1" customWidth="1"/>
    <col min="9988" max="9989" width="17.1640625" style="208" bestFit="1" customWidth="1"/>
    <col min="9990" max="9990" width="15.33203125" style="208" customWidth="1"/>
    <col min="9991" max="9992" width="15.1640625" style="208" bestFit="1" customWidth="1"/>
    <col min="9993" max="9993" width="14.83203125" style="208" customWidth="1"/>
    <col min="9994" max="9994" width="13.6640625" style="208" bestFit="1" customWidth="1"/>
    <col min="9995" max="9995" width="17.1640625" style="208" bestFit="1" customWidth="1"/>
    <col min="9996" max="10241" width="14.5" style="208"/>
    <col min="10242" max="10242" width="39.6640625" style="208" bestFit="1" customWidth="1"/>
    <col min="10243" max="10243" width="15.1640625" style="208" bestFit="1" customWidth="1"/>
    <col min="10244" max="10245" width="17.1640625" style="208" bestFit="1" customWidth="1"/>
    <col min="10246" max="10246" width="15.33203125" style="208" customWidth="1"/>
    <col min="10247" max="10248" width="15.1640625" style="208" bestFit="1" customWidth="1"/>
    <col min="10249" max="10249" width="14.83203125" style="208" customWidth="1"/>
    <col min="10250" max="10250" width="13.6640625" style="208" bestFit="1" customWidth="1"/>
    <col min="10251" max="10251" width="17.1640625" style="208" bestFit="1" customWidth="1"/>
    <col min="10252" max="10497" width="14.5" style="208"/>
    <col min="10498" max="10498" width="39.6640625" style="208" bestFit="1" customWidth="1"/>
    <col min="10499" max="10499" width="15.1640625" style="208" bestFit="1" customWidth="1"/>
    <col min="10500" max="10501" width="17.1640625" style="208" bestFit="1" customWidth="1"/>
    <col min="10502" max="10502" width="15.33203125" style="208" customWidth="1"/>
    <col min="10503" max="10504" width="15.1640625" style="208" bestFit="1" customWidth="1"/>
    <col min="10505" max="10505" width="14.83203125" style="208" customWidth="1"/>
    <col min="10506" max="10506" width="13.6640625" style="208" bestFit="1" customWidth="1"/>
    <col min="10507" max="10507" width="17.1640625" style="208" bestFit="1" customWidth="1"/>
    <col min="10508" max="10753" width="14.5" style="208"/>
    <col min="10754" max="10754" width="39.6640625" style="208" bestFit="1" customWidth="1"/>
    <col min="10755" max="10755" width="15.1640625" style="208" bestFit="1" customWidth="1"/>
    <col min="10756" max="10757" width="17.1640625" style="208" bestFit="1" customWidth="1"/>
    <col min="10758" max="10758" width="15.33203125" style="208" customWidth="1"/>
    <col min="10759" max="10760" width="15.1640625" style="208" bestFit="1" customWidth="1"/>
    <col min="10761" max="10761" width="14.83203125" style="208" customWidth="1"/>
    <col min="10762" max="10762" width="13.6640625" style="208" bestFit="1" customWidth="1"/>
    <col min="10763" max="10763" width="17.1640625" style="208" bestFit="1" customWidth="1"/>
    <col min="10764" max="11009" width="14.5" style="208"/>
    <col min="11010" max="11010" width="39.6640625" style="208" bestFit="1" customWidth="1"/>
    <col min="11011" max="11011" width="15.1640625" style="208" bestFit="1" customWidth="1"/>
    <col min="11012" max="11013" width="17.1640625" style="208" bestFit="1" customWidth="1"/>
    <col min="11014" max="11014" width="15.33203125" style="208" customWidth="1"/>
    <col min="11015" max="11016" width="15.1640625" style="208" bestFit="1" customWidth="1"/>
    <col min="11017" max="11017" width="14.83203125" style="208" customWidth="1"/>
    <col min="11018" max="11018" width="13.6640625" style="208" bestFit="1" customWidth="1"/>
    <col min="11019" max="11019" width="17.1640625" style="208" bestFit="1" customWidth="1"/>
    <col min="11020" max="11265" width="14.5" style="208"/>
    <col min="11266" max="11266" width="39.6640625" style="208" bestFit="1" customWidth="1"/>
    <col min="11267" max="11267" width="15.1640625" style="208" bestFit="1" customWidth="1"/>
    <col min="11268" max="11269" width="17.1640625" style="208" bestFit="1" customWidth="1"/>
    <col min="11270" max="11270" width="15.33203125" style="208" customWidth="1"/>
    <col min="11271" max="11272" width="15.1640625" style="208" bestFit="1" customWidth="1"/>
    <col min="11273" max="11273" width="14.83203125" style="208" customWidth="1"/>
    <col min="11274" max="11274" width="13.6640625" style="208" bestFit="1" customWidth="1"/>
    <col min="11275" max="11275" width="17.1640625" style="208" bestFit="1" customWidth="1"/>
    <col min="11276" max="11521" width="14.5" style="208"/>
    <col min="11522" max="11522" width="39.6640625" style="208" bestFit="1" customWidth="1"/>
    <col min="11523" max="11523" width="15.1640625" style="208" bestFit="1" customWidth="1"/>
    <col min="11524" max="11525" width="17.1640625" style="208" bestFit="1" customWidth="1"/>
    <col min="11526" max="11526" width="15.33203125" style="208" customWidth="1"/>
    <col min="11527" max="11528" width="15.1640625" style="208" bestFit="1" customWidth="1"/>
    <col min="11529" max="11529" width="14.83203125" style="208" customWidth="1"/>
    <col min="11530" max="11530" width="13.6640625" style="208" bestFit="1" customWidth="1"/>
    <col min="11531" max="11531" width="17.1640625" style="208" bestFit="1" customWidth="1"/>
    <col min="11532" max="11777" width="14.5" style="208"/>
    <col min="11778" max="11778" width="39.6640625" style="208" bestFit="1" customWidth="1"/>
    <col min="11779" max="11779" width="15.1640625" style="208" bestFit="1" customWidth="1"/>
    <col min="11780" max="11781" width="17.1640625" style="208" bestFit="1" customWidth="1"/>
    <col min="11782" max="11782" width="15.33203125" style="208" customWidth="1"/>
    <col min="11783" max="11784" width="15.1640625" style="208" bestFit="1" customWidth="1"/>
    <col min="11785" max="11785" width="14.83203125" style="208" customWidth="1"/>
    <col min="11786" max="11786" width="13.6640625" style="208" bestFit="1" customWidth="1"/>
    <col min="11787" max="11787" width="17.1640625" style="208" bestFit="1" customWidth="1"/>
    <col min="11788" max="12033" width="14.5" style="208"/>
    <col min="12034" max="12034" width="39.6640625" style="208" bestFit="1" customWidth="1"/>
    <col min="12035" max="12035" width="15.1640625" style="208" bestFit="1" customWidth="1"/>
    <col min="12036" max="12037" width="17.1640625" style="208" bestFit="1" customWidth="1"/>
    <col min="12038" max="12038" width="15.33203125" style="208" customWidth="1"/>
    <col min="12039" max="12040" width="15.1640625" style="208" bestFit="1" customWidth="1"/>
    <col min="12041" max="12041" width="14.83203125" style="208" customWidth="1"/>
    <col min="12042" max="12042" width="13.6640625" style="208" bestFit="1" customWidth="1"/>
    <col min="12043" max="12043" width="17.1640625" style="208" bestFit="1" customWidth="1"/>
    <col min="12044" max="12289" width="14.5" style="208"/>
    <col min="12290" max="12290" width="39.6640625" style="208" bestFit="1" customWidth="1"/>
    <col min="12291" max="12291" width="15.1640625" style="208" bestFit="1" customWidth="1"/>
    <col min="12292" max="12293" width="17.1640625" style="208" bestFit="1" customWidth="1"/>
    <col min="12294" max="12294" width="15.33203125" style="208" customWidth="1"/>
    <col min="12295" max="12296" width="15.1640625" style="208" bestFit="1" customWidth="1"/>
    <col min="12297" max="12297" width="14.83203125" style="208" customWidth="1"/>
    <col min="12298" max="12298" width="13.6640625" style="208" bestFit="1" customWidth="1"/>
    <col min="12299" max="12299" width="17.1640625" style="208" bestFit="1" customWidth="1"/>
    <col min="12300" max="12545" width="14.5" style="208"/>
    <col min="12546" max="12546" width="39.6640625" style="208" bestFit="1" customWidth="1"/>
    <col min="12547" max="12547" width="15.1640625" style="208" bestFit="1" customWidth="1"/>
    <col min="12548" max="12549" width="17.1640625" style="208" bestFit="1" customWidth="1"/>
    <col min="12550" max="12550" width="15.33203125" style="208" customWidth="1"/>
    <col min="12551" max="12552" width="15.1640625" style="208" bestFit="1" customWidth="1"/>
    <col min="12553" max="12553" width="14.83203125" style="208" customWidth="1"/>
    <col min="12554" max="12554" width="13.6640625" style="208" bestFit="1" customWidth="1"/>
    <col min="12555" max="12555" width="17.1640625" style="208" bestFit="1" customWidth="1"/>
    <col min="12556" max="12801" width="14.5" style="208"/>
    <col min="12802" max="12802" width="39.6640625" style="208" bestFit="1" customWidth="1"/>
    <col min="12803" max="12803" width="15.1640625" style="208" bestFit="1" customWidth="1"/>
    <col min="12804" max="12805" width="17.1640625" style="208" bestFit="1" customWidth="1"/>
    <col min="12806" max="12806" width="15.33203125" style="208" customWidth="1"/>
    <col min="12807" max="12808" width="15.1640625" style="208" bestFit="1" customWidth="1"/>
    <col min="12809" max="12809" width="14.83203125" style="208" customWidth="1"/>
    <col min="12810" max="12810" width="13.6640625" style="208" bestFit="1" customWidth="1"/>
    <col min="12811" max="12811" width="17.1640625" style="208" bestFit="1" customWidth="1"/>
    <col min="12812" max="13057" width="14.5" style="208"/>
    <col min="13058" max="13058" width="39.6640625" style="208" bestFit="1" customWidth="1"/>
    <col min="13059" max="13059" width="15.1640625" style="208" bestFit="1" customWidth="1"/>
    <col min="13060" max="13061" width="17.1640625" style="208" bestFit="1" customWidth="1"/>
    <col min="13062" max="13062" width="15.33203125" style="208" customWidth="1"/>
    <col min="13063" max="13064" width="15.1640625" style="208" bestFit="1" customWidth="1"/>
    <col min="13065" max="13065" width="14.83203125" style="208" customWidth="1"/>
    <col min="13066" max="13066" width="13.6640625" style="208" bestFit="1" customWidth="1"/>
    <col min="13067" max="13067" width="17.1640625" style="208" bestFit="1" customWidth="1"/>
    <col min="13068" max="13313" width="14.5" style="208"/>
    <col min="13314" max="13314" width="39.6640625" style="208" bestFit="1" customWidth="1"/>
    <col min="13315" max="13315" width="15.1640625" style="208" bestFit="1" customWidth="1"/>
    <col min="13316" max="13317" width="17.1640625" style="208" bestFit="1" customWidth="1"/>
    <col min="13318" max="13318" width="15.33203125" style="208" customWidth="1"/>
    <col min="13319" max="13320" width="15.1640625" style="208" bestFit="1" customWidth="1"/>
    <col min="13321" max="13321" width="14.83203125" style="208" customWidth="1"/>
    <col min="13322" max="13322" width="13.6640625" style="208" bestFit="1" customWidth="1"/>
    <col min="13323" max="13323" width="17.1640625" style="208" bestFit="1" customWidth="1"/>
    <col min="13324" max="13569" width="14.5" style="208"/>
    <col min="13570" max="13570" width="39.6640625" style="208" bestFit="1" customWidth="1"/>
    <col min="13571" max="13571" width="15.1640625" style="208" bestFit="1" customWidth="1"/>
    <col min="13572" max="13573" width="17.1640625" style="208" bestFit="1" customWidth="1"/>
    <col min="13574" max="13574" width="15.33203125" style="208" customWidth="1"/>
    <col min="13575" max="13576" width="15.1640625" style="208" bestFit="1" customWidth="1"/>
    <col min="13577" max="13577" width="14.83203125" style="208" customWidth="1"/>
    <col min="13578" max="13578" width="13.6640625" style="208" bestFit="1" customWidth="1"/>
    <col min="13579" max="13579" width="17.1640625" style="208" bestFit="1" customWidth="1"/>
    <col min="13580" max="13825" width="14.5" style="208"/>
    <col min="13826" max="13826" width="39.6640625" style="208" bestFit="1" customWidth="1"/>
    <col min="13827" max="13827" width="15.1640625" style="208" bestFit="1" customWidth="1"/>
    <col min="13828" max="13829" width="17.1640625" style="208" bestFit="1" customWidth="1"/>
    <col min="13830" max="13830" width="15.33203125" style="208" customWidth="1"/>
    <col min="13831" max="13832" width="15.1640625" style="208" bestFit="1" customWidth="1"/>
    <col min="13833" max="13833" width="14.83203125" style="208" customWidth="1"/>
    <col min="13834" max="13834" width="13.6640625" style="208" bestFit="1" customWidth="1"/>
    <col min="13835" max="13835" width="17.1640625" style="208" bestFit="1" customWidth="1"/>
    <col min="13836" max="14081" width="14.5" style="208"/>
    <col min="14082" max="14082" width="39.6640625" style="208" bestFit="1" customWidth="1"/>
    <col min="14083" max="14083" width="15.1640625" style="208" bestFit="1" customWidth="1"/>
    <col min="14084" max="14085" width="17.1640625" style="208" bestFit="1" customWidth="1"/>
    <col min="14086" max="14086" width="15.33203125" style="208" customWidth="1"/>
    <col min="14087" max="14088" width="15.1640625" style="208" bestFit="1" customWidth="1"/>
    <col min="14089" max="14089" width="14.83203125" style="208" customWidth="1"/>
    <col min="14090" max="14090" width="13.6640625" style="208" bestFit="1" customWidth="1"/>
    <col min="14091" max="14091" width="17.1640625" style="208" bestFit="1" customWidth="1"/>
    <col min="14092" max="14337" width="14.5" style="208"/>
    <col min="14338" max="14338" width="39.6640625" style="208" bestFit="1" customWidth="1"/>
    <col min="14339" max="14339" width="15.1640625" style="208" bestFit="1" customWidth="1"/>
    <col min="14340" max="14341" width="17.1640625" style="208" bestFit="1" customWidth="1"/>
    <col min="14342" max="14342" width="15.33203125" style="208" customWidth="1"/>
    <col min="14343" max="14344" width="15.1640625" style="208" bestFit="1" customWidth="1"/>
    <col min="14345" max="14345" width="14.83203125" style="208" customWidth="1"/>
    <col min="14346" max="14346" width="13.6640625" style="208" bestFit="1" customWidth="1"/>
    <col min="14347" max="14347" width="17.1640625" style="208" bestFit="1" customWidth="1"/>
    <col min="14348" max="14593" width="14.5" style="208"/>
    <col min="14594" max="14594" width="39.6640625" style="208" bestFit="1" customWidth="1"/>
    <col min="14595" max="14595" width="15.1640625" style="208" bestFit="1" customWidth="1"/>
    <col min="14596" max="14597" width="17.1640625" style="208" bestFit="1" customWidth="1"/>
    <col min="14598" max="14598" width="15.33203125" style="208" customWidth="1"/>
    <col min="14599" max="14600" width="15.1640625" style="208" bestFit="1" customWidth="1"/>
    <col min="14601" max="14601" width="14.83203125" style="208" customWidth="1"/>
    <col min="14602" max="14602" width="13.6640625" style="208" bestFit="1" customWidth="1"/>
    <col min="14603" max="14603" width="17.1640625" style="208" bestFit="1" customWidth="1"/>
    <col min="14604" max="14849" width="14.5" style="208"/>
    <col min="14850" max="14850" width="39.6640625" style="208" bestFit="1" customWidth="1"/>
    <col min="14851" max="14851" width="15.1640625" style="208" bestFit="1" customWidth="1"/>
    <col min="14852" max="14853" width="17.1640625" style="208" bestFit="1" customWidth="1"/>
    <col min="14854" max="14854" width="15.33203125" style="208" customWidth="1"/>
    <col min="14855" max="14856" width="15.1640625" style="208" bestFit="1" customWidth="1"/>
    <col min="14857" max="14857" width="14.83203125" style="208" customWidth="1"/>
    <col min="14858" max="14858" width="13.6640625" style="208" bestFit="1" customWidth="1"/>
    <col min="14859" max="14859" width="17.1640625" style="208" bestFit="1" customWidth="1"/>
    <col min="14860" max="15105" width="14.5" style="208"/>
    <col min="15106" max="15106" width="39.6640625" style="208" bestFit="1" customWidth="1"/>
    <col min="15107" max="15107" width="15.1640625" style="208" bestFit="1" customWidth="1"/>
    <col min="15108" max="15109" width="17.1640625" style="208" bestFit="1" customWidth="1"/>
    <col min="15110" max="15110" width="15.33203125" style="208" customWidth="1"/>
    <col min="15111" max="15112" width="15.1640625" style="208" bestFit="1" customWidth="1"/>
    <col min="15113" max="15113" width="14.83203125" style="208" customWidth="1"/>
    <col min="15114" max="15114" width="13.6640625" style="208" bestFit="1" customWidth="1"/>
    <col min="15115" max="15115" width="17.1640625" style="208" bestFit="1" customWidth="1"/>
    <col min="15116" max="15361" width="14.5" style="208"/>
    <col min="15362" max="15362" width="39.6640625" style="208" bestFit="1" customWidth="1"/>
    <col min="15363" max="15363" width="15.1640625" style="208" bestFit="1" customWidth="1"/>
    <col min="15364" max="15365" width="17.1640625" style="208" bestFit="1" customWidth="1"/>
    <col min="15366" max="15366" width="15.33203125" style="208" customWidth="1"/>
    <col min="15367" max="15368" width="15.1640625" style="208" bestFit="1" customWidth="1"/>
    <col min="15369" max="15369" width="14.83203125" style="208" customWidth="1"/>
    <col min="15370" max="15370" width="13.6640625" style="208" bestFit="1" customWidth="1"/>
    <col min="15371" max="15371" width="17.1640625" style="208" bestFit="1" customWidth="1"/>
    <col min="15372" max="15617" width="14.5" style="208"/>
    <col min="15618" max="15618" width="39.6640625" style="208" bestFit="1" customWidth="1"/>
    <col min="15619" max="15619" width="15.1640625" style="208" bestFit="1" customWidth="1"/>
    <col min="15620" max="15621" width="17.1640625" style="208" bestFit="1" customWidth="1"/>
    <col min="15622" max="15622" width="15.33203125" style="208" customWidth="1"/>
    <col min="15623" max="15624" width="15.1640625" style="208" bestFit="1" customWidth="1"/>
    <col min="15625" max="15625" width="14.83203125" style="208" customWidth="1"/>
    <col min="15626" max="15626" width="13.6640625" style="208" bestFit="1" customWidth="1"/>
    <col min="15627" max="15627" width="17.1640625" style="208" bestFit="1" customWidth="1"/>
    <col min="15628" max="15873" width="14.5" style="208"/>
    <col min="15874" max="15874" width="39.6640625" style="208" bestFit="1" customWidth="1"/>
    <col min="15875" max="15875" width="15.1640625" style="208" bestFit="1" customWidth="1"/>
    <col min="15876" max="15877" width="17.1640625" style="208" bestFit="1" customWidth="1"/>
    <col min="15878" max="15878" width="15.33203125" style="208" customWidth="1"/>
    <col min="15879" max="15880" width="15.1640625" style="208" bestFit="1" customWidth="1"/>
    <col min="15881" max="15881" width="14.83203125" style="208" customWidth="1"/>
    <col min="15882" max="15882" width="13.6640625" style="208" bestFit="1" customWidth="1"/>
    <col min="15883" max="15883" width="17.1640625" style="208" bestFit="1" customWidth="1"/>
    <col min="15884" max="16129" width="14.5" style="208"/>
    <col min="16130" max="16130" width="39.6640625" style="208" bestFit="1" customWidth="1"/>
    <col min="16131" max="16131" width="15.1640625" style="208" bestFit="1" customWidth="1"/>
    <col min="16132" max="16133" width="17.1640625" style="208" bestFit="1" customWidth="1"/>
    <col min="16134" max="16134" width="15.33203125" style="208" customWidth="1"/>
    <col min="16135" max="16136" width="15.1640625" style="208" bestFit="1" customWidth="1"/>
    <col min="16137" max="16137" width="14.83203125" style="208" customWidth="1"/>
    <col min="16138" max="16138" width="13.6640625" style="208" bestFit="1" customWidth="1"/>
    <col min="16139" max="16139" width="17.1640625" style="208" bestFit="1" customWidth="1"/>
    <col min="16140" max="16384" width="14.5" style="208"/>
  </cols>
  <sheetData>
    <row r="1" spans="1:12" x14ac:dyDescent="0.2">
      <c r="A1" s="202"/>
      <c r="B1" s="203"/>
      <c r="C1" s="203"/>
      <c r="D1" s="204"/>
      <c r="E1" s="203"/>
      <c r="F1" s="203"/>
      <c r="I1" s="206"/>
      <c r="J1" s="206"/>
      <c r="K1" s="207"/>
    </row>
    <row r="2" spans="1:12" x14ac:dyDescent="0.2">
      <c r="A2" s="202"/>
      <c r="B2" s="203"/>
      <c r="C2" s="203"/>
      <c r="D2" s="204"/>
      <c r="E2" s="203"/>
      <c r="F2" s="203"/>
      <c r="G2" s="209"/>
      <c r="H2" s="209"/>
      <c r="I2" s="209"/>
      <c r="J2" s="209"/>
      <c r="K2" s="210"/>
    </row>
    <row r="3" spans="1:12" x14ac:dyDescent="0.2">
      <c r="A3" s="202"/>
      <c r="B3" s="203"/>
      <c r="C3" s="203"/>
      <c r="D3" s="204"/>
      <c r="E3" s="203"/>
      <c r="F3" s="203"/>
      <c r="G3" s="209"/>
      <c r="H3" s="209"/>
      <c r="I3" s="209"/>
      <c r="J3" s="209"/>
      <c r="K3" s="211"/>
    </row>
    <row r="4" spans="1:12" ht="19.5" x14ac:dyDescent="0.35">
      <c r="A4" s="212" t="s">
        <v>386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</row>
    <row r="5" spans="1:12" ht="19.5" x14ac:dyDescent="0.35">
      <c r="A5" s="212" t="s">
        <v>387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</row>
    <row r="6" spans="1:12" ht="13.5" thickBot="1" x14ac:dyDescent="0.25">
      <c r="A6" s="202"/>
      <c r="B6" s="203"/>
      <c r="C6" s="203"/>
      <c r="D6" s="204"/>
      <c r="E6" s="203"/>
      <c r="F6" s="203"/>
      <c r="G6" s="203"/>
      <c r="H6" s="203"/>
      <c r="I6" s="203"/>
      <c r="J6" s="203"/>
      <c r="K6" s="214" t="s">
        <v>388</v>
      </c>
    </row>
    <row r="7" spans="1:12" ht="15.95" customHeight="1" x14ac:dyDescent="0.2">
      <c r="A7" s="480" t="s">
        <v>389</v>
      </c>
      <c r="B7" s="483" t="s">
        <v>390</v>
      </c>
      <c r="C7" s="484"/>
      <c r="D7" s="484"/>
      <c r="E7" s="485" t="s">
        <v>391</v>
      </c>
      <c r="F7" s="486"/>
      <c r="G7" s="486"/>
      <c r="H7" s="486"/>
      <c r="I7" s="486"/>
      <c r="J7" s="486"/>
      <c r="K7" s="487"/>
    </row>
    <row r="8" spans="1:12" ht="15.95" customHeight="1" x14ac:dyDescent="0.2">
      <c r="A8" s="481"/>
      <c r="B8" s="215" t="s">
        <v>392</v>
      </c>
      <c r="C8" s="215" t="s">
        <v>393</v>
      </c>
      <c r="D8" s="215" t="s">
        <v>394</v>
      </c>
      <c r="E8" s="215" t="s">
        <v>395</v>
      </c>
      <c r="F8" s="215" t="s">
        <v>396</v>
      </c>
      <c r="G8" s="215" t="s">
        <v>397</v>
      </c>
      <c r="H8" s="488" t="s">
        <v>398</v>
      </c>
      <c r="I8" s="215" t="s">
        <v>399</v>
      </c>
      <c r="J8" s="215" t="s">
        <v>400</v>
      </c>
      <c r="K8" s="216" t="s">
        <v>394</v>
      </c>
    </row>
    <row r="9" spans="1:12" ht="15.95" customHeight="1" x14ac:dyDescent="0.2">
      <c r="A9" s="482"/>
      <c r="B9" s="215" t="s">
        <v>401</v>
      </c>
      <c r="C9" s="215" t="s">
        <v>402</v>
      </c>
      <c r="D9" s="215" t="s">
        <v>403</v>
      </c>
      <c r="E9" s="215" t="s">
        <v>404</v>
      </c>
      <c r="F9" s="215" t="s">
        <v>405</v>
      </c>
      <c r="G9" s="215" t="s">
        <v>406</v>
      </c>
      <c r="H9" s="489"/>
      <c r="I9" s="215" t="s">
        <v>407</v>
      </c>
      <c r="J9" s="215" t="s">
        <v>406</v>
      </c>
      <c r="K9" s="216" t="s">
        <v>408</v>
      </c>
    </row>
    <row r="10" spans="1:12" ht="15.95" customHeight="1" x14ac:dyDescent="0.2">
      <c r="A10" s="217" t="s">
        <v>409</v>
      </c>
      <c r="B10" s="218">
        <f>174100032-39200831+106800+217036+11270+88700-1755000</f>
        <v>133568007</v>
      </c>
      <c r="C10" s="218">
        <f t="shared" ref="C10:C14" si="0">K10-B10</f>
        <v>160379893</v>
      </c>
      <c r="D10" s="219">
        <f t="shared" ref="D10:D14" si="1">SUM(B10:C10)</f>
        <v>293947900</v>
      </c>
      <c r="E10" s="218">
        <f>61703726+51600+80000-1157738+9431+125000-1390000</f>
        <v>59422019</v>
      </c>
      <c r="F10" s="218">
        <f>14089304-225759+1839+50888-190000</f>
        <v>13726272</v>
      </c>
      <c r="G10" s="218">
        <f>230665212+622141+5207819+250000+2256671+273050-20175000</f>
        <v>219099893</v>
      </c>
      <c r="H10" s="218"/>
      <c r="I10" s="218"/>
      <c r="J10" s="218">
        <f>1229000+40000+54500+88700+287516</f>
        <v>1699716</v>
      </c>
      <c r="K10" s="220">
        <f t="shared" ref="K10:K14" si="2">SUM(E10:J10)</f>
        <v>293947900</v>
      </c>
      <c r="L10" s="221"/>
    </row>
    <row r="11" spans="1:12" ht="15.95" customHeight="1" x14ac:dyDescent="0.2">
      <c r="A11" s="217" t="s">
        <v>410</v>
      </c>
      <c r="B11" s="218">
        <f>12280923+30000+513084</f>
        <v>12824007</v>
      </c>
      <c r="C11" s="218">
        <f>K11-B11</f>
        <v>287972093</v>
      </c>
      <c r="D11" s="219">
        <f t="shared" si="1"/>
        <v>300796100</v>
      </c>
      <c r="E11" s="218">
        <f>187166011+408000+80000+1630390-80000+109620-136112+275000-1472000</f>
        <v>187980909</v>
      </c>
      <c r="F11" s="218">
        <f>40197175+71604+14040+308098+21376-23888+111953-400000</f>
        <v>40300358</v>
      </c>
      <c r="G11" s="218">
        <f>71308603+110000+60000+624000-624000+130000+80000+88350+30000+160000+37000-1841500</f>
        <v>70162453</v>
      </c>
      <c r="H11" s="218"/>
      <c r="I11" s="218"/>
      <c r="J11" s="218">
        <f>2766980-60000-354600</f>
        <v>2352380</v>
      </c>
      <c r="K11" s="220">
        <f t="shared" si="2"/>
        <v>300796100</v>
      </c>
      <c r="L11" s="222"/>
    </row>
    <row r="12" spans="1:12" ht="15.95" customHeight="1" x14ac:dyDescent="0.2">
      <c r="A12" s="217" t="s">
        <v>411</v>
      </c>
      <c r="B12" s="218">
        <f>13275287+408000+888900+136269+166174</f>
        <v>14874630</v>
      </c>
      <c r="C12" s="218">
        <f t="shared" si="0"/>
        <v>80964759</v>
      </c>
      <c r="D12" s="219">
        <f t="shared" si="1"/>
        <v>95839389</v>
      </c>
      <c r="E12" s="469">
        <f>44090923+69000+170500+27000+100000+130212-1500000-250000</f>
        <v>42837635</v>
      </c>
      <c r="F12" s="469">
        <f>8671204+12110+33248+30533-500000+250000</f>
        <v>8497095</v>
      </c>
      <c r="G12" s="218">
        <f>42412062-81110+232749-170000-100000+408000+232749+888900+176000-190500-4600000</f>
        <v>39208850</v>
      </c>
      <c r="H12" s="218"/>
      <c r="I12" s="218"/>
      <c r="J12" s="218">
        <f>2678704+1598336+170000+522000+136269+190500</f>
        <v>5295809</v>
      </c>
      <c r="K12" s="220">
        <f t="shared" si="2"/>
        <v>95839389</v>
      </c>
    </row>
    <row r="13" spans="1:12" s="221" customFormat="1" ht="18" customHeight="1" x14ac:dyDescent="0.2">
      <c r="A13" s="223" t="s">
        <v>412</v>
      </c>
      <c r="B13" s="224">
        <f>224494113-28+3011250+1595250-4000000+2336516+105000+90115</f>
        <v>227632216</v>
      </c>
      <c r="C13" s="218">
        <f t="shared" si="0"/>
        <v>501059575</v>
      </c>
      <c r="D13" s="219">
        <f t="shared" si="1"/>
        <v>728691791</v>
      </c>
      <c r="E13" s="225">
        <f>432587281+258000+374000+4907657+673383+1000000+1499370-602934-83255+12671+75411+2038500+730000-14000000</f>
        <v>429470084</v>
      </c>
      <c r="F13" s="225">
        <f>91161523+50310+72930+949388+132042+175500+292377-117572-16237+14704+397508+297184-2730000</f>
        <v>90679657</v>
      </c>
      <c r="G13" s="225">
        <f>186217978+192293+628600+1606688-528975+955814-179000+1462000+1524000+6523801+400000-83820+863600+416292+3810000+67000+186826+89250-10400000</f>
        <v>193752347</v>
      </c>
      <c r="H13" s="225"/>
      <c r="I13" s="225"/>
      <c r="J13" s="225">
        <f>12698618+599137-646525+179000-400000+83820+57150+2380000-199497+38000</f>
        <v>14789703</v>
      </c>
      <c r="K13" s="220">
        <f t="shared" si="2"/>
        <v>728691791</v>
      </c>
    </row>
    <row r="14" spans="1:12" s="221" customFormat="1" ht="18" customHeight="1" x14ac:dyDescent="0.2">
      <c r="A14" s="223" t="s">
        <v>138</v>
      </c>
      <c r="B14" s="224">
        <f>944234+20000+28756</f>
        <v>992990</v>
      </c>
      <c r="C14" s="218">
        <f t="shared" si="0"/>
        <v>85869213</v>
      </c>
      <c r="D14" s="219">
        <f t="shared" si="1"/>
        <v>86862203</v>
      </c>
      <c r="E14" s="225">
        <f>58944411+230755+24064+105000-800000</f>
        <v>58504230</v>
      </c>
      <c r="F14" s="225">
        <f>11728198+44997+4692+42745-200000</f>
        <v>11620632</v>
      </c>
      <c r="G14" s="225">
        <f>15292331+10000-285000-345000-350000</f>
        <v>14322331</v>
      </c>
      <c r="H14" s="225"/>
      <c r="I14" s="225"/>
      <c r="J14" s="225">
        <f>1630810+305000+134200+345000</f>
        <v>2415010</v>
      </c>
      <c r="K14" s="220">
        <f t="shared" si="2"/>
        <v>86862203</v>
      </c>
    </row>
    <row r="15" spans="1:12" s="221" customFormat="1" ht="18" customHeight="1" x14ac:dyDescent="0.2">
      <c r="A15" s="223" t="s">
        <v>142</v>
      </c>
      <c r="B15" s="226">
        <v>15749497</v>
      </c>
      <c r="C15" s="219">
        <f>K15-B15</f>
        <v>197064147</v>
      </c>
      <c r="D15" s="219">
        <f>SUM(B15:C15)</f>
        <v>212813644</v>
      </c>
      <c r="E15" s="227">
        <v>142996782</v>
      </c>
      <c r="F15" s="227">
        <v>30146688</v>
      </c>
      <c r="G15" s="227">
        <v>37098944</v>
      </c>
      <c r="H15" s="225">
        <v>86500</v>
      </c>
      <c r="I15" s="225">
        <f>24250000-24050000</f>
        <v>200000</v>
      </c>
      <c r="J15" s="227">
        <v>2284730</v>
      </c>
      <c r="K15" s="220">
        <f>SUM(E15:J15)</f>
        <v>212813644</v>
      </c>
    </row>
    <row r="16" spans="1:12" s="231" customFormat="1" ht="18" customHeight="1" thickBot="1" x14ac:dyDescent="0.25">
      <c r="A16" s="228" t="s">
        <v>413</v>
      </c>
      <c r="B16" s="229">
        <f t="shared" ref="B16:J16" si="3">SUM(B10:B15)</f>
        <v>405641347</v>
      </c>
      <c r="C16" s="229">
        <f t="shared" si="3"/>
        <v>1313309680</v>
      </c>
      <c r="D16" s="229">
        <f t="shared" si="3"/>
        <v>1718951027</v>
      </c>
      <c r="E16" s="470">
        <f t="shared" si="3"/>
        <v>921211659</v>
      </c>
      <c r="F16" s="470">
        <f t="shared" si="3"/>
        <v>194970702</v>
      </c>
      <c r="G16" s="229">
        <f t="shared" si="3"/>
        <v>573644818</v>
      </c>
      <c r="H16" s="229">
        <f t="shared" si="3"/>
        <v>86500</v>
      </c>
      <c r="I16" s="229">
        <f t="shared" si="3"/>
        <v>200000</v>
      </c>
      <c r="J16" s="229">
        <f t="shared" si="3"/>
        <v>28837348</v>
      </c>
      <c r="K16" s="230">
        <f>SUM(K10:K15)</f>
        <v>1718951027</v>
      </c>
    </row>
    <row r="17" spans="2:11" s="234" customFormat="1" ht="11.25" x14ac:dyDescent="0.2">
      <c r="B17" s="232"/>
      <c r="C17" s="232"/>
      <c r="D17" s="233"/>
      <c r="E17" s="232"/>
      <c r="F17" s="232"/>
      <c r="G17" s="232"/>
      <c r="H17" s="232"/>
      <c r="I17" s="232"/>
      <c r="J17" s="232"/>
      <c r="K17" s="233"/>
    </row>
    <row r="18" spans="2:11" s="234" customFormat="1" ht="11.25" x14ac:dyDescent="0.2">
      <c r="B18" s="232"/>
      <c r="C18" s="232"/>
      <c r="D18" s="233"/>
      <c r="E18" s="232"/>
      <c r="F18" s="232"/>
      <c r="G18" s="232"/>
      <c r="H18" s="232"/>
      <c r="I18" s="232"/>
      <c r="J18" s="232"/>
      <c r="K18" s="233"/>
    </row>
    <row r="19" spans="2:11" s="237" customFormat="1" x14ac:dyDescent="0.2">
      <c r="B19" s="235"/>
      <c r="C19" s="235"/>
      <c r="D19" s="236"/>
      <c r="E19" s="235"/>
      <c r="F19" s="235"/>
      <c r="G19" s="235"/>
      <c r="H19" s="235"/>
      <c r="I19" s="235"/>
      <c r="J19" s="235"/>
      <c r="K19" s="236"/>
    </row>
    <row r="20" spans="2:11" s="237" customFormat="1" x14ac:dyDescent="0.2">
      <c r="B20" s="235"/>
      <c r="C20" s="235"/>
      <c r="D20" s="236"/>
      <c r="E20" s="235"/>
      <c r="F20" s="235"/>
      <c r="G20" s="235"/>
      <c r="H20" s="235"/>
      <c r="I20" s="235"/>
      <c r="J20" s="235"/>
      <c r="K20" s="236"/>
    </row>
    <row r="21" spans="2:11" s="237" customFormat="1" x14ac:dyDescent="0.2">
      <c r="B21" s="235"/>
      <c r="C21" s="235"/>
      <c r="D21" s="236"/>
      <c r="E21" s="235"/>
      <c r="F21" s="235"/>
      <c r="G21" s="235"/>
      <c r="H21" s="235"/>
      <c r="I21" s="235"/>
      <c r="J21" s="235"/>
      <c r="K21" s="236"/>
    </row>
    <row r="22" spans="2:11" s="237" customFormat="1" x14ac:dyDescent="0.2">
      <c r="B22" s="235"/>
      <c r="C22" s="235"/>
      <c r="D22" s="236"/>
      <c r="E22" s="235"/>
      <c r="F22" s="235"/>
      <c r="G22" s="235"/>
      <c r="H22" s="235"/>
      <c r="I22" s="235"/>
      <c r="J22" s="235"/>
      <c r="K22" s="236"/>
    </row>
    <row r="23" spans="2:11" s="237" customFormat="1" x14ac:dyDescent="0.2">
      <c r="B23" s="235"/>
      <c r="C23" s="235"/>
      <c r="D23" s="236"/>
      <c r="E23" s="235"/>
      <c r="F23" s="235"/>
      <c r="G23" s="235"/>
      <c r="H23" s="235"/>
      <c r="I23" s="235"/>
      <c r="J23" s="235"/>
      <c r="K23" s="236"/>
    </row>
    <row r="24" spans="2:11" s="237" customFormat="1" x14ac:dyDescent="0.2">
      <c r="B24" s="235"/>
      <c r="C24" s="235"/>
      <c r="D24" s="236"/>
      <c r="E24" s="235"/>
      <c r="F24" s="235"/>
      <c r="G24" s="235"/>
      <c r="H24" s="235"/>
      <c r="I24" s="235"/>
      <c r="J24" s="235"/>
      <c r="K24" s="236"/>
    </row>
    <row r="25" spans="2:11" s="237" customFormat="1" x14ac:dyDescent="0.2">
      <c r="B25" s="235"/>
      <c r="C25" s="235"/>
      <c r="D25" s="236"/>
      <c r="E25" s="235"/>
      <c r="F25" s="235"/>
      <c r="G25" s="235"/>
      <c r="H25" s="235"/>
      <c r="I25" s="235"/>
      <c r="J25" s="235"/>
      <c r="K25" s="236"/>
    </row>
    <row r="26" spans="2:11" s="237" customFormat="1" x14ac:dyDescent="0.2">
      <c r="B26" s="235"/>
      <c r="C26" s="235"/>
      <c r="D26" s="236"/>
      <c r="E26" s="235"/>
      <c r="F26" s="235"/>
      <c r="G26" s="235"/>
      <c r="H26" s="235"/>
      <c r="I26" s="235"/>
      <c r="J26" s="235"/>
      <c r="K26" s="236"/>
    </row>
    <row r="27" spans="2:11" x14ac:dyDescent="0.2">
      <c r="C27" s="238"/>
      <c r="G27" s="238"/>
      <c r="H27" s="238"/>
    </row>
  </sheetData>
  <mergeCells count="4"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71" fitToHeight="0" orientation="landscape" r:id="rId1"/>
  <headerFooter alignWithMargins="0">
    <oddHeader>&amp;R&amp;"Times New Roman CE,Félkövér dőlt"&amp;11 6. melléklet a 7/2019.(III.14.)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view="pageLayout" topLeftCell="A77" zoomScale="115" zoomScaleNormal="100" zoomScaleSheetLayoutView="85" zoomScalePageLayoutView="115" workbookViewId="0">
      <selection activeCell="D78" sqref="D78"/>
    </sheetView>
  </sheetViews>
  <sheetFormatPr defaultRowHeight="15.75" x14ac:dyDescent="0.25"/>
  <cols>
    <col min="1" max="1" width="9" style="342" customWidth="1"/>
    <col min="2" max="2" width="75.83203125" style="342" customWidth="1"/>
    <col min="3" max="3" width="16.5" style="343" customWidth="1"/>
    <col min="4" max="4" width="15.5" style="343" customWidth="1"/>
    <col min="5" max="7" width="15.5" style="343" hidden="1" customWidth="1"/>
    <col min="8" max="8" width="15.5" style="343" customWidth="1"/>
    <col min="9" max="9" width="14.33203125" style="240" hidden="1" customWidth="1"/>
    <col min="10" max="10" width="12.6640625" style="240" hidden="1" customWidth="1"/>
    <col min="11" max="11" width="14.33203125" style="240" hidden="1" customWidth="1"/>
    <col min="12" max="16384" width="9.33203125" style="240"/>
  </cols>
  <sheetData>
    <row r="1" spans="1:11" ht="35.25" customHeight="1" x14ac:dyDescent="0.25">
      <c r="A1" s="490" t="s">
        <v>414</v>
      </c>
      <c r="B1" s="491"/>
      <c r="C1" s="491"/>
      <c r="D1" s="491"/>
      <c r="E1" s="491"/>
      <c r="F1" s="491"/>
      <c r="G1" s="491"/>
      <c r="H1" s="491"/>
    </row>
    <row r="3" spans="1:11" ht="15.95" customHeight="1" x14ac:dyDescent="0.25">
      <c r="A3" s="473" t="s">
        <v>3</v>
      </c>
      <c r="B3" s="473"/>
      <c r="C3" s="473"/>
      <c r="D3" s="473"/>
      <c r="E3" s="473"/>
      <c r="F3" s="473"/>
      <c r="G3" s="473"/>
      <c r="H3" s="473"/>
    </row>
    <row r="4" spans="1:11" ht="15.95" customHeight="1" thickBot="1" x14ac:dyDescent="0.3">
      <c r="A4" s="472" t="s">
        <v>64</v>
      </c>
      <c r="B4" s="472"/>
      <c r="C4" s="241"/>
      <c r="D4" s="241"/>
      <c r="E4" s="242"/>
      <c r="F4" s="242"/>
      <c r="G4" s="242"/>
      <c r="H4" s="243" t="s">
        <v>147</v>
      </c>
    </row>
    <row r="5" spans="1:11" ht="38.1" customHeight="1" thickBot="1" x14ac:dyDescent="0.3">
      <c r="A5" s="10" t="s">
        <v>44</v>
      </c>
      <c r="B5" s="11" t="s">
        <v>5</v>
      </c>
      <c r="C5" s="244" t="s">
        <v>415</v>
      </c>
      <c r="D5" s="244" t="s">
        <v>416</v>
      </c>
      <c r="E5" s="245"/>
      <c r="F5" s="245"/>
      <c r="G5" s="245"/>
      <c r="H5" s="246" t="s">
        <v>148</v>
      </c>
    </row>
    <row r="6" spans="1:11" s="42" customFormat="1" ht="12" customHeight="1" thickBot="1" x14ac:dyDescent="0.25">
      <c r="A6" s="13" t="s">
        <v>122</v>
      </c>
      <c r="B6" s="114" t="s">
        <v>123</v>
      </c>
      <c r="C6" s="247" t="s">
        <v>124</v>
      </c>
      <c r="D6" s="247" t="s">
        <v>128</v>
      </c>
      <c r="E6" s="248"/>
      <c r="F6" s="248"/>
      <c r="G6" s="248"/>
      <c r="H6" s="249" t="s">
        <v>129</v>
      </c>
    </row>
    <row r="7" spans="1:11" s="252" customFormat="1" ht="12" customHeight="1" thickBot="1" x14ac:dyDescent="0.25">
      <c r="A7" s="9" t="s">
        <v>6</v>
      </c>
      <c r="B7" s="61" t="s">
        <v>153</v>
      </c>
      <c r="C7" s="247">
        <f>SUM(C8:C13)</f>
        <v>1024115149</v>
      </c>
      <c r="D7" s="250">
        <f>SUM(D8:D13)</f>
        <v>1157368280</v>
      </c>
      <c r="E7" s="251">
        <f>+E8+E9+E10+E11+E12+E13</f>
        <v>1133144785</v>
      </c>
      <c r="F7" s="250">
        <f>+F8+F9+F10+F11+F12+F13</f>
        <v>0</v>
      </c>
      <c r="G7" s="250">
        <f>+G8+G9+G10+G11+G12+G13</f>
        <v>0</v>
      </c>
      <c r="H7" s="62">
        <f t="shared" ref="H7:H38" si="0">SUM(I7:K7)</f>
        <v>1170233686</v>
      </c>
      <c r="I7" s="43">
        <f>+I8+I9+I10+I11+I12+I13</f>
        <v>1170233686</v>
      </c>
      <c r="J7" s="62">
        <f>+J8+J9+J10+J11+J12+J13</f>
        <v>0</v>
      </c>
      <c r="K7" s="62">
        <f>+K8+K9+K10+K11+K12+K13</f>
        <v>0</v>
      </c>
    </row>
    <row r="8" spans="1:11" s="252" customFormat="1" ht="12" customHeight="1" x14ac:dyDescent="0.2">
      <c r="A8" s="7" t="s">
        <v>48</v>
      </c>
      <c r="B8" s="48" t="s">
        <v>154</v>
      </c>
      <c r="C8" s="253">
        <v>231987612</v>
      </c>
      <c r="D8" s="254">
        <f>SUM(E8:G8)+905743</f>
        <v>228418282</v>
      </c>
      <c r="E8" s="255">
        <v>227512539</v>
      </c>
      <c r="F8" s="256"/>
      <c r="G8" s="256"/>
      <c r="H8" s="76">
        <f t="shared" si="0"/>
        <v>228389971</v>
      </c>
      <c r="I8" s="65">
        <f>227855923+534048</f>
        <v>228389971</v>
      </c>
      <c r="J8" s="65"/>
      <c r="K8" s="65"/>
    </row>
    <row r="9" spans="1:11" s="252" customFormat="1" ht="12" customHeight="1" x14ac:dyDescent="0.2">
      <c r="A9" s="6" t="s">
        <v>49</v>
      </c>
      <c r="B9" s="49" t="s">
        <v>155</v>
      </c>
      <c r="C9" s="257">
        <v>218221810</v>
      </c>
      <c r="D9" s="258">
        <f>SUM(E9:G9)+10461768-4721982-4278000</f>
        <v>219569080</v>
      </c>
      <c r="E9" s="259">
        <v>218107294</v>
      </c>
      <c r="F9" s="260"/>
      <c r="G9" s="260"/>
      <c r="H9" s="78">
        <f t="shared" si="0"/>
        <v>227307468</v>
      </c>
      <c r="I9" s="69">
        <f>224734134+735168+2268933-430767</f>
        <v>227307468</v>
      </c>
      <c r="J9" s="69"/>
      <c r="K9" s="69"/>
    </row>
    <row r="10" spans="1:11" s="252" customFormat="1" ht="12" customHeight="1" x14ac:dyDescent="0.2">
      <c r="A10" s="6" t="s">
        <v>50</v>
      </c>
      <c r="B10" s="49" t="s">
        <v>385</v>
      </c>
      <c r="C10" s="257">
        <v>534266192</v>
      </c>
      <c r="D10" s="258">
        <f>SUM(E10:G10)-35761000-1921230+31350000</f>
        <v>597207802</v>
      </c>
      <c r="E10" s="259">
        <f>121200000+67844165+118423160+15562200+177597260+4526280+11511000+24250000+62625967</f>
        <v>603540032</v>
      </c>
      <c r="F10" s="260"/>
      <c r="G10" s="260"/>
      <c r="H10" s="78">
        <f t="shared" si="0"/>
        <v>660574907</v>
      </c>
      <c r="I10" s="69">
        <f>126991000+65060600+119410000+192410145+62092600+71339813+9672244+16010694-2412189</f>
        <v>660574907</v>
      </c>
      <c r="J10" s="69"/>
      <c r="K10" s="69"/>
    </row>
    <row r="11" spans="1:11" s="252" customFormat="1" ht="12" customHeight="1" x14ac:dyDescent="0.2">
      <c r="A11" s="6" t="s">
        <v>51</v>
      </c>
      <c r="B11" s="49" t="s">
        <v>157</v>
      </c>
      <c r="C11" s="257">
        <v>26942276</v>
      </c>
      <c r="D11" s="258">
        <f>SUM(E11:G11)-4412740+4412740+1038248</f>
        <v>31342308</v>
      </c>
      <c r="E11" s="259">
        <f>4412740+15262320+10629000</f>
        <v>30304060</v>
      </c>
      <c r="F11" s="260"/>
      <c r="G11" s="260"/>
      <c r="H11" s="78">
        <f t="shared" si="0"/>
        <v>34596226</v>
      </c>
      <c r="I11" s="69">
        <f>16122040+12622000+1398336+4545780+305691-397621</f>
        <v>34596226</v>
      </c>
      <c r="J11" s="69"/>
      <c r="K11" s="69"/>
    </row>
    <row r="12" spans="1:11" s="252" customFormat="1" ht="12" customHeight="1" x14ac:dyDescent="0.2">
      <c r="A12" s="6" t="s">
        <v>63</v>
      </c>
      <c r="B12" s="261" t="s">
        <v>158</v>
      </c>
      <c r="C12" s="257">
        <v>1738907</v>
      </c>
      <c r="D12" s="258">
        <f>SUM(E12:G12)+23885805+49094027+4501192-4412740-15000000+306000-31224336</f>
        <v>80830808</v>
      </c>
      <c r="E12" s="259">
        <f>3551000+1060845+168707597+58000+128000-119824582</f>
        <v>53680860</v>
      </c>
      <c r="F12" s="260"/>
      <c r="G12" s="260"/>
      <c r="H12" s="78">
        <f t="shared" si="0"/>
        <v>19365114</v>
      </c>
      <c r="I12" s="69">
        <f>16254886+63796813+190231327+1309600+1013108-68342593-9455567-15000000-50668000-109774460</f>
        <v>19365114</v>
      </c>
      <c r="J12" s="69"/>
      <c r="K12" s="69"/>
    </row>
    <row r="13" spans="1:11" s="252" customFormat="1" ht="12" customHeight="1" thickBot="1" x14ac:dyDescent="0.25">
      <c r="A13" s="8" t="s">
        <v>52</v>
      </c>
      <c r="B13" s="262" t="s">
        <v>159</v>
      </c>
      <c r="C13" s="263">
        <v>10958352</v>
      </c>
      <c r="D13" s="264">
        <f>SUM(E13:G13)</f>
        <v>0</v>
      </c>
      <c r="E13" s="265"/>
      <c r="F13" s="266"/>
      <c r="G13" s="266"/>
      <c r="H13" s="72">
        <f t="shared" si="0"/>
        <v>0</v>
      </c>
      <c r="I13" s="22"/>
      <c r="J13" s="73"/>
      <c r="K13" s="73"/>
    </row>
    <row r="14" spans="1:11" s="252" customFormat="1" ht="12" customHeight="1" thickBot="1" x14ac:dyDescent="0.25">
      <c r="A14" s="9" t="s">
        <v>7</v>
      </c>
      <c r="B14" s="53" t="s">
        <v>160</v>
      </c>
      <c r="C14" s="267">
        <v>710827871</v>
      </c>
      <c r="D14" s="251">
        <f>SUM(D15:D19)</f>
        <v>335849323</v>
      </c>
      <c r="E14" s="251">
        <f>+E15+E16+E17+E18+E19</f>
        <v>-145452435</v>
      </c>
      <c r="F14" s="250">
        <f>+F15+F16+F17+F18+F19</f>
        <v>0</v>
      </c>
      <c r="G14" s="250">
        <f>+G15+G16+G17+G18+G19</f>
        <v>5485000</v>
      </c>
      <c r="H14" s="62">
        <f t="shared" si="0"/>
        <v>279095571</v>
      </c>
      <c r="I14" s="43">
        <f>+I15+I16+I17+I18+I19</f>
        <v>256466179</v>
      </c>
      <c r="J14" s="62">
        <f>+J15+J16+J17+J18+J19</f>
        <v>3116857</v>
      </c>
      <c r="K14" s="62">
        <f>+K15+K16+K17+K18+K19</f>
        <v>19512535</v>
      </c>
    </row>
    <row r="15" spans="1:11" s="252" customFormat="1" ht="12" customHeight="1" x14ac:dyDescent="0.2">
      <c r="A15" s="7" t="s">
        <v>54</v>
      </c>
      <c r="B15" s="48" t="s">
        <v>80</v>
      </c>
      <c r="C15" s="257"/>
      <c r="D15" s="254">
        <f>SUM(E15:G15)</f>
        <v>0</v>
      </c>
      <c r="E15" s="268"/>
      <c r="F15" s="269"/>
      <c r="G15" s="269"/>
      <c r="H15" s="76">
        <f t="shared" si="0"/>
        <v>0</v>
      </c>
      <c r="I15" s="44"/>
      <c r="J15" s="77"/>
      <c r="K15" s="77"/>
    </row>
    <row r="16" spans="1:11" s="252" customFormat="1" ht="12" customHeight="1" x14ac:dyDescent="0.2">
      <c r="A16" s="6" t="s">
        <v>55</v>
      </c>
      <c r="B16" s="49" t="s">
        <v>161</v>
      </c>
      <c r="C16" s="257"/>
      <c r="D16" s="270">
        <f>SUM(E16:G16)</f>
        <v>0</v>
      </c>
      <c r="E16" s="265"/>
      <c r="F16" s="266"/>
      <c r="G16" s="266"/>
      <c r="H16" s="78">
        <f t="shared" si="0"/>
        <v>0</v>
      </c>
      <c r="I16" s="22"/>
      <c r="J16" s="73"/>
      <c r="K16" s="73"/>
    </row>
    <row r="17" spans="1:11" s="252" customFormat="1" ht="12" customHeight="1" x14ac:dyDescent="0.2">
      <c r="A17" s="6" t="s">
        <v>56</v>
      </c>
      <c r="B17" s="49" t="s">
        <v>162</v>
      </c>
      <c r="C17" s="257"/>
      <c r="D17" s="258">
        <f>SUM(E17:G17)</f>
        <v>0</v>
      </c>
      <c r="E17" s="265"/>
      <c r="F17" s="266"/>
      <c r="G17" s="266"/>
      <c r="H17" s="78">
        <f t="shared" si="0"/>
        <v>0</v>
      </c>
      <c r="I17" s="22"/>
      <c r="J17" s="73"/>
      <c r="K17" s="73"/>
    </row>
    <row r="18" spans="1:11" s="252" customFormat="1" ht="12" customHeight="1" x14ac:dyDescent="0.2">
      <c r="A18" s="6" t="s">
        <v>57</v>
      </c>
      <c r="B18" s="49" t="s">
        <v>163</v>
      </c>
      <c r="C18" s="257"/>
      <c r="D18" s="258">
        <f>SUM(E18:G18)</f>
        <v>0</v>
      </c>
      <c r="E18" s="265"/>
      <c r="F18" s="266"/>
      <c r="G18" s="266"/>
      <c r="H18" s="78">
        <f t="shared" si="0"/>
        <v>0</v>
      </c>
      <c r="I18" s="22"/>
      <c r="J18" s="73"/>
      <c r="K18" s="73"/>
    </row>
    <row r="19" spans="1:11" s="252" customFormat="1" ht="12" customHeight="1" x14ac:dyDescent="0.2">
      <c r="A19" s="6" t="s">
        <v>164</v>
      </c>
      <c r="B19" s="49" t="s">
        <v>165</v>
      </c>
      <c r="C19" s="257">
        <v>710827871</v>
      </c>
      <c r="D19" s="258">
        <f>SUM(E19:G19)+326152588+94906504+10325405+7215044+33734217+3483000</f>
        <v>335849323</v>
      </c>
      <c r="E19" s="259">
        <f>2285000+210000+110446000+65342000-323735435</f>
        <v>-145452435</v>
      </c>
      <c r="F19" s="260"/>
      <c r="G19" s="260">
        <v>5485000</v>
      </c>
      <c r="H19" s="78">
        <f t="shared" si="0"/>
        <v>279095571</v>
      </c>
      <c r="I19" s="79">
        <f>3900000+4320000+125887110+24250000-344442+81177781+3810743+11382000+1954934+2336516-11236604+9028141</f>
        <v>256466179</v>
      </c>
      <c r="J19" s="80">
        <f>3096237+20620</f>
        <v>3116857</v>
      </c>
      <c r="K19" s="69">
        <v>19512535</v>
      </c>
    </row>
    <row r="20" spans="1:11" s="252" customFormat="1" ht="12" customHeight="1" thickBot="1" x14ac:dyDescent="0.25">
      <c r="A20" s="8" t="s">
        <v>166</v>
      </c>
      <c r="B20" s="262" t="s">
        <v>167</v>
      </c>
      <c r="C20" s="263"/>
      <c r="D20" s="264">
        <f>374405+16502729</f>
        <v>16877134</v>
      </c>
      <c r="E20" s="271"/>
      <c r="F20" s="272"/>
      <c r="G20" s="272"/>
      <c r="H20" s="72">
        <f t="shared" si="0"/>
        <v>85930791</v>
      </c>
      <c r="I20" s="81">
        <v>85531256</v>
      </c>
      <c r="J20" s="82"/>
      <c r="K20" s="82">
        <v>399535</v>
      </c>
    </row>
    <row r="21" spans="1:11" s="252" customFormat="1" ht="12" customHeight="1" thickBot="1" x14ac:dyDescent="0.25">
      <c r="A21" s="9" t="s">
        <v>8</v>
      </c>
      <c r="B21" s="52" t="s">
        <v>168</v>
      </c>
      <c r="C21" s="267">
        <v>92052777</v>
      </c>
      <c r="D21" s="251">
        <f>SUM(D22:D26)</f>
        <v>532260298</v>
      </c>
      <c r="E21" s="251">
        <f>+E22+E23+E24+E25+E26</f>
        <v>-11381976</v>
      </c>
      <c r="F21" s="250">
        <f>+F22+F23+F24+F25+F26</f>
        <v>0</v>
      </c>
      <c r="G21" s="250">
        <f>+G22+G23+G24+G25+G26</f>
        <v>0</v>
      </c>
      <c r="H21" s="62">
        <f t="shared" si="0"/>
        <v>82911198</v>
      </c>
      <c r="I21" s="43">
        <f>+I22+I23+I24+I25+I26</f>
        <v>82911198</v>
      </c>
      <c r="J21" s="62">
        <f>+J22+J23+J24+J25+J26</f>
        <v>0</v>
      </c>
      <c r="K21" s="62">
        <f>+K22+K23+K24+K25+K26</f>
        <v>0</v>
      </c>
    </row>
    <row r="22" spans="1:11" s="252" customFormat="1" ht="12" customHeight="1" x14ac:dyDescent="0.2">
      <c r="A22" s="7" t="s">
        <v>169</v>
      </c>
      <c r="B22" s="48" t="s">
        <v>81</v>
      </c>
      <c r="C22" s="257">
        <v>20850665</v>
      </c>
      <c r="D22" s="254">
        <f>SUM(E22:G22)+15690532</f>
        <v>15690532</v>
      </c>
      <c r="E22" s="273"/>
      <c r="F22" s="274"/>
      <c r="G22" s="274"/>
      <c r="H22" s="76">
        <f t="shared" si="0"/>
        <v>19753000</v>
      </c>
      <c r="I22" s="83">
        <f>322000+19431000</f>
        <v>19753000</v>
      </c>
      <c r="J22" s="84"/>
      <c r="K22" s="84"/>
    </row>
    <row r="23" spans="1:11" s="252" customFormat="1" ht="12" customHeight="1" x14ac:dyDescent="0.2">
      <c r="A23" s="6" t="s">
        <v>170</v>
      </c>
      <c r="B23" s="49" t="s">
        <v>171</v>
      </c>
      <c r="C23" s="257"/>
      <c r="D23" s="270">
        <f>SUM(E23:G23)</f>
        <v>0</v>
      </c>
      <c r="E23" s="259"/>
      <c r="F23" s="260"/>
      <c r="G23" s="260"/>
      <c r="H23" s="85">
        <f t="shared" si="0"/>
        <v>0</v>
      </c>
      <c r="I23" s="86"/>
      <c r="J23" s="69"/>
      <c r="K23" s="69"/>
    </row>
    <row r="24" spans="1:11" s="252" customFormat="1" ht="12" customHeight="1" x14ac:dyDescent="0.2">
      <c r="A24" s="6" t="s">
        <v>172</v>
      </c>
      <c r="B24" s="49" t="s">
        <v>173</v>
      </c>
      <c r="C24" s="257"/>
      <c r="D24" s="270">
        <f>SUM(E24:G24)</f>
        <v>0</v>
      </c>
      <c r="E24" s="259"/>
      <c r="F24" s="260"/>
      <c r="G24" s="260"/>
      <c r="H24" s="78">
        <f t="shared" si="0"/>
        <v>0</v>
      </c>
      <c r="I24" s="86"/>
      <c r="J24" s="69"/>
      <c r="K24" s="69"/>
    </row>
    <row r="25" spans="1:11" s="252" customFormat="1" ht="12" customHeight="1" x14ac:dyDescent="0.2">
      <c r="A25" s="6" t="s">
        <v>174</v>
      </c>
      <c r="B25" s="49" t="s">
        <v>175</v>
      </c>
      <c r="C25" s="257"/>
      <c r="D25" s="270">
        <f>SUM(E25:G25)</f>
        <v>0</v>
      </c>
      <c r="E25" s="259"/>
      <c r="F25" s="260"/>
      <c r="G25" s="260"/>
      <c r="H25" s="78">
        <f t="shared" si="0"/>
        <v>0</v>
      </c>
      <c r="I25" s="86"/>
      <c r="J25" s="69"/>
      <c r="K25" s="69"/>
    </row>
    <row r="26" spans="1:11" s="252" customFormat="1" ht="12" customHeight="1" x14ac:dyDescent="0.2">
      <c r="A26" s="6" t="s">
        <v>176</v>
      </c>
      <c r="B26" s="49" t="s">
        <v>177</v>
      </c>
      <c r="C26" s="257">
        <v>71202112</v>
      </c>
      <c r="D26" s="270">
        <f>SUM(E26:G26)+15179276+93705029+216916507+202150930</f>
        <v>516569766</v>
      </c>
      <c r="E26" s="259">
        <f>3797300-15179276</f>
        <v>-11381976</v>
      </c>
      <c r="F26" s="260"/>
      <c r="G26" s="260"/>
      <c r="H26" s="78">
        <f t="shared" si="0"/>
        <v>63158198</v>
      </c>
      <c r="I26" s="86">
        <f>5866130+3779393+3796748+59859051+136269-10279393</f>
        <v>63158198</v>
      </c>
      <c r="J26" s="69"/>
      <c r="K26" s="69"/>
    </row>
    <row r="27" spans="1:11" s="252" customFormat="1" ht="12" customHeight="1" thickBot="1" x14ac:dyDescent="0.25">
      <c r="A27" s="8" t="s">
        <v>178</v>
      </c>
      <c r="B27" s="50" t="s">
        <v>179</v>
      </c>
      <c r="C27" s="263">
        <v>71149405</v>
      </c>
      <c r="D27" s="275">
        <f>SUM(E27:G27)+91545029+214128350+202150930</f>
        <v>511621609</v>
      </c>
      <c r="E27" s="271">
        <v>3797300</v>
      </c>
      <c r="F27" s="272"/>
      <c r="G27" s="272"/>
      <c r="H27" s="72">
        <f t="shared" si="0"/>
        <v>58668454</v>
      </c>
      <c r="I27" s="81">
        <f>9645523+3796748+55505576-10279393</f>
        <v>58668454</v>
      </c>
      <c r="J27" s="82"/>
      <c r="K27" s="82"/>
    </row>
    <row r="28" spans="1:11" s="252" customFormat="1" ht="12" customHeight="1" thickBot="1" x14ac:dyDescent="0.25">
      <c r="A28" s="9" t="s">
        <v>66</v>
      </c>
      <c r="B28" s="52" t="s">
        <v>82</v>
      </c>
      <c r="C28" s="267">
        <f>C29+C33+C34+C35</f>
        <v>356945262</v>
      </c>
      <c r="D28" s="251">
        <f>SUM(D29)+SUM(D32:D35)</f>
        <v>366490000</v>
      </c>
      <c r="E28" s="276">
        <f>+E29+E33+E34+E35</f>
        <v>329390000</v>
      </c>
      <c r="F28" s="277">
        <f>+F29+F33+F34+F35</f>
        <v>0</v>
      </c>
      <c r="G28" s="277">
        <f>+G29+G33+G34+G35</f>
        <v>0</v>
      </c>
      <c r="H28" s="62">
        <f t="shared" si="0"/>
        <v>402108000</v>
      </c>
      <c r="I28" s="88">
        <f>+I29+I33+I34+I35</f>
        <v>402108000</v>
      </c>
      <c r="J28" s="89">
        <f>+J29+J33+J34+J35</f>
        <v>0</v>
      </c>
      <c r="K28" s="89">
        <f>+K29+K33+K34+K35</f>
        <v>0</v>
      </c>
    </row>
    <row r="29" spans="1:11" s="252" customFormat="1" ht="12" customHeight="1" x14ac:dyDescent="0.2">
      <c r="A29" s="7" t="s">
        <v>83</v>
      </c>
      <c r="B29" s="48" t="s">
        <v>417</v>
      </c>
      <c r="C29" s="257">
        <f>SUM(C30:C32)</f>
        <v>320366432</v>
      </c>
      <c r="D29" s="254">
        <f>SUM(D30:D31)</f>
        <v>327830000</v>
      </c>
      <c r="E29" s="254">
        <f>SUM(E30:E32)</f>
        <v>292830000</v>
      </c>
      <c r="F29" s="278"/>
      <c r="G29" s="278"/>
      <c r="H29" s="76">
        <f t="shared" si="0"/>
        <v>361554000</v>
      </c>
      <c r="I29" s="90">
        <f>SUM(I30:I32)</f>
        <v>361554000</v>
      </c>
      <c r="J29" s="91"/>
      <c r="K29" s="91"/>
    </row>
    <row r="30" spans="1:11" s="252" customFormat="1" ht="12" customHeight="1" x14ac:dyDescent="0.2">
      <c r="A30" s="6" t="s">
        <v>84</v>
      </c>
      <c r="B30" s="49" t="s">
        <v>418</v>
      </c>
      <c r="C30" s="257">
        <v>78837793</v>
      </c>
      <c r="D30" s="270">
        <f>SUM(E30:G30)</f>
        <v>78990000</v>
      </c>
      <c r="E30" s="265">
        <f>8990000+70000000</f>
        <v>78990000</v>
      </c>
      <c r="F30" s="266"/>
      <c r="G30" s="266"/>
      <c r="H30" s="78">
        <f t="shared" si="0"/>
        <v>76900000</v>
      </c>
      <c r="I30" s="92">
        <f>7500000+70000000+5000000-5600000</f>
        <v>76900000</v>
      </c>
      <c r="J30" s="73"/>
      <c r="K30" s="73"/>
    </row>
    <row r="31" spans="1:11" s="252" customFormat="1" ht="12" customHeight="1" x14ac:dyDescent="0.2">
      <c r="A31" s="6" t="s">
        <v>85</v>
      </c>
      <c r="B31" s="49" t="s">
        <v>346</v>
      </c>
      <c r="C31" s="257">
        <v>241343096</v>
      </c>
      <c r="D31" s="258">
        <f>SUM(E31:G31)+35000000</f>
        <v>248840000</v>
      </c>
      <c r="E31" s="265">
        <f>203840000+10000000</f>
        <v>213840000</v>
      </c>
      <c r="F31" s="266"/>
      <c r="G31" s="266"/>
      <c r="H31" s="78">
        <f t="shared" si="0"/>
        <v>284654000</v>
      </c>
      <c r="I31" s="92">
        <f>231154000+52000000+50000000-48500000</f>
        <v>284654000</v>
      </c>
      <c r="J31" s="73"/>
      <c r="K31" s="73"/>
    </row>
    <row r="32" spans="1:11" s="252" customFormat="1" ht="12" customHeight="1" x14ac:dyDescent="0.2">
      <c r="A32" s="6" t="s">
        <v>86</v>
      </c>
      <c r="B32" s="49" t="s">
        <v>419</v>
      </c>
      <c r="C32" s="257">
        <v>185543</v>
      </c>
      <c r="D32" s="270">
        <f>SUM(E32:G32)</f>
        <v>0</v>
      </c>
      <c r="E32" s="259"/>
      <c r="F32" s="260"/>
      <c r="G32" s="260"/>
      <c r="H32" s="78">
        <f t="shared" si="0"/>
        <v>0</v>
      </c>
      <c r="I32" s="86"/>
      <c r="J32" s="69"/>
      <c r="K32" s="69"/>
    </row>
    <row r="33" spans="1:11" s="252" customFormat="1" ht="12" customHeight="1" x14ac:dyDescent="0.2">
      <c r="A33" s="6" t="s">
        <v>141</v>
      </c>
      <c r="B33" s="49" t="s">
        <v>88</v>
      </c>
      <c r="C33" s="257">
        <v>27707080</v>
      </c>
      <c r="D33" s="270">
        <f>SUM(E33:G33)</f>
        <v>27000000</v>
      </c>
      <c r="E33" s="265">
        <f>27000000</f>
        <v>27000000</v>
      </c>
      <c r="F33" s="266"/>
      <c r="G33" s="266"/>
      <c r="H33" s="78">
        <f t="shared" si="0"/>
        <v>30050000</v>
      </c>
      <c r="I33" s="92">
        <f>28000000+3000000-950000</f>
        <v>30050000</v>
      </c>
      <c r="J33" s="73"/>
      <c r="K33" s="73"/>
    </row>
    <row r="34" spans="1:11" s="252" customFormat="1" ht="12" customHeight="1" x14ac:dyDescent="0.2">
      <c r="A34" s="6" t="s">
        <v>143</v>
      </c>
      <c r="B34" s="49" t="s">
        <v>89</v>
      </c>
      <c r="C34" s="257">
        <v>3865671</v>
      </c>
      <c r="D34" s="270">
        <f>SUM(E34:G34)-4000000</f>
        <v>60000</v>
      </c>
      <c r="E34" s="265">
        <v>4060000</v>
      </c>
      <c r="F34" s="266"/>
      <c r="G34" s="266"/>
      <c r="H34" s="78">
        <f t="shared" si="0"/>
        <v>4000</v>
      </c>
      <c r="I34" s="22">
        <f>4000+4500000-4500000</f>
        <v>4000</v>
      </c>
      <c r="J34" s="73"/>
      <c r="K34" s="73"/>
    </row>
    <row r="35" spans="1:11" s="252" customFormat="1" ht="12" customHeight="1" thickBot="1" x14ac:dyDescent="0.25">
      <c r="A35" s="8" t="s">
        <v>144</v>
      </c>
      <c r="B35" s="50" t="s">
        <v>90</v>
      </c>
      <c r="C35" s="263">
        <v>5006079</v>
      </c>
      <c r="D35" s="275">
        <f>SUM(E35:G35)+4000000+2100000</f>
        <v>11600000</v>
      </c>
      <c r="E35" s="271">
        <v>5500000</v>
      </c>
      <c r="F35" s="272"/>
      <c r="G35" s="272"/>
      <c r="H35" s="72">
        <f t="shared" si="0"/>
        <v>10500000</v>
      </c>
      <c r="I35" s="81">
        <f>1500000+2000000+1000000+7000000+4500000-5500000</f>
        <v>10500000</v>
      </c>
      <c r="J35" s="82"/>
      <c r="K35" s="82"/>
    </row>
    <row r="36" spans="1:11" s="252" customFormat="1" ht="12" customHeight="1" thickBot="1" x14ac:dyDescent="0.25">
      <c r="A36" s="9" t="s">
        <v>10</v>
      </c>
      <c r="B36" s="52" t="s">
        <v>183</v>
      </c>
      <c r="C36" s="267">
        <f>SUM(C37:C47)</f>
        <v>438590106</v>
      </c>
      <c r="D36" s="251">
        <f>SUM(D37:D47)</f>
        <v>464679145</v>
      </c>
      <c r="E36" s="251">
        <f>SUM(E37:E47)</f>
        <v>54395907</v>
      </c>
      <c r="F36" s="250">
        <f>SUM(F37:F47)</f>
        <v>9416500</v>
      </c>
      <c r="G36" s="250">
        <f>SUM(G37:G47)</f>
        <v>385266178</v>
      </c>
      <c r="H36" s="62">
        <f t="shared" si="0"/>
        <v>405741309</v>
      </c>
      <c r="I36" s="43">
        <f>SUM(I37:I47)</f>
        <v>11689861</v>
      </c>
      <c r="J36" s="62">
        <f>SUM(J37:J47)</f>
        <v>8419440</v>
      </c>
      <c r="K36" s="62">
        <f>SUM(K37:K47)</f>
        <v>385632008</v>
      </c>
    </row>
    <row r="37" spans="1:11" s="252" customFormat="1" ht="12" customHeight="1" x14ac:dyDescent="0.2">
      <c r="A37" s="7" t="s">
        <v>45</v>
      </c>
      <c r="B37" s="48" t="s">
        <v>91</v>
      </c>
      <c r="C37" s="257">
        <v>13801743</v>
      </c>
      <c r="D37" s="279">
        <f>SUM(E37:G37)+5500000+275371-130000+3954000</f>
        <v>19744849</v>
      </c>
      <c r="E37" s="255">
        <f>3937000+4000000+5000000-2941522</f>
        <v>9995478</v>
      </c>
      <c r="F37" s="256"/>
      <c r="G37" s="256">
        <v>150000</v>
      </c>
      <c r="H37" s="76">
        <f t="shared" si="0"/>
        <v>13289065</v>
      </c>
      <c r="I37" s="83">
        <f>12159000+1040220+69845</f>
        <v>13269065</v>
      </c>
      <c r="J37" s="65"/>
      <c r="K37" s="65">
        <v>20000</v>
      </c>
    </row>
    <row r="38" spans="1:11" s="252" customFormat="1" ht="12" customHeight="1" x14ac:dyDescent="0.2">
      <c r="A38" s="6" t="s">
        <v>46</v>
      </c>
      <c r="B38" s="49" t="s">
        <v>92</v>
      </c>
      <c r="C38" s="257">
        <v>92246962</v>
      </c>
      <c r="D38" s="258">
        <f>SUM(E38:G38)+1813568-195228+4055000-5885856+1800934</f>
        <v>96708620</v>
      </c>
      <c r="E38" s="259">
        <f>100000+12004000+160000+7128864</f>
        <v>19392864</v>
      </c>
      <c r="F38" s="260">
        <v>7533500</v>
      </c>
      <c r="G38" s="256">
        <v>68193838</v>
      </c>
      <c r="H38" s="78">
        <f t="shared" si="0"/>
        <v>77743172</v>
      </c>
      <c r="I38" s="86">
        <f>13910169+100000+62992+7239600-5100400+167992+700000</f>
        <v>17080353</v>
      </c>
      <c r="J38" s="69">
        <f>500000+1198440+380000+4150000</f>
        <v>6228440</v>
      </c>
      <c r="K38" s="65">
        <f>52063316+2371063</f>
        <v>54434379</v>
      </c>
    </row>
    <row r="39" spans="1:11" s="252" customFormat="1" ht="12" customHeight="1" x14ac:dyDescent="0.2">
      <c r="A39" s="6" t="s">
        <v>47</v>
      </c>
      <c r="B39" s="49" t="s">
        <v>93</v>
      </c>
      <c r="C39" s="257">
        <v>87133464</v>
      </c>
      <c r="D39" s="258">
        <f>SUM(E39:G39)+1061599-195228+364027-3376000-189000-42520+2246520</f>
        <v>95492738</v>
      </c>
      <c r="E39" s="259">
        <f>8458000+947000</f>
        <v>9405000</v>
      </c>
      <c r="F39" s="260">
        <v>500000</v>
      </c>
      <c r="G39" s="256">
        <v>85718340</v>
      </c>
      <c r="H39" s="78">
        <f t="shared" ref="H39:H89" si="1">SUM(I39:K39)</f>
        <v>75324504</v>
      </c>
      <c r="I39" s="86">
        <f>500000+300000+50000+1400000+947000+300000+52200-24180760+400000+723064-4687000</f>
        <v>-24195496</v>
      </c>
      <c r="J39" s="69">
        <v>300000</v>
      </c>
      <c r="K39" s="65">
        <v>99220000</v>
      </c>
    </row>
    <row r="40" spans="1:11" s="252" customFormat="1" ht="12" customHeight="1" x14ac:dyDescent="0.2">
      <c r="A40" s="6" t="s">
        <v>184</v>
      </c>
      <c r="B40" s="49" t="s">
        <v>94</v>
      </c>
      <c r="C40" s="257">
        <v>7452660</v>
      </c>
      <c r="D40" s="258">
        <f>SUM(E40:G40)</f>
        <v>430000</v>
      </c>
      <c r="E40" s="259">
        <f>430000</f>
        <v>430000</v>
      </c>
      <c r="F40" s="260"/>
      <c r="G40" s="256"/>
      <c r="H40" s="78">
        <f t="shared" si="1"/>
        <v>430000</v>
      </c>
      <c r="I40" s="86">
        <v>430000</v>
      </c>
      <c r="J40" s="69"/>
      <c r="K40" s="65"/>
    </row>
    <row r="41" spans="1:11" s="252" customFormat="1" ht="12" customHeight="1" x14ac:dyDescent="0.2">
      <c r="A41" s="6" t="s">
        <v>185</v>
      </c>
      <c r="B41" s="49" t="s">
        <v>95</v>
      </c>
      <c r="C41" s="257">
        <v>175650577</v>
      </c>
      <c r="D41" s="258">
        <f>SUM(E41:G41)-1800934</f>
        <v>176438468</v>
      </c>
      <c r="E41" s="259"/>
      <c r="F41" s="260"/>
      <c r="G41" s="256">
        <f>182811402-4572000</f>
        <v>178239402</v>
      </c>
      <c r="H41" s="78">
        <f t="shared" si="1"/>
        <v>172385653</v>
      </c>
      <c r="I41" s="86">
        <f>-4000000-2700000</f>
        <v>-6700000</v>
      </c>
      <c r="J41" s="69"/>
      <c r="K41" s="65">
        <v>179085653</v>
      </c>
    </row>
    <row r="42" spans="1:11" s="252" customFormat="1" ht="12" customHeight="1" x14ac:dyDescent="0.2">
      <c r="A42" s="6" t="s">
        <v>186</v>
      </c>
      <c r="B42" s="49" t="s">
        <v>187</v>
      </c>
      <c r="C42" s="257">
        <v>40626143</v>
      </c>
      <c r="D42" s="258">
        <f>SUM(E42:G42)+270000+1485000+976640+195228+195228+246410+2609072+189000+42520-2463811</f>
        <v>50887450</v>
      </c>
      <c r="E42" s="259">
        <f>1063000+3242000+5853000+44000+378000+600000+1350000+1408565</f>
        <v>13938565</v>
      </c>
      <c r="F42" s="260">
        <v>1283000</v>
      </c>
      <c r="G42" s="256">
        <v>31920598</v>
      </c>
      <c r="H42" s="78">
        <f t="shared" si="1"/>
        <v>37704455</v>
      </c>
      <c r="I42" s="86">
        <f>3283000+5162000+81000+13500+378000+81000+14094+17008+2636692-6509906+17008+18855+108000+195228-4243000</f>
        <v>1252479</v>
      </c>
      <c r="J42" s="69">
        <f>135000+324000+103000+1229000</f>
        <v>1791000</v>
      </c>
      <c r="K42" s="65">
        <f>34020789+640187</f>
        <v>34660976</v>
      </c>
    </row>
    <row r="43" spans="1:11" s="252" customFormat="1" ht="12" customHeight="1" x14ac:dyDescent="0.2">
      <c r="A43" s="6" t="s">
        <v>188</v>
      </c>
      <c r="B43" s="49" t="s">
        <v>189</v>
      </c>
      <c r="C43" s="257">
        <v>19170000</v>
      </c>
      <c r="D43" s="258">
        <f>SUM(E43:G43)-1286000+1924793</f>
        <v>21672793</v>
      </c>
      <c r="E43" s="259"/>
      <c r="F43" s="260"/>
      <c r="G43" s="256">
        <v>21034000</v>
      </c>
      <c r="H43" s="78">
        <f t="shared" si="1"/>
        <v>18210000</v>
      </c>
      <c r="I43" s="86"/>
      <c r="J43" s="69"/>
      <c r="K43" s="65">
        <v>18210000</v>
      </c>
    </row>
    <row r="44" spans="1:11" s="252" customFormat="1" ht="12" customHeight="1" x14ac:dyDescent="0.2">
      <c r="A44" s="6" t="s">
        <v>190</v>
      </c>
      <c r="B44" s="49" t="s">
        <v>420</v>
      </c>
      <c r="C44" s="257">
        <v>132091</v>
      </c>
      <c r="D44" s="258">
        <f>SUM(E44:G44)</f>
        <v>40000</v>
      </c>
      <c r="E44" s="259">
        <v>30000</v>
      </c>
      <c r="F44" s="260"/>
      <c r="G44" s="256">
        <v>10000</v>
      </c>
      <c r="H44" s="78">
        <f t="shared" si="1"/>
        <v>31000</v>
      </c>
      <c r="I44" s="86">
        <v>30000</v>
      </c>
      <c r="J44" s="69"/>
      <c r="K44" s="65">
        <v>1000</v>
      </c>
    </row>
    <row r="45" spans="1:11" s="252" customFormat="1" ht="12" customHeight="1" x14ac:dyDescent="0.2">
      <c r="A45" s="6" t="s">
        <v>192</v>
      </c>
      <c r="B45" s="49" t="s">
        <v>97</v>
      </c>
      <c r="C45" s="257"/>
      <c r="D45" s="258">
        <f>SUM(E45:G45)</f>
        <v>0</v>
      </c>
      <c r="E45" s="259"/>
      <c r="F45" s="260"/>
      <c r="G45" s="256"/>
      <c r="H45" s="78">
        <f t="shared" si="1"/>
        <v>0</v>
      </c>
      <c r="I45" s="86"/>
      <c r="J45" s="69"/>
      <c r="K45" s="65"/>
    </row>
    <row r="46" spans="1:11" s="252" customFormat="1" ht="12" customHeight="1" x14ac:dyDescent="0.2">
      <c r="A46" s="8" t="s">
        <v>193</v>
      </c>
      <c r="B46" s="50" t="s">
        <v>126</v>
      </c>
      <c r="C46" s="257">
        <v>812271</v>
      </c>
      <c r="D46" s="270">
        <f>SUM(E46:G46)</f>
        <v>500000</v>
      </c>
      <c r="E46" s="271">
        <f>500000</f>
        <v>500000</v>
      </c>
      <c r="F46" s="272"/>
      <c r="G46" s="256"/>
      <c r="H46" s="78">
        <f t="shared" si="1"/>
        <v>200000</v>
      </c>
      <c r="I46" s="81">
        <f>500000-300000</f>
        <v>200000</v>
      </c>
      <c r="J46" s="82"/>
      <c r="K46" s="65"/>
    </row>
    <row r="47" spans="1:11" s="252" customFormat="1" ht="12" customHeight="1" thickBot="1" x14ac:dyDescent="0.25">
      <c r="A47" s="8" t="s">
        <v>194</v>
      </c>
      <c r="B47" s="262" t="s">
        <v>98</v>
      </c>
      <c r="C47" s="263">
        <v>1564195</v>
      </c>
      <c r="D47" s="264">
        <f>SUM(E47:G47)+200318+416514+1343395</f>
        <v>2764227</v>
      </c>
      <c r="E47" s="271">
        <f>704000</f>
        <v>704000</v>
      </c>
      <c r="F47" s="272">
        <v>100000</v>
      </c>
      <c r="G47" s="256"/>
      <c r="H47" s="72">
        <f t="shared" si="1"/>
        <v>10423460</v>
      </c>
      <c r="I47" s="81">
        <f>60000+600000+501164+3172393+4675796+1133235+180000+872</f>
        <v>10323460</v>
      </c>
      <c r="J47" s="82">
        <v>100000</v>
      </c>
      <c r="K47" s="65"/>
    </row>
    <row r="48" spans="1:11" s="252" customFormat="1" ht="12" customHeight="1" thickBot="1" x14ac:dyDescent="0.25">
      <c r="A48" s="9" t="s">
        <v>11</v>
      </c>
      <c r="B48" s="52" t="s">
        <v>195</v>
      </c>
      <c r="C48" s="267">
        <f>SUM(C49:C53)</f>
        <v>1786175</v>
      </c>
      <c r="D48" s="251">
        <f>SUM(D49:D53)</f>
        <v>47429000</v>
      </c>
      <c r="E48" s="251">
        <f>SUM(E49:E53)</f>
        <v>25179000</v>
      </c>
      <c r="F48" s="250">
        <f>SUM(F49:F53)</f>
        <v>0</v>
      </c>
      <c r="G48" s="250">
        <f>SUM(G49:G53)</f>
        <v>0</v>
      </c>
      <c r="H48" s="62">
        <f t="shared" si="1"/>
        <v>30332500</v>
      </c>
      <c r="I48" s="43">
        <f>SUM(I49:I53)</f>
        <v>30332500</v>
      </c>
      <c r="J48" s="62">
        <f>SUM(J49:J53)</f>
        <v>0</v>
      </c>
      <c r="K48" s="62">
        <f>SUM(K49:K53)</f>
        <v>0</v>
      </c>
    </row>
    <row r="49" spans="1:11" s="252" customFormat="1" ht="12" customHeight="1" x14ac:dyDescent="0.2">
      <c r="A49" s="7" t="s">
        <v>196</v>
      </c>
      <c r="B49" s="48" t="s">
        <v>99</v>
      </c>
      <c r="C49" s="257"/>
      <c r="D49" s="254">
        <f>SUM(E49:G49)</f>
        <v>0</v>
      </c>
      <c r="E49" s="255"/>
      <c r="F49" s="256"/>
      <c r="G49" s="256"/>
      <c r="H49" s="93">
        <f t="shared" si="1"/>
        <v>0</v>
      </c>
      <c r="I49" s="83"/>
      <c r="J49" s="65"/>
      <c r="K49" s="65"/>
    </row>
    <row r="50" spans="1:11" s="252" customFormat="1" ht="12" customHeight="1" x14ac:dyDescent="0.2">
      <c r="A50" s="6" t="s">
        <v>197</v>
      </c>
      <c r="B50" s="49" t="s">
        <v>100</v>
      </c>
      <c r="C50" s="257">
        <v>778000</v>
      </c>
      <c r="D50" s="270">
        <f>SUM(E50:G50)+22000000</f>
        <v>47179000</v>
      </c>
      <c r="E50" s="259">
        <f>25179000</f>
        <v>25179000</v>
      </c>
      <c r="F50" s="260"/>
      <c r="G50" s="260"/>
      <c r="H50" s="78">
        <f t="shared" si="1"/>
        <v>30332500</v>
      </c>
      <c r="I50" s="86">
        <v>30332500</v>
      </c>
      <c r="J50" s="69"/>
      <c r="K50" s="69"/>
    </row>
    <row r="51" spans="1:11" s="252" customFormat="1" ht="12" customHeight="1" x14ac:dyDescent="0.2">
      <c r="A51" s="6" t="s">
        <v>198</v>
      </c>
      <c r="B51" s="49" t="s">
        <v>101</v>
      </c>
      <c r="C51" s="257">
        <v>1008175</v>
      </c>
      <c r="D51" s="270">
        <v>250000</v>
      </c>
      <c r="E51" s="259"/>
      <c r="F51" s="260"/>
      <c r="G51" s="260"/>
      <c r="H51" s="78">
        <f t="shared" si="1"/>
        <v>0</v>
      </c>
      <c r="I51" s="86"/>
      <c r="J51" s="69"/>
      <c r="K51" s="69"/>
    </row>
    <row r="52" spans="1:11" s="252" customFormat="1" ht="12" customHeight="1" x14ac:dyDescent="0.2">
      <c r="A52" s="6" t="s">
        <v>199</v>
      </c>
      <c r="B52" s="49" t="s">
        <v>200</v>
      </c>
      <c r="C52" s="257"/>
      <c r="D52" s="270">
        <f>SUM(E52:G52)</f>
        <v>0</v>
      </c>
      <c r="E52" s="259"/>
      <c r="F52" s="260"/>
      <c r="G52" s="260"/>
      <c r="H52" s="78">
        <f t="shared" si="1"/>
        <v>0</v>
      </c>
      <c r="I52" s="86"/>
      <c r="J52" s="69"/>
      <c r="K52" s="69"/>
    </row>
    <row r="53" spans="1:11" s="252" customFormat="1" ht="12" customHeight="1" thickBot="1" x14ac:dyDescent="0.25">
      <c r="A53" s="8" t="s">
        <v>201</v>
      </c>
      <c r="B53" s="262" t="s">
        <v>202</v>
      </c>
      <c r="C53" s="263"/>
      <c r="D53" s="275">
        <f>SUM(E53:G53)</f>
        <v>0</v>
      </c>
      <c r="E53" s="271"/>
      <c r="F53" s="272"/>
      <c r="G53" s="272"/>
      <c r="H53" s="94">
        <f t="shared" si="1"/>
        <v>0</v>
      </c>
      <c r="I53" s="81"/>
      <c r="J53" s="82"/>
      <c r="K53" s="82"/>
    </row>
    <row r="54" spans="1:11" s="252" customFormat="1" ht="12" customHeight="1" thickBot="1" x14ac:dyDescent="0.25">
      <c r="A54" s="9" t="s">
        <v>68</v>
      </c>
      <c r="B54" s="52" t="s">
        <v>203</v>
      </c>
      <c r="C54" s="267">
        <f>SUM(C55:C57)</f>
        <v>11113183</v>
      </c>
      <c r="D54" s="251">
        <f>SUM(D55:D57)</f>
        <v>24244433</v>
      </c>
      <c r="E54" s="251">
        <f>SUM(E55:E57)</f>
        <v>6164433</v>
      </c>
      <c r="F54" s="250">
        <f>SUM(F55:F57)</f>
        <v>0</v>
      </c>
      <c r="G54" s="250">
        <f>SUM(G55:G57)</f>
        <v>0</v>
      </c>
      <c r="H54" s="95">
        <f t="shared" si="1"/>
        <v>4224000</v>
      </c>
      <c r="I54" s="43">
        <f>SUM(I55:I57)</f>
        <v>4224000</v>
      </c>
      <c r="J54" s="62">
        <f>SUM(J55:J57)</f>
        <v>0</v>
      </c>
      <c r="K54" s="62">
        <f>SUM(K55:K57)</f>
        <v>0</v>
      </c>
    </row>
    <row r="55" spans="1:11" s="252" customFormat="1" ht="12" customHeight="1" x14ac:dyDescent="0.2">
      <c r="A55" s="7" t="s">
        <v>204</v>
      </c>
      <c r="B55" s="48" t="s">
        <v>205</v>
      </c>
      <c r="C55" s="257"/>
      <c r="D55" s="279">
        <f>SUM(E55:G55)</f>
        <v>0</v>
      </c>
      <c r="E55" s="268"/>
      <c r="F55" s="269"/>
      <c r="G55" s="269"/>
      <c r="H55" s="96">
        <f t="shared" si="1"/>
        <v>0</v>
      </c>
      <c r="I55" s="44"/>
      <c r="J55" s="77"/>
      <c r="K55" s="77"/>
    </row>
    <row r="56" spans="1:11" s="252" customFormat="1" ht="12" customHeight="1" x14ac:dyDescent="0.2">
      <c r="A56" s="6" t="s">
        <v>206</v>
      </c>
      <c r="B56" s="49" t="s">
        <v>207</v>
      </c>
      <c r="C56" s="257">
        <v>1170155</v>
      </c>
      <c r="D56" s="258">
        <f>SUM(E56:G56)+18000000</f>
        <v>19949000</v>
      </c>
      <c r="E56" s="259">
        <f>383000+1566000</f>
        <v>1949000</v>
      </c>
      <c r="F56" s="260"/>
      <c r="G56" s="260"/>
      <c r="H56" s="78">
        <f t="shared" si="1"/>
        <v>1866000</v>
      </c>
      <c r="I56" s="86">
        <f>1566000+300000</f>
        <v>1866000</v>
      </c>
      <c r="J56" s="69"/>
      <c r="K56" s="69"/>
    </row>
    <row r="57" spans="1:11" s="252" customFormat="1" ht="12" customHeight="1" x14ac:dyDescent="0.2">
      <c r="A57" s="6" t="s">
        <v>208</v>
      </c>
      <c r="B57" s="49" t="s">
        <v>209</v>
      </c>
      <c r="C57" s="257">
        <v>9943028</v>
      </c>
      <c r="D57" s="258">
        <f>SUM(E57:G57)+80000</f>
        <v>4295433</v>
      </c>
      <c r="E57" s="259">
        <f>4075000+140433</f>
        <v>4215433</v>
      </c>
      <c r="F57" s="260"/>
      <c r="G57" s="260"/>
      <c r="H57" s="78">
        <f t="shared" si="1"/>
        <v>2358000</v>
      </c>
      <c r="I57" s="92">
        <f>2900000+20000+30000+408000-1000000</f>
        <v>2358000</v>
      </c>
      <c r="J57" s="69"/>
      <c r="K57" s="69"/>
    </row>
    <row r="58" spans="1:11" s="252" customFormat="1" ht="12" customHeight="1" thickBot="1" x14ac:dyDescent="0.25">
      <c r="A58" s="8" t="s">
        <v>210</v>
      </c>
      <c r="B58" s="262" t="s">
        <v>211</v>
      </c>
      <c r="C58" s="263"/>
      <c r="D58" s="275">
        <f>SUM(E58:G58)</f>
        <v>0</v>
      </c>
      <c r="E58" s="280"/>
      <c r="F58" s="281"/>
      <c r="G58" s="281"/>
      <c r="H58" s="72">
        <f t="shared" si="1"/>
        <v>0</v>
      </c>
      <c r="I58" s="97"/>
      <c r="J58" s="98"/>
      <c r="K58" s="98"/>
    </row>
    <row r="59" spans="1:11" s="252" customFormat="1" ht="12" customHeight="1" thickBot="1" x14ac:dyDescent="0.25">
      <c r="A59" s="9" t="s">
        <v>13</v>
      </c>
      <c r="B59" s="53" t="s">
        <v>212</v>
      </c>
      <c r="C59" s="267">
        <f>SUM(C60:C62)</f>
        <v>3841537</v>
      </c>
      <c r="D59" s="251">
        <f>SUM(D60:D62)</f>
        <v>1400000</v>
      </c>
      <c r="E59" s="251">
        <f>SUM(E60:E62)</f>
        <v>0</v>
      </c>
      <c r="F59" s="250">
        <f>SUM(F60:F62)</f>
        <v>0</v>
      </c>
      <c r="G59" s="250">
        <f>SUM(G60:G62)</f>
        <v>0</v>
      </c>
      <c r="H59" s="62">
        <f t="shared" si="1"/>
        <v>0</v>
      </c>
      <c r="I59" s="43">
        <f>SUM(I60:I62)</f>
        <v>0</v>
      </c>
      <c r="J59" s="62">
        <f>SUM(J60:J62)</f>
        <v>0</v>
      </c>
      <c r="K59" s="62">
        <f>SUM(K60:K62)</f>
        <v>0</v>
      </c>
    </row>
    <row r="60" spans="1:11" s="252" customFormat="1" ht="12" customHeight="1" x14ac:dyDescent="0.2">
      <c r="A60" s="7" t="s">
        <v>213</v>
      </c>
      <c r="B60" s="48" t="s">
        <v>214</v>
      </c>
      <c r="C60" s="257"/>
      <c r="D60" s="279">
        <f>SUM(E60:G60)</f>
        <v>0</v>
      </c>
      <c r="E60" s="259"/>
      <c r="F60" s="260"/>
      <c r="G60" s="260"/>
      <c r="H60" s="93">
        <f t="shared" si="1"/>
        <v>0</v>
      </c>
      <c r="I60" s="86"/>
      <c r="J60" s="69"/>
      <c r="K60" s="69"/>
    </row>
    <row r="61" spans="1:11" s="252" customFormat="1" ht="12" customHeight="1" x14ac:dyDescent="0.2">
      <c r="A61" s="6" t="s">
        <v>215</v>
      </c>
      <c r="B61" s="49" t="s">
        <v>216</v>
      </c>
      <c r="C61" s="257">
        <v>13837</v>
      </c>
      <c r="D61" s="258">
        <f>SUM(E61:G61)</f>
        <v>0</v>
      </c>
      <c r="E61" s="259"/>
      <c r="F61" s="260"/>
      <c r="G61" s="260"/>
      <c r="H61" s="85">
        <f t="shared" si="1"/>
        <v>0</v>
      </c>
      <c r="I61" s="86"/>
      <c r="J61" s="69"/>
      <c r="K61" s="69"/>
    </row>
    <row r="62" spans="1:11" s="252" customFormat="1" ht="12" customHeight="1" x14ac:dyDescent="0.2">
      <c r="A62" s="6" t="s">
        <v>217</v>
      </c>
      <c r="B62" s="49" t="s">
        <v>218</v>
      </c>
      <c r="C62" s="257">
        <v>3827700</v>
      </c>
      <c r="D62" s="258">
        <f>1200000+200000</f>
        <v>1400000</v>
      </c>
      <c r="E62" s="259"/>
      <c r="F62" s="260"/>
      <c r="G62" s="260"/>
      <c r="H62" s="85">
        <f t="shared" si="1"/>
        <v>0</v>
      </c>
      <c r="I62" s="86"/>
      <c r="J62" s="69"/>
      <c r="K62" s="69"/>
    </row>
    <row r="63" spans="1:11" s="252" customFormat="1" ht="12" customHeight="1" thickBot="1" x14ac:dyDescent="0.25">
      <c r="A63" s="8" t="s">
        <v>219</v>
      </c>
      <c r="B63" s="262" t="s">
        <v>220</v>
      </c>
      <c r="C63" s="263"/>
      <c r="D63" s="264">
        <f>SUM(E63:G63)</f>
        <v>0</v>
      </c>
      <c r="E63" s="259"/>
      <c r="F63" s="260"/>
      <c r="G63" s="260"/>
      <c r="H63" s="94">
        <f t="shared" si="1"/>
        <v>0</v>
      </c>
      <c r="I63" s="86"/>
      <c r="J63" s="69"/>
      <c r="K63" s="69"/>
    </row>
    <row r="64" spans="1:11" s="252" customFormat="1" ht="12" customHeight="1" thickBot="1" x14ac:dyDescent="0.25">
      <c r="A64" s="99" t="s">
        <v>221</v>
      </c>
      <c r="B64" s="52" t="s">
        <v>102</v>
      </c>
      <c r="C64" s="251">
        <f>C59+C54+C48+C36+C28+C21+C14+C7</f>
        <v>2639272060</v>
      </c>
      <c r="D64" s="251">
        <f>D59+D54+D48+D36+D28+D21+D14+D7</f>
        <v>2929720479</v>
      </c>
      <c r="E64" s="276">
        <f>+E7+E14+E21+E28+E36+E48+E54+E59</f>
        <v>1391439714</v>
      </c>
      <c r="F64" s="277">
        <f>+F7+F14+F21+F28+F36+F48+F54+F59</f>
        <v>9416500</v>
      </c>
      <c r="G64" s="277">
        <f>+G7+G14+G21+G28+G36+G48+G54+G59</f>
        <v>390751178</v>
      </c>
      <c r="H64" s="62">
        <f t="shared" si="1"/>
        <v>2374646264</v>
      </c>
      <c r="I64" s="88">
        <f>+I7+I14+I21+I28+I36+I48+I54+I59</f>
        <v>1957965424</v>
      </c>
      <c r="J64" s="89">
        <f>+J7+J14+J21+J28+J36+J48+J54+J59</f>
        <v>11536297</v>
      </c>
      <c r="K64" s="89">
        <f>+K7+K14+K21+K28+K36+K48+K54+K59</f>
        <v>405144543</v>
      </c>
    </row>
    <row r="65" spans="1:11" s="252" customFormat="1" ht="12" customHeight="1" thickBot="1" x14ac:dyDescent="0.25">
      <c r="A65" s="100" t="s">
        <v>222</v>
      </c>
      <c r="B65" s="53" t="s">
        <v>421</v>
      </c>
      <c r="C65" s="282">
        <f>SUM(C66:C68)</f>
        <v>20303000</v>
      </c>
      <c r="D65" s="283">
        <f>SUM(D66:D68)</f>
        <v>187500000</v>
      </c>
      <c r="E65" s="251">
        <f>SUM(E66:E68)</f>
        <v>144100000</v>
      </c>
      <c r="F65" s="250">
        <f>SUM(F66:F68)</f>
        <v>0</v>
      </c>
      <c r="G65" s="250">
        <f>SUM(G66:G68)</f>
        <v>0</v>
      </c>
      <c r="H65" s="62">
        <f t="shared" si="1"/>
        <v>212343590</v>
      </c>
      <c r="I65" s="43">
        <f>SUM(I66:I68)</f>
        <v>212343590</v>
      </c>
      <c r="J65" s="62">
        <f>SUM(J66:J68)</f>
        <v>0</v>
      </c>
      <c r="K65" s="62">
        <f>SUM(K66:K68)</f>
        <v>0</v>
      </c>
    </row>
    <row r="66" spans="1:11" s="252" customFormat="1" ht="12" customHeight="1" x14ac:dyDescent="0.2">
      <c r="A66" s="7" t="s">
        <v>224</v>
      </c>
      <c r="B66" s="48" t="s">
        <v>225</v>
      </c>
      <c r="C66" s="257">
        <v>20303000</v>
      </c>
      <c r="D66" s="254">
        <f>SUM(E66:G66)+37900000+5500000</f>
        <v>87500000</v>
      </c>
      <c r="E66" s="259">
        <v>44100000</v>
      </c>
      <c r="F66" s="260"/>
      <c r="G66" s="260"/>
      <c r="H66" s="76">
        <f t="shared" si="1"/>
        <v>112343590</v>
      </c>
      <c r="I66" s="92">
        <f>93478462+24684268-5819140</f>
        <v>112343590</v>
      </c>
      <c r="J66" s="69"/>
      <c r="K66" s="69"/>
    </row>
    <row r="67" spans="1:11" s="252" customFormat="1" ht="12" customHeight="1" x14ac:dyDescent="0.2">
      <c r="A67" s="6" t="s">
        <v>226</v>
      </c>
      <c r="B67" s="49" t="s">
        <v>227</v>
      </c>
      <c r="C67" s="257"/>
      <c r="D67" s="270">
        <f>SUM(E67:G67)</f>
        <v>100000000</v>
      </c>
      <c r="E67" s="259">
        <v>100000000</v>
      </c>
      <c r="F67" s="260"/>
      <c r="G67" s="260"/>
      <c r="H67" s="78">
        <f t="shared" si="1"/>
        <v>100000000</v>
      </c>
      <c r="I67" s="86">
        <v>100000000</v>
      </c>
      <c r="J67" s="69"/>
      <c r="K67" s="69"/>
    </row>
    <row r="68" spans="1:11" s="252" customFormat="1" ht="12" customHeight="1" thickBot="1" x14ac:dyDescent="0.25">
      <c r="A68" s="8" t="s">
        <v>228</v>
      </c>
      <c r="B68" s="284" t="s">
        <v>229</v>
      </c>
      <c r="C68" s="263"/>
      <c r="D68" s="275">
        <f>SUM(E68:G68)</f>
        <v>0</v>
      </c>
      <c r="E68" s="259"/>
      <c r="F68" s="260"/>
      <c r="G68" s="260"/>
      <c r="H68" s="94">
        <f t="shared" si="1"/>
        <v>0</v>
      </c>
      <c r="I68" s="86"/>
      <c r="J68" s="69"/>
      <c r="K68" s="69"/>
    </row>
    <row r="69" spans="1:11" s="252" customFormat="1" ht="12" customHeight="1" thickBot="1" x14ac:dyDescent="0.25">
      <c r="A69" s="100" t="s">
        <v>230</v>
      </c>
      <c r="B69" s="53" t="s">
        <v>231</v>
      </c>
      <c r="C69" s="285">
        <f>SUM(C70:C73)</f>
        <v>0</v>
      </c>
      <c r="D69" s="285">
        <f>SUM(D70:D73)</f>
        <v>0</v>
      </c>
      <c r="E69" s="251">
        <f>SUM(E70:E73)</f>
        <v>0</v>
      </c>
      <c r="F69" s="250">
        <f>SUM(F70:F73)</f>
        <v>0</v>
      </c>
      <c r="G69" s="250">
        <f>SUM(G70:G73)</f>
        <v>0</v>
      </c>
      <c r="H69" s="62">
        <f t="shared" si="1"/>
        <v>0</v>
      </c>
      <c r="I69" s="43">
        <f>SUM(I70:I73)</f>
        <v>0</v>
      </c>
      <c r="J69" s="62">
        <f>SUM(J70:J73)</f>
        <v>0</v>
      </c>
      <c r="K69" s="62">
        <f>SUM(K70:K73)</f>
        <v>0</v>
      </c>
    </row>
    <row r="70" spans="1:11" s="252" customFormat="1" ht="12" customHeight="1" x14ac:dyDescent="0.2">
      <c r="A70" s="7" t="s">
        <v>232</v>
      </c>
      <c r="B70" s="48" t="s">
        <v>233</v>
      </c>
      <c r="C70" s="257"/>
      <c r="D70" s="254">
        <f>SUM(E70:G70)</f>
        <v>0</v>
      </c>
      <c r="E70" s="259"/>
      <c r="F70" s="260"/>
      <c r="G70" s="260"/>
      <c r="H70" s="93">
        <f t="shared" si="1"/>
        <v>0</v>
      </c>
      <c r="I70" s="86"/>
      <c r="J70" s="69"/>
      <c r="K70" s="69"/>
    </row>
    <row r="71" spans="1:11" s="252" customFormat="1" ht="17.25" customHeight="1" x14ac:dyDescent="0.2">
      <c r="A71" s="6" t="s">
        <v>234</v>
      </c>
      <c r="B71" s="49" t="s">
        <v>235</v>
      </c>
      <c r="C71" s="257"/>
      <c r="D71" s="270">
        <f>SUM(E71:G71)</f>
        <v>0</v>
      </c>
      <c r="E71" s="259"/>
      <c r="F71" s="260"/>
      <c r="G71" s="260"/>
      <c r="H71" s="85">
        <f t="shared" si="1"/>
        <v>0</v>
      </c>
      <c r="I71" s="86"/>
      <c r="J71" s="69"/>
      <c r="K71" s="69"/>
    </row>
    <row r="72" spans="1:11" s="252" customFormat="1" ht="12" customHeight="1" x14ac:dyDescent="0.2">
      <c r="A72" s="6" t="s">
        <v>236</v>
      </c>
      <c r="B72" s="49" t="s">
        <v>237</v>
      </c>
      <c r="C72" s="257"/>
      <c r="D72" s="270">
        <f>SUM(E72:G72)</f>
        <v>0</v>
      </c>
      <c r="E72" s="259"/>
      <c r="F72" s="260"/>
      <c r="G72" s="260"/>
      <c r="H72" s="85">
        <f t="shared" si="1"/>
        <v>0</v>
      </c>
      <c r="I72" s="86"/>
      <c r="J72" s="69"/>
      <c r="K72" s="69"/>
    </row>
    <row r="73" spans="1:11" s="252" customFormat="1" ht="12" customHeight="1" thickBot="1" x14ac:dyDescent="0.25">
      <c r="A73" s="8" t="s">
        <v>238</v>
      </c>
      <c r="B73" s="262" t="s">
        <v>239</v>
      </c>
      <c r="C73" s="263"/>
      <c r="D73" s="275">
        <f>SUM(E73:G73)</f>
        <v>0</v>
      </c>
      <c r="E73" s="259"/>
      <c r="F73" s="260"/>
      <c r="G73" s="260"/>
      <c r="H73" s="94">
        <f t="shared" si="1"/>
        <v>0</v>
      </c>
      <c r="I73" s="86"/>
      <c r="J73" s="69"/>
      <c r="K73" s="69"/>
    </row>
    <row r="74" spans="1:11" s="252" customFormat="1" ht="12" customHeight="1" thickBot="1" x14ac:dyDescent="0.25">
      <c r="A74" s="100" t="s">
        <v>240</v>
      </c>
      <c r="B74" s="53" t="s">
        <v>241</v>
      </c>
      <c r="C74" s="251">
        <f>SUM(C75:C76)</f>
        <v>264950190</v>
      </c>
      <c r="D74" s="251">
        <f>SUM(D75:D76)</f>
        <v>292999415</v>
      </c>
      <c r="E74" s="251">
        <f>SUM(E75:E76)</f>
        <v>289331423</v>
      </c>
      <c r="F74" s="250">
        <f>SUM(F75:F76)</f>
        <v>447404</v>
      </c>
      <c r="G74" s="250">
        <f>SUM(G75:G76)</f>
        <v>3220588</v>
      </c>
      <c r="H74" s="62">
        <f t="shared" si="1"/>
        <v>620677200</v>
      </c>
      <c r="I74" s="43">
        <f>SUM(I75:I76)</f>
        <v>594503730</v>
      </c>
      <c r="J74" s="62">
        <f>SUM(J75:J76)</f>
        <v>3212174</v>
      </c>
      <c r="K74" s="62">
        <f>SUM(K75:K76)</f>
        <v>22961296</v>
      </c>
    </row>
    <row r="75" spans="1:11" s="252" customFormat="1" ht="12" customHeight="1" x14ac:dyDescent="0.2">
      <c r="A75" s="7" t="s">
        <v>242</v>
      </c>
      <c r="B75" s="48" t="s">
        <v>243</v>
      </c>
      <c r="C75" s="257">
        <v>264950190</v>
      </c>
      <c r="D75" s="254">
        <f>SUM(E75:G75)</f>
        <v>292999415</v>
      </c>
      <c r="E75" s="259">
        <v>289331423</v>
      </c>
      <c r="F75" s="260">
        <v>447404</v>
      </c>
      <c r="G75" s="260">
        <v>3220588</v>
      </c>
      <c r="H75" s="76">
        <f t="shared" si="1"/>
        <v>620677200</v>
      </c>
      <c r="I75" s="86">
        <f>569119704-28+25384054</f>
        <v>594503730</v>
      </c>
      <c r="J75" s="69">
        <f>3148853+63321</f>
        <v>3212174</v>
      </c>
      <c r="K75" s="69">
        <f>22961296</f>
        <v>22961296</v>
      </c>
    </row>
    <row r="76" spans="1:11" s="252" customFormat="1" ht="12" customHeight="1" thickBot="1" x14ac:dyDescent="0.25">
      <c r="A76" s="8" t="s">
        <v>244</v>
      </c>
      <c r="B76" s="262" t="s">
        <v>245</v>
      </c>
      <c r="C76" s="263"/>
      <c r="D76" s="275">
        <f>SUM(E76:G76)</f>
        <v>0</v>
      </c>
      <c r="E76" s="259"/>
      <c r="F76" s="260"/>
      <c r="G76" s="260"/>
      <c r="H76" s="94">
        <f t="shared" si="1"/>
        <v>0</v>
      </c>
      <c r="I76" s="86"/>
      <c r="J76" s="69"/>
      <c r="K76" s="69"/>
    </row>
    <row r="77" spans="1:11" s="252" customFormat="1" ht="12" customHeight="1" thickBot="1" x14ac:dyDescent="0.25">
      <c r="A77" s="100" t="s">
        <v>246</v>
      </c>
      <c r="B77" s="53" t="s">
        <v>247</v>
      </c>
      <c r="C77" s="286">
        <f>SUM(C78:C80)</f>
        <v>35164932</v>
      </c>
      <c r="D77" s="285">
        <f>SUM(D78:D80)</f>
        <v>0</v>
      </c>
      <c r="E77" s="251">
        <f>SUM(E78:E80)</f>
        <v>0</v>
      </c>
      <c r="F77" s="250">
        <f>SUM(F78:F80)</f>
        <v>0</v>
      </c>
      <c r="G77" s="250">
        <f>SUM(G78:G80)</f>
        <v>0</v>
      </c>
      <c r="H77" s="62">
        <f t="shared" si="1"/>
        <v>41904332</v>
      </c>
      <c r="I77" s="43">
        <f>SUM(I78:I80)</f>
        <v>41904332</v>
      </c>
      <c r="J77" s="62">
        <f>SUM(J78:J80)</f>
        <v>0</v>
      </c>
      <c r="K77" s="62">
        <f>SUM(K78:K80)</f>
        <v>0</v>
      </c>
    </row>
    <row r="78" spans="1:11" s="252" customFormat="1" ht="12" customHeight="1" x14ac:dyDescent="0.2">
      <c r="A78" s="7" t="s">
        <v>248</v>
      </c>
      <c r="B78" s="48" t="s">
        <v>249</v>
      </c>
      <c r="C78" s="257">
        <v>35164932</v>
      </c>
      <c r="D78" s="254">
        <f>SUM(E78:G78)</f>
        <v>0</v>
      </c>
      <c r="E78" s="259"/>
      <c r="F78" s="260"/>
      <c r="G78" s="260"/>
      <c r="H78" s="76">
        <f t="shared" si="1"/>
        <v>41904332</v>
      </c>
      <c r="I78" s="86">
        <f>41904332</f>
        <v>41904332</v>
      </c>
      <c r="J78" s="69"/>
      <c r="K78" s="69"/>
    </row>
    <row r="79" spans="1:11" s="252" customFormat="1" ht="12" customHeight="1" x14ac:dyDescent="0.2">
      <c r="A79" s="6" t="s">
        <v>250</v>
      </c>
      <c r="B79" s="49" t="s">
        <v>251</v>
      </c>
      <c r="C79" s="257"/>
      <c r="D79" s="270">
        <f>SUM(E79:G79)</f>
        <v>0</v>
      </c>
      <c r="E79" s="259"/>
      <c r="F79" s="260"/>
      <c r="G79" s="260"/>
      <c r="H79" s="85">
        <f t="shared" si="1"/>
        <v>0</v>
      </c>
      <c r="I79" s="86"/>
      <c r="J79" s="69"/>
      <c r="K79" s="69"/>
    </row>
    <row r="80" spans="1:11" s="252" customFormat="1" ht="12" customHeight="1" thickBot="1" x14ac:dyDescent="0.25">
      <c r="A80" s="8" t="s">
        <v>252</v>
      </c>
      <c r="B80" s="262" t="s">
        <v>253</v>
      </c>
      <c r="C80" s="263"/>
      <c r="D80" s="275">
        <f>SUM(E80:G80)</f>
        <v>0</v>
      </c>
      <c r="E80" s="259"/>
      <c r="F80" s="260"/>
      <c r="G80" s="260"/>
      <c r="H80" s="94">
        <f t="shared" si="1"/>
        <v>0</v>
      </c>
      <c r="I80" s="86"/>
      <c r="J80" s="69"/>
      <c r="K80" s="69"/>
    </row>
    <row r="81" spans="1:11" s="252" customFormat="1" ht="12" customHeight="1" thickBot="1" x14ac:dyDescent="0.25">
      <c r="A81" s="100" t="s">
        <v>254</v>
      </c>
      <c r="B81" s="53" t="s">
        <v>255</v>
      </c>
      <c r="C81" s="285">
        <f>SUM(C82:C85)</f>
        <v>0</v>
      </c>
      <c r="D81" s="285">
        <f>SUM(D82:D85)</f>
        <v>0</v>
      </c>
      <c r="E81" s="251">
        <f>SUM(E82:E85)</f>
        <v>0</v>
      </c>
      <c r="F81" s="250">
        <f>SUM(F82:F85)</f>
        <v>0</v>
      </c>
      <c r="G81" s="250">
        <f>SUM(G82:G85)</f>
        <v>0</v>
      </c>
      <c r="H81" s="62">
        <f t="shared" si="1"/>
        <v>0</v>
      </c>
      <c r="I81" s="43">
        <f>SUM(I82:I85)</f>
        <v>0</v>
      </c>
      <c r="J81" s="62">
        <f>SUM(J82:J85)</f>
        <v>0</v>
      </c>
      <c r="K81" s="62">
        <f>SUM(K82:K85)</f>
        <v>0</v>
      </c>
    </row>
    <row r="82" spans="1:11" s="252" customFormat="1" ht="12" customHeight="1" x14ac:dyDescent="0.2">
      <c r="A82" s="102" t="s">
        <v>256</v>
      </c>
      <c r="B82" s="48" t="s">
        <v>257</v>
      </c>
      <c r="C82" s="257"/>
      <c r="D82" s="254">
        <f t="shared" ref="D82:D87" si="2">SUM(E82:G82)</f>
        <v>0</v>
      </c>
      <c r="E82" s="259"/>
      <c r="F82" s="260"/>
      <c r="G82" s="260"/>
      <c r="H82" s="93">
        <f t="shared" si="1"/>
        <v>0</v>
      </c>
      <c r="I82" s="86"/>
      <c r="J82" s="69"/>
      <c r="K82" s="69"/>
    </row>
    <row r="83" spans="1:11" s="252" customFormat="1" ht="12" customHeight="1" x14ac:dyDescent="0.2">
      <c r="A83" s="103" t="s">
        <v>258</v>
      </c>
      <c r="B83" s="49" t="s">
        <v>259</v>
      </c>
      <c r="C83" s="257"/>
      <c r="D83" s="270">
        <f t="shared" si="2"/>
        <v>0</v>
      </c>
      <c r="E83" s="259"/>
      <c r="F83" s="260"/>
      <c r="G83" s="260"/>
      <c r="H83" s="85">
        <f t="shared" si="1"/>
        <v>0</v>
      </c>
      <c r="I83" s="86"/>
      <c r="J83" s="69"/>
      <c r="K83" s="69"/>
    </row>
    <row r="84" spans="1:11" s="252" customFormat="1" ht="12" customHeight="1" x14ac:dyDescent="0.2">
      <c r="A84" s="103" t="s">
        <v>260</v>
      </c>
      <c r="B84" s="49" t="s">
        <v>261</v>
      </c>
      <c r="C84" s="257"/>
      <c r="D84" s="270">
        <f t="shared" si="2"/>
        <v>0</v>
      </c>
      <c r="E84" s="259"/>
      <c r="F84" s="260"/>
      <c r="G84" s="260"/>
      <c r="H84" s="85">
        <f t="shared" si="1"/>
        <v>0</v>
      </c>
      <c r="I84" s="86"/>
      <c r="J84" s="69"/>
      <c r="K84" s="69"/>
    </row>
    <row r="85" spans="1:11" s="252" customFormat="1" ht="12" customHeight="1" thickBot="1" x14ac:dyDescent="0.25">
      <c r="A85" s="104" t="s">
        <v>262</v>
      </c>
      <c r="B85" s="262" t="s">
        <v>263</v>
      </c>
      <c r="C85" s="263"/>
      <c r="D85" s="275">
        <f t="shared" si="2"/>
        <v>0</v>
      </c>
      <c r="E85" s="259"/>
      <c r="F85" s="260"/>
      <c r="G85" s="260"/>
      <c r="H85" s="94">
        <f t="shared" si="1"/>
        <v>0</v>
      </c>
      <c r="I85" s="86"/>
      <c r="J85" s="69"/>
      <c r="K85" s="69"/>
    </row>
    <row r="86" spans="1:11" s="252" customFormat="1" ht="12" customHeight="1" thickBot="1" x14ac:dyDescent="0.25">
      <c r="A86" s="100" t="s">
        <v>264</v>
      </c>
      <c r="B86" s="53" t="s">
        <v>265</v>
      </c>
      <c r="C86" s="287"/>
      <c r="D86" s="288">
        <f t="shared" si="2"/>
        <v>0</v>
      </c>
      <c r="E86" s="289"/>
      <c r="F86" s="290"/>
      <c r="G86" s="290"/>
      <c r="H86" s="62">
        <f t="shared" si="1"/>
        <v>0</v>
      </c>
      <c r="I86" s="105"/>
      <c r="J86" s="40"/>
      <c r="K86" s="40"/>
    </row>
    <row r="87" spans="1:11" s="252" customFormat="1" ht="12" customHeight="1" thickBot="1" x14ac:dyDescent="0.25">
      <c r="A87" s="100" t="s">
        <v>266</v>
      </c>
      <c r="B87" s="53" t="s">
        <v>267</v>
      </c>
      <c r="C87" s="287"/>
      <c r="D87" s="251">
        <f t="shared" si="2"/>
        <v>0</v>
      </c>
      <c r="E87" s="289"/>
      <c r="F87" s="290"/>
      <c r="G87" s="290"/>
      <c r="H87" s="62">
        <f t="shared" si="1"/>
        <v>0</v>
      </c>
      <c r="I87" s="105"/>
      <c r="J87" s="40"/>
      <c r="K87" s="40"/>
    </row>
    <row r="88" spans="1:11" s="252" customFormat="1" ht="12" customHeight="1" thickBot="1" x14ac:dyDescent="0.25">
      <c r="A88" s="100" t="s">
        <v>268</v>
      </c>
      <c r="B88" s="291" t="s">
        <v>269</v>
      </c>
      <c r="C88" s="282">
        <f>C87+C86+C81+C77+C74+C69+C65</f>
        <v>320418122</v>
      </c>
      <c r="D88" s="251">
        <f>D87+D86+D81+D77+D74+D69+D65</f>
        <v>480499415</v>
      </c>
      <c r="E88" s="276">
        <f>+E65+E69+E74+E77+E81+E87+E86</f>
        <v>433431423</v>
      </c>
      <c r="F88" s="277">
        <f>+F65+F69+F74+F77+F81+F87+F86</f>
        <v>447404</v>
      </c>
      <c r="G88" s="277">
        <f>+G65+G69+G74+G77+G81+G87+G86</f>
        <v>3220588</v>
      </c>
      <c r="H88" s="62">
        <f t="shared" si="1"/>
        <v>874925122</v>
      </c>
      <c r="I88" s="88">
        <f>+I65+I69+I74+I77+I81+I87+I86</f>
        <v>848751652</v>
      </c>
      <c r="J88" s="89">
        <f>+J65+J69+J74+J77+J81+J87+J86</f>
        <v>3212174</v>
      </c>
      <c r="K88" s="89">
        <f>+K65+K69+K74+K77+K81+K87+K86</f>
        <v>22961296</v>
      </c>
    </row>
    <row r="89" spans="1:11" s="252" customFormat="1" ht="12" customHeight="1" thickBot="1" x14ac:dyDescent="0.25">
      <c r="A89" s="107" t="s">
        <v>270</v>
      </c>
      <c r="B89" s="292" t="s">
        <v>271</v>
      </c>
      <c r="C89" s="282">
        <f>C64+C88</f>
        <v>2959690182</v>
      </c>
      <c r="D89" s="251">
        <f>D64+D88</f>
        <v>3410219894</v>
      </c>
      <c r="E89" s="276">
        <f>+E64+E88</f>
        <v>1824871137</v>
      </c>
      <c r="F89" s="277">
        <f>+F64+F88</f>
        <v>9863904</v>
      </c>
      <c r="G89" s="277">
        <f>+G64+G88</f>
        <v>393971766</v>
      </c>
      <c r="H89" s="62">
        <f t="shared" si="1"/>
        <v>3249571386</v>
      </c>
      <c r="I89" s="88">
        <f>+I64+I88</f>
        <v>2806717076</v>
      </c>
      <c r="J89" s="89">
        <f>+J64+J88</f>
        <v>14748471</v>
      </c>
      <c r="K89" s="89">
        <f>+K64+K88</f>
        <v>428105839</v>
      </c>
    </row>
    <row r="90" spans="1:11" s="252" customFormat="1" ht="12" customHeight="1" x14ac:dyDescent="0.2">
      <c r="A90" s="45"/>
      <c r="B90" s="46"/>
      <c r="C90" s="293"/>
      <c r="D90" s="294"/>
      <c r="E90" s="295"/>
      <c r="F90" s="295"/>
      <c r="G90" s="295"/>
      <c r="H90" s="296"/>
    </row>
    <row r="91" spans="1:11" s="252" customFormat="1" ht="12" customHeight="1" x14ac:dyDescent="0.2">
      <c r="A91" s="473" t="s">
        <v>33</v>
      </c>
      <c r="B91" s="473"/>
      <c r="C91" s="473"/>
      <c r="D91" s="473"/>
      <c r="E91" s="473"/>
      <c r="F91" s="473"/>
      <c r="G91" s="473"/>
      <c r="H91" s="473"/>
    </row>
    <row r="92" spans="1:11" s="252" customFormat="1" ht="12" customHeight="1" thickBot="1" x14ac:dyDescent="0.25">
      <c r="A92" s="474" t="s">
        <v>65</v>
      </c>
      <c r="B92" s="474"/>
      <c r="C92" s="297"/>
      <c r="D92" s="241"/>
      <c r="E92" s="241"/>
      <c r="F92" s="241"/>
      <c r="G92" s="241"/>
      <c r="H92" s="298" t="str">
        <f>H4</f>
        <v>Forintban!</v>
      </c>
    </row>
    <row r="93" spans="1:11" s="252" customFormat="1" ht="36.75" customHeight="1" thickBot="1" x14ac:dyDescent="0.25">
      <c r="A93" s="10" t="s">
        <v>4</v>
      </c>
      <c r="B93" s="54" t="s">
        <v>34</v>
      </c>
      <c r="C93" s="299" t="s">
        <v>415</v>
      </c>
      <c r="D93" s="300" t="str">
        <f>+D5</f>
        <v>2017. évi módosított előirányzat</v>
      </c>
      <c r="E93" s="245"/>
      <c r="F93" s="245"/>
      <c r="G93" s="245"/>
      <c r="H93" s="246" t="str">
        <f>+H5</f>
        <v>2018. évi előirányzat</v>
      </c>
    </row>
    <row r="94" spans="1:11" s="252" customFormat="1" ht="12" customHeight="1" thickBot="1" x14ac:dyDescent="0.25">
      <c r="A94" s="13" t="s">
        <v>122</v>
      </c>
      <c r="B94" s="51" t="s">
        <v>123</v>
      </c>
      <c r="C94" s="282" t="s">
        <v>124</v>
      </c>
      <c r="D94" s="301" t="s">
        <v>128</v>
      </c>
      <c r="E94" s="248"/>
      <c r="F94" s="248"/>
      <c r="G94" s="248"/>
      <c r="H94" s="249" t="s">
        <v>129</v>
      </c>
    </row>
    <row r="95" spans="1:11" s="252" customFormat="1" ht="15" customHeight="1" thickBot="1" x14ac:dyDescent="0.25">
      <c r="A95" s="115" t="s">
        <v>6</v>
      </c>
      <c r="B95" s="302" t="s">
        <v>272</v>
      </c>
      <c r="C95" s="282">
        <f>SUM(C96:C100)+SUM(C113)</f>
        <v>2510000576</v>
      </c>
      <c r="D95" s="251">
        <f>SUM(D96:D100)+SUM(D113)</f>
        <v>2537502119</v>
      </c>
      <c r="E95" s="288">
        <f>+E96+E97+E98+E99+E100+E113</f>
        <v>336688965</v>
      </c>
      <c r="F95" s="249">
        <f>+F96+F97+F98+F99+F100+F113</f>
        <v>223822850</v>
      </c>
      <c r="G95" s="282">
        <f>G96+G97+G98+G99+G100+G113</f>
        <v>1388014694</v>
      </c>
      <c r="H95" s="117">
        <f t="shared" ref="H95:H156" si="3">SUM(I95:K95)</f>
        <v>2385474981</v>
      </c>
      <c r="I95" s="118">
        <f>+I96+I97+I98+I99+I100+I113</f>
        <v>638036017</v>
      </c>
      <c r="J95" s="119">
        <f>+J96+J97+J98+J99+J100+J113</f>
        <v>239430458</v>
      </c>
      <c r="K95" s="95">
        <f>K96+K97+K98+K99+K100+K113</f>
        <v>1508008506</v>
      </c>
    </row>
    <row r="96" spans="1:11" s="252" customFormat="1" ht="12.95" customHeight="1" x14ac:dyDescent="0.2">
      <c r="A96" s="120" t="s">
        <v>48</v>
      </c>
      <c r="B96" s="303" t="s">
        <v>35</v>
      </c>
      <c r="C96" s="304">
        <v>1207786084</v>
      </c>
      <c r="D96" s="279">
        <f>SUM(E96:G96)+252096521+85501355+27232396-1393308+7410662+5711096+12960546+166800</f>
        <v>1094113234</v>
      </c>
      <c r="E96" s="305">
        <f>25364000+485000+6010000+3749000+165142000+48000+105000-275033584+150179</f>
        <v>-73980405</v>
      </c>
      <c r="F96" s="306">
        <v>119212000</v>
      </c>
      <c r="G96" s="306">
        <v>659195571</v>
      </c>
      <c r="H96" s="121">
        <f t="shared" si="3"/>
        <v>973950639</v>
      </c>
      <c r="I96" s="122">
        <f>2854500+25097896+75000+16116992+1182990+2491000+1016699-198000+7688261+3484292+11614921+397090+2403576+1745212-8283453-25886210</f>
        <v>41800766</v>
      </c>
      <c r="J96" s="123">
        <f>2528076+481000+134654515+2215000+152400</f>
        <v>140030991</v>
      </c>
      <c r="K96" s="123">
        <f>784492352+662383+6760147+80000+374000-250000</f>
        <v>792118882</v>
      </c>
    </row>
    <row r="97" spans="1:11" ht="16.5" customHeight="1" x14ac:dyDescent="0.25">
      <c r="A97" s="6" t="s">
        <v>49</v>
      </c>
      <c r="B97" s="307" t="s">
        <v>69</v>
      </c>
      <c r="C97" s="308">
        <v>271747480</v>
      </c>
      <c r="D97" s="258">
        <f>SUM(E97:G97)+28812821+9405149+5800271-280382+2089507-570939+1438961+3013037+175648</f>
        <v>230642127</v>
      </c>
      <c r="E97" s="259">
        <f>5239000+143000+1233000+14000+1652000+19299000+10000+23000-28480392-1528915</f>
        <v>-2396307</v>
      </c>
      <c r="F97" s="260">
        <v>28323500</v>
      </c>
      <c r="G97" s="260">
        <v>154830861</v>
      </c>
      <c r="H97" s="121">
        <f t="shared" si="3"/>
        <v>205493807</v>
      </c>
      <c r="I97" s="86">
        <f>500965+4771305+13275+17258+2940000+14000+207615+1015000+283238-34749+1628272+401351+1941032+153131+367716+660210-1878252-4965388</f>
        <v>8035979</v>
      </c>
      <c r="J97" s="69">
        <f>443678+114000+28757160+461687+62043</f>
        <v>29838568</v>
      </c>
      <c r="K97" s="69">
        <f>165847404+144152+1290734+14040+72930+250000</f>
        <v>167619260</v>
      </c>
    </row>
    <row r="98" spans="1:11" x14ac:dyDescent="0.25">
      <c r="A98" s="6" t="s">
        <v>50</v>
      </c>
      <c r="B98" s="307" t="s">
        <v>62</v>
      </c>
      <c r="C98" s="309">
        <v>776462763</v>
      </c>
      <c r="D98" s="258">
        <f>SUM(E98:G98)+41579904+1600000+22320920+28158088+9295882+11813400+570939+10565807+4029458+20547308</f>
        <v>953351741</v>
      </c>
      <c r="E98" s="271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272">
        <v>52037350</v>
      </c>
      <c r="G98" s="260">
        <v>573988262</v>
      </c>
      <c r="H98" s="125">
        <f t="shared" si="3"/>
        <v>810844114</v>
      </c>
      <c r="I98" s="81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+835800-119363+918292-97041056</f>
        <v>217262851</v>
      </c>
      <c r="J98" s="82">
        <f>4096000+324000+352000+40114003+137126+419550-152400+20620</f>
        <v>45310899</v>
      </c>
      <c r="K98" s="69">
        <f>545896186-624000+1605578+768600+624000</f>
        <v>548270364</v>
      </c>
    </row>
    <row r="99" spans="1:11" s="42" customFormat="1" ht="12" customHeight="1" x14ac:dyDescent="0.2">
      <c r="A99" s="6" t="s">
        <v>51</v>
      </c>
      <c r="B99" s="310" t="s">
        <v>70</v>
      </c>
      <c r="C99" s="308">
        <v>72060693</v>
      </c>
      <c r="D99" s="258">
        <f>SUM(E99:G99)-6901260-4000000</f>
        <v>77248740</v>
      </c>
      <c r="E99" s="271">
        <f>70980000-5080000-2000000</f>
        <v>63900000</v>
      </c>
      <c r="F99" s="272">
        <v>24250000</v>
      </c>
      <c r="G99" s="272"/>
      <c r="H99" s="125">
        <f t="shared" si="3"/>
        <v>139384000</v>
      </c>
      <c r="I99" s="81">
        <f>69500000+3500000+69312000-3298000-400000-80000-23400000</f>
        <v>115134000</v>
      </c>
      <c r="J99" s="82">
        <v>24250000</v>
      </c>
      <c r="K99" s="82"/>
    </row>
    <row r="100" spans="1:11" ht="12" customHeight="1" x14ac:dyDescent="0.25">
      <c r="A100" s="6" t="s">
        <v>273</v>
      </c>
      <c r="B100" s="163" t="s">
        <v>71</v>
      </c>
      <c r="C100" s="308">
        <v>181943556</v>
      </c>
      <c r="D100" s="258">
        <f>SUM(D101:D112)</f>
        <v>117690011</v>
      </c>
      <c r="E100" s="271">
        <f>SUM(E101:E112)</f>
        <v>76126000</v>
      </c>
      <c r="F100" s="272">
        <f>SUM(F101:F112)</f>
        <v>0</v>
      </c>
      <c r="G100" s="272"/>
      <c r="H100" s="125">
        <f>SUM(I100:K100)</f>
        <v>163812363</v>
      </c>
      <c r="I100" s="81">
        <f>45183973+52959801+660000+100000+49357310+3869819+86500+5861179+4951343+335000+367438+80000</f>
        <v>163812363</v>
      </c>
      <c r="J100" s="82"/>
      <c r="K100" s="82"/>
    </row>
    <row r="101" spans="1:11" ht="12" customHeight="1" x14ac:dyDescent="0.25">
      <c r="A101" s="6" t="s">
        <v>52</v>
      </c>
      <c r="B101" s="307" t="s">
        <v>274</v>
      </c>
      <c r="C101" s="309">
        <v>6261128</v>
      </c>
      <c r="D101" s="258">
        <f>SUM(E101:G101)+1500+7242044+114463+2792500+6504</f>
        <v>10157011</v>
      </c>
      <c r="E101" s="271"/>
      <c r="F101" s="272"/>
      <c r="G101" s="272"/>
      <c r="H101" s="125">
        <f t="shared" si="3"/>
        <v>5258498</v>
      </c>
      <c r="I101" s="81">
        <f>100000+3869819+86500+1202179</f>
        <v>5258498</v>
      </c>
      <c r="J101" s="82"/>
      <c r="K101" s="82"/>
    </row>
    <row r="102" spans="1:11" ht="12" customHeight="1" x14ac:dyDescent="0.25">
      <c r="A102" s="6" t="s">
        <v>53</v>
      </c>
      <c r="B102" s="311" t="s">
        <v>275</v>
      </c>
      <c r="C102" s="309"/>
      <c r="D102" s="258">
        <f>SUM(E102:G102)</f>
        <v>0</v>
      </c>
      <c r="E102" s="271"/>
      <c r="F102" s="272"/>
      <c r="G102" s="272"/>
      <c r="H102" s="125">
        <f t="shared" si="3"/>
        <v>0</v>
      </c>
      <c r="I102" s="81"/>
      <c r="J102" s="82"/>
      <c r="K102" s="82"/>
    </row>
    <row r="103" spans="1:11" ht="12" customHeight="1" x14ac:dyDescent="0.25">
      <c r="A103" s="6" t="s">
        <v>58</v>
      </c>
      <c r="B103" s="311" t="s">
        <v>276</v>
      </c>
      <c r="C103" s="309"/>
      <c r="D103" s="258">
        <f>SUM(E103:G103)</f>
        <v>0</v>
      </c>
      <c r="E103" s="271"/>
      <c r="F103" s="272"/>
      <c r="G103" s="272"/>
      <c r="H103" s="125">
        <f t="shared" si="3"/>
        <v>159000</v>
      </c>
      <c r="I103" s="81">
        <v>159000</v>
      </c>
      <c r="J103" s="82"/>
      <c r="K103" s="82"/>
    </row>
    <row r="104" spans="1:11" ht="12" customHeight="1" x14ac:dyDescent="0.25">
      <c r="A104" s="6" t="s">
        <v>59</v>
      </c>
      <c r="B104" s="312" t="s">
        <v>277</v>
      </c>
      <c r="C104" s="313"/>
      <c r="D104" s="258">
        <f>SUM(E104:G104)</f>
        <v>0</v>
      </c>
      <c r="E104" s="271"/>
      <c r="F104" s="272"/>
      <c r="G104" s="272"/>
      <c r="H104" s="125">
        <f t="shared" si="3"/>
        <v>0</v>
      </c>
      <c r="I104" s="81"/>
      <c r="J104" s="82"/>
      <c r="K104" s="82"/>
    </row>
    <row r="105" spans="1:11" ht="12" customHeight="1" x14ac:dyDescent="0.25">
      <c r="A105" s="6" t="s">
        <v>60</v>
      </c>
      <c r="B105" s="314" t="s">
        <v>278</v>
      </c>
      <c r="C105" s="309"/>
      <c r="D105" s="258">
        <f>SUM(E105:G105)</f>
        <v>0</v>
      </c>
      <c r="E105" s="271"/>
      <c r="F105" s="272"/>
      <c r="G105" s="272"/>
      <c r="H105" s="125">
        <f t="shared" si="3"/>
        <v>0</v>
      </c>
      <c r="I105" s="81"/>
      <c r="J105" s="82"/>
      <c r="K105" s="82"/>
    </row>
    <row r="106" spans="1:11" ht="12" customHeight="1" x14ac:dyDescent="0.25">
      <c r="A106" s="6" t="s">
        <v>61</v>
      </c>
      <c r="B106" s="314" t="s">
        <v>279</v>
      </c>
      <c r="C106" s="309"/>
      <c r="D106" s="258">
        <f>SUM(E106:G106)</f>
        <v>0</v>
      </c>
      <c r="E106" s="271"/>
      <c r="F106" s="272"/>
      <c r="G106" s="272"/>
      <c r="H106" s="125">
        <f t="shared" si="3"/>
        <v>0</v>
      </c>
      <c r="I106" s="81"/>
      <c r="J106" s="82"/>
      <c r="K106" s="82"/>
    </row>
    <row r="107" spans="1:11" ht="12" customHeight="1" x14ac:dyDescent="0.25">
      <c r="A107" s="6" t="s">
        <v>280</v>
      </c>
      <c r="B107" s="312" t="s">
        <v>281</v>
      </c>
      <c r="C107" s="315">
        <v>113441217</v>
      </c>
      <c r="D107" s="258">
        <f>SUM(E107:G107)+60754-60754</f>
        <v>0</v>
      </c>
      <c r="E107" s="271"/>
      <c r="F107" s="272"/>
      <c r="G107" s="272"/>
      <c r="H107" s="125">
        <f t="shared" si="3"/>
        <v>660000</v>
      </c>
      <c r="I107" s="81">
        <v>660000</v>
      </c>
      <c r="J107" s="82"/>
      <c r="K107" s="82"/>
    </row>
    <row r="108" spans="1:11" ht="12" customHeight="1" x14ac:dyDescent="0.25">
      <c r="A108" s="6" t="s">
        <v>282</v>
      </c>
      <c r="B108" s="312" t="s">
        <v>283</v>
      </c>
      <c r="C108" s="313"/>
      <c r="D108" s="258">
        <f>SUM(E108:G108)</f>
        <v>0</v>
      </c>
      <c r="E108" s="271"/>
      <c r="F108" s="272"/>
      <c r="G108" s="272"/>
      <c r="H108" s="125">
        <f t="shared" si="3"/>
        <v>0</v>
      </c>
      <c r="I108" s="81"/>
      <c r="J108" s="82"/>
      <c r="K108" s="82"/>
    </row>
    <row r="109" spans="1:11" ht="12" customHeight="1" x14ac:dyDescent="0.25">
      <c r="A109" s="6" t="s">
        <v>284</v>
      </c>
      <c r="B109" s="314" t="s">
        <v>285</v>
      </c>
      <c r="C109" s="315"/>
      <c r="D109" s="258">
        <f>SUM(E109:G109)</f>
        <v>0</v>
      </c>
      <c r="E109" s="271"/>
      <c r="F109" s="272"/>
      <c r="G109" s="272"/>
      <c r="H109" s="125">
        <f t="shared" si="3"/>
        <v>0</v>
      </c>
      <c r="I109" s="81"/>
      <c r="J109" s="82"/>
      <c r="K109" s="82"/>
    </row>
    <row r="110" spans="1:11" ht="12" customHeight="1" x14ac:dyDescent="0.25">
      <c r="A110" s="129" t="s">
        <v>286</v>
      </c>
      <c r="B110" s="311" t="s">
        <v>287</v>
      </c>
      <c r="C110" s="315"/>
      <c r="D110" s="258">
        <f>SUM(E110:G110)</f>
        <v>0</v>
      </c>
      <c r="E110" s="271"/>
      <c r="F110" s="272"/>
      <c r="G110" s="272"/>
      <c r="H110" s="125">
        <f t="shared" si="3"/>
        <v>0</v>
      </c>
      <c r="I110" s="81"/>
      <c r="J110" s="82"/>
      <c r="K110" s="82"/>
    </row>
    <row r="111" spans="1:11" ht="12" customHeight="1" x14ac:dyDescent="0.25">
      <c r="A111" s="6" t="s">
        <v>288</v>
      </c>
      <c r="B111" s="311" t="s">
        <v>289</v>
      </c>
      <c r="C111" s="315"/>
      <c r="D111" s="258">
        <f>SUM(E111:G111)</f>
        <v>0</v>
      </c>
      <c r="E111" s="271"/>
      <c r="F111" s="272"/>
      <c r="G111" s="272"/>
      <c r="H111" s="125">
        <f t="shared" si="3"/>
        <v>0</v>
      </c>
      <c r="I111" s="81"/>
      <c r="J111" s="82"/>
      <c r="K111" s="82"/>
    </row>
    <row r="112" spans="1:11" ht="12" customHeight="1" x14ac:dyDescent="0.25">
      <c r="A112" s="8" t="s">
        <v>290</v>
      </c>
      <c r="B112" s="311" t="s">
        <v>291</v>
      </c>
      <c r="C112" s="315">
        <v>62241211</v>
      </c>
      <c r="D112" s="258">
        <f>SUM(E112:G112)+3500000+6600000+2000000+16082000+3225000</f>
        <v>107533000</v>
      </c>
      <c r="E112" s="259">
        <f>536000+11389000+8562000+16678000+6401000+32560000</f>
        <v>76126000</v>
      </c>
      <c r="F112" s="260"/>
      <c r="G112" s="272"/>
      <c r="H112" s="125">
        <f t="shared" si="3"/>
        <v>157734865</v>
      </c>
      <c r="I112" s="86">
        <f>5697126+16985629+22501218+52959801+660000+49357310-660000+4500000+4951343+335000+367438+80000</f>
        <v>157734865</v>
      </c>
      <c r="J112" s="69"/>
      <c r="K112" s="82"/>
    </row>
    <row r="113" spans="1:11" ht="12" customHeight="1" x14ac:dyDescent="0.25">
      <c r="A113" s="6" t="s">
        <v>292</v>
      </c>
      <c r="B113" s="310" t="s">
        <v>293</v>
      </c>
      <c r="C113" s="316">
        <f>SUM(C114:C115)</f>
        <v>0</v>
      </c>
      <c r="D113" s="258">
        <f>SUM(D114:D115)</f>
        <v>64456266</v>
      </c>
      <c r="E113" s="259">
        <f>E114+E115</f>
        <v>96195254</v>
      </c>
      <c r="F113" s="260"/>
      <c r="G113" s="260">
        <f>G114+G115</f>
        <v>0</v>
      </c>
      <c r="H113" s="125">
        <f t="shared" si="3"/>
        <v>91990058</v>
      </c>
      <c r="I113" s="86">
        <f>SUM(I114:I115)</f>
        <v>91990058</v>
      </c>
      <c r="J113" s="69"/>
      <c r="K113" s="69">
        <f>K114+K115</f>
        <v>0</v>
      </c>
    </row>
    <row r="114" spans="1:11" ht="12" customHeight="1" x14ac:dyDescent="0.25">
      <c r="A114" s="6" t="s">
        <v>294</v>
      </c>
      <c r="B114" s="307" t="s">
        <v>295</v>
      </c>
      <c r="C114" s="317"/>
      <c r="D114" s="258">
        <f>SUM(E114:G114)-9172313+8719388-4010722-1042502-1846399+5485909+8185627+3000000</f>
        <v>4036034</v>
      </c>
      <c r="E114" s="271">
        <f>20000000+1656508-26939462</f>
        <v>-5282954</v>
      </c>
      <c r="F114" s="272"/>
      <c r="G114" s="260"/>
      <c r="H114" s="144">
        <f t="shared" si="3"/>
        <v>10857171</v>
      </c>
      <c r="I114" s="81">
        <f>15000000-21705-8451320+266142+295985-5833975+4429729-2711045-668403+1866146+6685617</f>
        <v>10857171</v>
      </c>
      <c r="J114" s="82"/>
      <c r="K114" s="69"/>
    </row>
    <row r="115" spans="1:11" ht="12" customHeight="1" thickBot="1" x14ac:dyDescent="0.3">
      <c r="A115" s="130" t="s">
        <v>296</v>
      </c>
      <c r="B115" s="318" t="s">
        <v>297</v>
      </c>
      <c r="C115" s="319"/>
      <c r="D115" s="264">
        <f>SUM(E115:G115)-8373330-1600000-8539600-6323156-7948000-7343244+31158286-32066515+411581-433998</f>
        <v>60420232</v>
      </c>
      <c r="E115" s="320">
        <f>110613300+500000-3261000-6374092</f>
        <v>101478208</v>
      </c>
      <c r="F115" s="321"/>
      <c r="G115" s="321"/>
      <c r="H115" s="132">
        <f t="shared" si="3"/>
        <v>81132887</v>
      </c>
      <c r="I115" s="133">
        <f>65846522-6946019+750000-2582475-1500181-997960-200000+19431000+7332000</f>
        <v>81132887</v>
      </c>
      <c r="J115" s="134"/>
      <c r="K115" s="134"/>
    </row>
    <row r="116" spans="1:11" ht="12" customHeight="1" thickBot="1" x14ac:dyDescent="0.3">
      <c r="A116" s="41" t="s">
        <v>7</v>
      </c>
      <c r="B116" s="135" t="s">
        <v>298</v>
      </c>
      <c r="C116" s="282">
        <f>SUM(C117:C119)</f>
        <v>120343408</v>
      </c>
      <c r="D116" s="251">
        <f>D117+D119+D121</f>
        <v>734391843</v>
      </c>
      <c r="E116" s="251">
        <f>+E117+E119+E121</f>
        <v>132599368</v>
      </c>
      <c r="F116" s="250">
        <f>+F117+F119+F121</f>
        <v>1901000</v>
      </c>
      <c r="G116" s="322">
        <f>+G117+G119+G121</f>
        <v>9272287</v>
      </c>
      <c r="H116" s="136">
        <f t="shared" si="3"/>
        <v>717442110</v>
      </c>
      <c r="I116" s="43">
        <f>+I117+I119+I121</f>
        <v>690918881</v>
      </c>
      <c r="J116" s="62">
        <f>+J117+J119+J121</f>
        <v>4919980</v>
      </c>
      <c r="K116" s="137">
        <f>+K117+K119+K121</f>
        <v>21603249</v>
      </c>
    </row>
    <row r="117" spans="1:11" ht="12" customHeight="1" x14ac:dyDescent="0.25">
      <c r="A117" s="7" t="s">
        <v>54</v>
      </c>
      <c r="B117" s="307" t="s">
        <v>77</v>
      </c>
      <c r="C117" s="323">
        <v>64203415</v>
      </c>
      <c r="D117" s="279">
        <f>SUM(E117:G117)+15239176+979170-265000+63976+93988736+220065714+8904148-1752617</f>
        <v>340602433</v>
      </c>
      <c r="E117" s="255">
        <f>6621000+2963001+787402+10624171+3081125+300001+529000+1654000+447000+2237000+90200+6604000+301000+204000-18155486-25581571</f>
        <v>-7294157</v>
      </c>
      <c r="F117" s="256">
        <v>1901000</v>
      </c>
      <c r="G117" s="256">
        <v>8772287</v>
      </c>
      <c r="H117" s="125">
        <f t="shared" si="3"/>
        <v>374710583</v>
      </c>
      <c r="I117" s="83">
        <f>359410+2345001+219008101+12873483+381000+1500000+3139585+33894811+377190+2338070+4950460-60000+275000+20930495+3000+1187993+457200+1422400+3150920+850748+6716258+2350811+4594690+2789590+24974772+333700-2347734</f>
        <v>348796954</v>
      </c>
      <c r="J117" s="65">
        <v>4919980</v>
      </c>
      <c r="K117" s="65">
        <f>20394512+599137</f>
        <v>20993649</v>
      </c>
    </row>
    <row r="118" spans="1:11" x14ac:dyDescent="0.25">
      <c r="A118" s="7" t="s">
        <v>55</v>
      </c>
      <c r="B118" s="324" t="s">
        <v>299</v>
      </c>
      <c r="C118" s="325">
        <v>45795826</v>
      </c>
      <c r="D118" s="258">
        <f>SUM(E118:G118)-1000000+87765636+214128350+2959448</f>
        <v>304218048</v>
      </c>
      <c r="E118" s="255">
        <f>14492698-14128084</f>
        <v>364614</v>
      </c>
      <c r="F118" s="256"/>
      <c r="G118" s="256"/>
      <c r="H118" s="125">
        <f t="shared" si="3"/>
        <v>295105824</v>
      </c>
      <c r="I118" s="138">
        <f>12873483+33259811+218246101+22118488+6704583-169560</f>
        <v>293032906</v>
      </c>
      <c r="J118" s="65"/>
      <c r="K118" s="65">
        <v>2072918</v>
      </c>
    </row>
    <row r="119" spans="1:11" ht="12" customHeight="1" x14ac:dyDescent="0.25">
      <c r="A119" s="7" t="s">
        <v>56</v>
      </c>
      <c r="B119" s="324" t="s">
        <v>72</v>
      </c>
      <c r="C119" s="315">
        <v>10344167</v>
      </c>
      <c r="D119" s="258">
        <f>SUM(E119:G119)-134607+7509510+735000+1000000+839841+49594413+188498728</f>
        <v>345284910</v>
      </c>
      <c r="E119" s="259">
        <f>53340000+21000000+1513000+2996000+809000+9333667+7750358</f>
        <v>96742025</v>
      </c>
      <c r="F119" s="260"/>
      <c r="G119" s="260">
        <v>500000</v>
      </c>
      <c r="H119" s="125">
        <f t="shared" si="3"/>
        <v>276110806</v>
      </c>
      <c r="I119" s="86">
        <f>180701362+1500000+37902555+48165993+9194292+3526954-379232-5144770+34052</f>
        <v>275501206</v>
      </c>
      <c r="J119" s="69"/>
      <c r="K119" s="69">
        <v>609600</v>
      </c>
    </row>
    <row r="120" spans="1:11" ht="12" customHeight="1" x14ac:dyDescent="0.25">
      <c r="A120" s="7" t="s">
        <v>57</v>
      </c>
      <c r="B120" s="324" t="s">
        <v>300</v>
      </c>
      <c r="C120" s="326"/>
      <c r="D120" s="258">
        <f>SUM(E120:G120)+1000000+3795044+189429682-203244</f>
        <v>247361482</v>
      </c>
      <c r="E120" s="259">
        <v>53340000</v>
      </c>
      <c r="F120" s="327"/>
      <c r="G120" s="259"/>
      <c r="H120" s="125">
        <f t="shared" si="3"/>
        <v>230773273</v>
      </c>
      <c r="I120" s="139">
        <f>146098020+36509260+48165993</f>
        <v>230773273</v>
      </c>
      <c r="J120" s="394"/>
      <c r="K120" s="86"/>
    </row>
    <row r="121" spans="1:11" ht="12" customHeight="1" x14ac:dyDescent="0.25">
      <c r="A121" s="7" t="s">
        <v>164</v>
      </c>
      <c r="B121" s="262" t="s">
        <v>78</v>
      </c>
      <c r="C121" s="328"/>
      <c r="D121" s="258">
        <f>SUM(D122:D129)</f>
        <v>48504500</v>
      </c>
      <c r="E121" s="259">
        <f>SUM(E122:E129)</f>
        <v>43151500</v>
      </c>
      <c r="F121" s="259"/>
      <c r="G121" s="259"/>
      <c r="H121" s="125">
        <f>SUM(I121:K121)</f>
        <v>66620721</v>
      </c>
      <c r="I121" s="86">
        <f>65710721+100000+510000+300000</f>
        <v>66620721</v>
      </c>
      <c r="J121" s="86"/>
      <c r="K121" s="86"/>
    </row>
    <row r="122" spans="1:11" ht="12" customHeight="1" x14ac:dyDescent="0.25">
      <c r="A122" s="7" t="s">
        <v>166</v>
      </c>
      <c r="B122" s="261" t="s">
        <v>301</v>
      </c>
      <c r="C122" s="329"/>
      <c r="D122" s="258">
        <f t="shared" ref="D122:D128" si="4">SUM(E122:G122)</f>
        <v>0</v>
      </c>
      <c r="E122" s="265"/>
      <c r="F122" s="265"/>
      <c r="G122" s="259"/>
      <c r="H122" s="125">
        <f t="shared" si="3"/>
        <v>0</v>
      </c>
      <c r="I122" s="22"/>
      <c r="J122" s="22"/>
      <c r="K122" s="86"/>
    </row>
    <row r="123" spans="1:11" ht="12" customHeight="1" x14ac:dyDescent="0.25">
      <c r="A123" s="7" t="s">
        <v>302</v>
      </c>
      <c r="B123" s="330" t="s">
        <v>303</v>
      </c>
      <c r="C123" s="331"/>
      <c r="D123" s="258">
        <f t="shared" si="4"/>
        <v>0</v>
      </c>
      <c r="E123" s="265"/>
      <c r="F123" s="265"/>
      <c r="G123" s="259"/>
      <c r="H123" s="125">
        <f t="shared" si="3"/>
        <v>0</v>
      </c>
      <c r="I123" s="22"/>
      <c r="J123" s="22"/>
      <c r="K123" s="86"/>
    </row>
    <row r="124" spans="1:11" ht="12" customHeight="1" x14ac:dyDescent="0.25">
      <c r="A124" s="7" t="s">
        <v>304</v>
      </c>
      <c r="B124" s="314" t="s">
        <v>279</v>
      </c>
      <c r="C124" s="332"/>
      <c r="D124" s="258">
        <f t="shared" si="4"/>
        <v>0</v>
      </c>
      <c r="E124" s="265"/>
      <c r="F124" s="265"/>
      <c r="G124" s="259"/>
      <c r="H124" s="125">
        <f t="shared" si="3"/>
        <v>0</v>
      </c>
      <c r="I124" s="22"/>
      <c r="J124" s="22"/>
      <c r="K124" s="86"/>
    </row>
    <row r="125" spans="1:11" ht="12" customHeight="1" x14ac:dyDescent="0.25">
      <c r="A125" s="7" t="s">
        <v>305</v>
      </c>
      <c r="B125" s="314" t="s">
        <v>306</v>
      </c>
      <c r="C125" s="332"/>
      <c r="D125" s="258">
        <f t="shared" si="4"/>
        <v>0</v>
      </c>
      <c r="E125" s="265"/>
      <c r="F125" s="265"/>
      <c r="G125" s="259"/>
      <c r="H125" s="125">
        <f t="shared" si="3"/>
        <v>0</v>
      </c>
      <c r="I125" s="22"/>
      <c r="J125" s="22"/>
      <c r="K125" s="86"/>
    </row>
    <row r="126" spans="1:11" ht="12" customHeight="1" x14ac:dyDescent="0.25">
      <c r="A126" s="7" t="s">
        <v>307</v>
      </c>
      <c r="B126" s="314" t="s">
        <v>308</v>
      </c>
      <c r="C126" s="332"/>
      <c r="D126" s="258">
        <f t="shared" si="4"/>
        <v>0</v>
      </c>
      <c r="E126" s="265"/>
      <c r="F126" s="265"/>
      <c r="G126" s="259"/>
      <c r="H126" s="125">
        <f t="shared" si="3"/>
        <v>0</v>
      </c>
      <c r="I126" s="22"/>
      <c r="J126" s="22"/>
      <c r="K126" s="86"/>
    </row>
    <row r="127" spans="1:11" ht="12" customHeight="1" x14ac:dyDescent="0.25">
      <c r="A127" s="7" t="s">
        <v>309</v>
      </c>
      <c r="B127" s="314" t="s">
        <v>285</v>
      </c>
      <c r="C127" s="332"/>
      <c r="D127" s="258">
        <f>SUM(E127:G127)+5000</f>
        <v>5000</v>
      </c>
      <c r="E127" s="265"/>
      <c r="F127" s="265"/>
      <c r="G127" s="259"/>
      <c r="H127" s="125">
        <f t="shared" si="3"/>
        <v>0</v>
      </c>
      <c r="I127" s="22"/>
      <c r="J127" s="22"/>
      <c r="K127" s="86"/>
    </row>
    <row r="128" spans="1:11" ht="12" customHeight="1" x14ac:dyDescent="0.25">
      <c r="A128" s="7" t="s">
        <v>310</v>
      </c>
      <c r="B128" s="314" t="s">
        <v>311</v>
      </c>
      <c r="C128" s="332"/>
      <c r="D128" s="258">
        <f t="shared" si="4"/>
        <v>0</v>
      </c>
      <c r="E128" s="265"/>
      <c r="F128" s="265"/>
      <c r="G128" s="259"/>
      <c r="H128" s="125">
        <f t="shared" si="3"/>
        <v>0</v>
      </c>
      <c r="I128" s="22"/>
      <c r="J128" s="22"/>
      <c r="K128" s="86"/>
    </row>
    <row r="129" spans="1:11" ht="12" customHeight="1" thickBot="1" x14ac:dyDescent="0.3">
      <c r="A129" s="129" t="s">
        <v>312</v>
      </c>
      <c r="B129" s="314" t="s">
        <v>313</v>
      </c>
      <c r="C129" s="315">
        <v>10344167</v>
      </c>
      <c r="D129" s="264">
        <f>SUM(E129:G129)+2400000+1348000+600000+1000000</f>
        <v>48499500</v>
      </c>
      <c r="E129" s="271">
        <f>42072000+1079500</f>
        <v>43151500</v>
      </c>
      <c r="F129" s="271"/>
      <c r="G129" s="271"/>
      <c r="H129" s="132">
        <f t="shared" si="3"/>
        <v>66620721</v>
      </c>
      <c r="I129" s="81">
        <f>65710721+100000+510000+300000</f>
        <v>66620721</v>
      </c>
      <c r="J129" s="81"/>
      <c r="K129" s="81"/>
    </row>
    <row r="130" spans="1:11" ht="12" customHeight="1" thickBot="1" x14ac:dyDescent="0.3">
      <c r="A130" s="9" t="s">
        <v>8</v>
      </c>
      <c r="B130" s="142" t="s">
        <v>127</v>
      </c>
      <c r="C130" s="282">
        <f>C116+C95</f>
        <v>2630343984</v>
      </c>
      <c r="D130" s="251">
        <f>D116+D95</f>
        <v>3271893962</v>
      </c>
      <c r="E130" s="251">
        <f>+E95+E116</f>
        <v>469288333</v>
      </c>
      <c r="F130" s="250">
        <f>+F95+F116</f>
        <v>225723850</v>
      </c>
      <c r="G130" s="250">
        <f>+G95+G116</f>
        <v>1397286981</v>
      </c>
      <c r="H130" s="136">
        <f t="shared" si="3"/>
        <v>3102917091</v>
      </c>
      <c r="I130" s="43">
        <f>+I95+I116</f>
        <v>1328954898</v>
      </c>
      <c r="J130" s="62">
        <f>+J95+J116</f>
        <v>244350438</v>
      </c>
      <c r="K130" s="62">
        <f>+K95+K116</f>
        <v>1529611755</v>
      </c>
    </row>
    <row r="131" spans="1:11" ht="12" customHeight="1" thickBot="1" x14ac:dyDescent="0.3">
      <c r="A131" s="9" t="s">
        <v>9</v>
      </c>
      <c r="B131" s="142" t="s">
        <v>314</v>
      </c>
      <c r="C131" s="282">
        <f>SUM(C132:C134)</f>
        <v>3044789</v>
      </c>
      <c r="D131" s="251">
        <f>SUM(D132:D134)</f>
        <v>103161000</v>
      </c>
      <c r="E131" s="251">
        <f>+E132+E133+E134</f>
        <v>103161000</v>
      </c>
      <c r="F131" s="250">
        <f>+F132+F133+F134</f>
        <v>0</v>
      </c>
      <c r="G131" s="250">
        <f>+G132+G133+G134</f>
        <v>0</v>
      </c>
      <c r="H131" s="136">
        <f t="shared" si="3"/>
        <v>108486704</v>
      </c>
      <c r="I131" s="43">
        <f>+I132+I133+I134</f>
        <v>108486704</v>
      </c>
      <c r="J131" s="62">
        <f>+J132+J133+J134</f>
        <v>0</v>
      </c>
      <c r="K131" s="62">
        <f>+K132+K133+K134</f>
        <v>0</v>
      </c>
    </row>
    <row r="132" spans="1:11" ht="12" customHeight="1" x14ac:dyDescent="0.25">
      <c r="A132" s="7" t="s">
        <v>83</v>
      </c>
      <c r="B132" s="324" t="s">
        <v>315</v>
      </c>
      <c r="C132" s="315">
        <v>3044789</v>
      </c>
      <c r="D132" s="254">
        <f>SUM(E132:G132)</f>
        <v>3161000</v>
      </c>
      <c r="E132" s="259">
        <v>3161000</v>
      </c>
      <c r="F132" s="259"/>
      <c r="G132" s="259"/>
      <c r="H132" s="125">
        <f t="shared" si="3"/>
        <v>8486704</v>
      </c>
      <c r="I132" s="86">
        <f>4042704+4444000</f>
        <v>8486704</v>
      </c>
      <c r="J132" s="86"/>
      <c r="K132" s="86"/>
    </row>
    <row r="133" spans="1:11" ht="12" customHeight="1" x14ac:dyDescent="0.25">
      <c r="A133" s="7" t="s">
        <v>84</v>
      </c>
      <c r="B133" s="324" t="s">
        <v>316</v>
      </c>
      <c r="C133" s="326"/>
      <c r="D133" s="270">
        <f>SUM(E133:G133)</f>
        <v>100000000</v>
      </c>
      <c r="E133" s="265">
        <v>100000000</v>
      </c>
      <c r="F133" s="265"/>
      <c r="G133" s="265"/>
      <c r="H133" s="125">
        <f t="shared" si="3"/>
        <v>100000000</v>
      </c>
      <c r="I133" s="22">
        <v>100000000</v>
      </c>
      <c r="J133" s="22"/>
      <c r="K133" s="22"/>
    </row>
    <row r="134" spans="1:11" ht="12" customHeight="1" thickBot="1" x14ac:dyDescent="0.3">
      <c r="A134" s="129" t="s">
        <v>85</v>
      </c>
      <c r="B134" s="324" t="s">
        <v>317</v>
      </c>
      <c r="C134" s="326"/>
      <c r="D134" s="275">
        <f>SUM(E134:G134)</f>
        <v>0</v>
      </c>
      <c r="E134" s="265"/>
      <c r="F134" s="265"/>
      <c r="G134" s="265"/>
      <c r="H134" s="143">
        <f t="shared" si="3"/>
        <v>0</v>
      </c>
      <c r="I134" s="22"/>
      <c r="J134" s="22"/>
      <c r="K134" s="22"/>
    </row>
    <row r="135" spans="1:11" ht="12" customHeight="1" thickBot="1" x14ac:dyDescent="0.3">
      <c r="A135" s="9" t="s">
        <v>10</v>
      </c>
      <c r="B135" s="142" t="s">
        <v>318</v>
      </c>
      <c r="C135" s="333">
        <f>SUM(C136:C141)</f>
        <v>0</v>
      </c>
      <c r="D135" s="285">
        <f>SUM(D136:D141)</f>
        <v>0</v>
      </c>
      <c r="E135" s="251">
        <f>+E136+E137+E138+E139+E140+E141</f>
        <v>0</v>
      </c>
      <c r="F135" s="250">
        <f>+F136+F137+F138+F139+F140+F141</f>
        <v>0</v>
      </c>
      <c r="G135" s="250">
        <f>SUM(G136:G141)</f>
        <v>0</v>
      </c>
      <c r="H135" s="136">
        <f t="shared" si="3"/>
        <v>0</v>
      </c>
      <c r="I135" s="43">
        <f>+I136+I137+I138+I139+I140+I141</f>
        <v>0</v>
      </c>
      <c r="J135" s="62">
        <f>+J136+J137+J138+J139+J140+J141</f>
        <v>0</v>
      </c>
      <c r="K135" s="62">
        <f>SUM(K136:K141)</f>
        <v>0</v>
      </c>
    </row>
    <row r="136" spans="1:11" ht="12" customHeight="1" x14ac:dyDescent="0.25">
      <c r="A136" s="7" t="s">
        <v>45</v>
      </c>
      <c r="B136" s="334" t="s">
        <v>319</v>
      </c>
      <c r="C136" s="331"/>
      <c r="D136" s="254">
        <f t="shared" ref="D136:D141" si="5">SUM(E136:G136)</f>
        <v>0</v>
      </c>
      <c r="E136" s="265"/>
      <c r="F136" s="265"/>
      <c r="G136" s="265"/>
      <c r="H136" s="144">
        <f t="shared" si="3"/>
        <v>0</v>
      </c>
      <c r="I136" s="22"/>
      <c r="J136" s="22"/>
      <c r="K136" s="22"/>
    </row>
    <row r="137" spans="1:11" ht="12" customHeight="1" x14ac:dyDescent="0.25">
      <c r="A137" s="7" t="s">
        <v>46</v>
      </c>
      <c r="B137" s="334" t="s">
        <v>320</v>
      </c>
      <c r="C137" s="331"/>
      <c r="D137" s="270">
        <f t="shared" si="5"/>
        <v>0</v>
      </c>
      <c r="E137" s="265"/>
      <c r="F137" s="265"/>
      <c r="G137" s="265"/>
      <c r="H137" s="144">
        <f t="shared" si="3"/>
        <v>0</v>
      </c>
      <c r="I137" s="22"/>
      <c r="J137" s="22"/>
      <c r="K137" s="22"/>
    </row>
    <row r="138" spans="1:11" ht="12" customHeight="1" x14ac:dyDescent="0.25">
      <c r="A138" s="7" t="s">
        <v>47</v>
      </c>
      <c r="B138" s="334" t="s">
        <v>321</v>
      </c>
      <c r="C138" s="331"/>
      <c r="D138" s="270">
        <f t="shared" si="5"/>
        <v>0</v>
      </c>
      <c r="E138" s="265"/>
      <c r="F138" s="265"/>
      <c r="G138" s="265"/>
      <c r="H138" s="144">
        <f t="shared" si="3"/>
        <v>0</v>
      </c>
      <c r="I138" s="22"/>
      <c r="J138" s="22"/>
      <c r="K138" s="22"/>
    </row>
    <row r="139" spans="1:11" ht="12" customHeight="1" x14ac:dyDescent="0.25">
      <c r="A139" s="7" t="s">
        <v>184</v>
      </c>
      <c r="B139" s="334" t="s">
        <v>322</v>
      </c>
      <c r="C139" s="331"/>
      <c r="D139" s="270">
        <f t="shared" si="5"/>
        <v>0</v>
      </c>
      <c r="E139" s="265"/>
      <c r="F139" s="265"/>
      <c r="G139" s="265"/>
      <c r="H139" s="144">
        <f t="shared" si="3"/>
        <v>0</v>
      </c>
      <c r="I139" s="22"/>
      <c r="J139" s="22"/>
      <c r="K139" s="22"/>
    </row>
    <row r="140" spans="1:11" ht="12" customHeight="1" x14ac:dyDescent="0.25">
      <c r="A140" s="7" t="s">
        <v>185</v>
      </c>
      <c r="B140" s="334" t="s">
        <v>323</v>
      </c>
      <c r="C140" s="331"/>
      <c r="D140" s="270">
        <f t="shared" si="5"/>
        <v>0</v>
      </c>
      <c r="E140" s="265"/>
      <c r="F140" s="265"/>
      <c r="G140" s="265"/>
      <c r="H140" s="144">
        <f t="shared" si="3"/>
        <v>0</v>
      </c>
      <c r="I140" s="22"/>
      <c r="J140" s="22"/>
      <c r="K140" s="22"/>
    </row>
    <row r="141" spans="1:11" ht="12" customHeight="1" thickBot="1" x14ac:dyDescent="0.3">
      <c r="A141" s="129" t="s">
        <v>186</v>
      </c>
      <c r="B141" s="334" t="s">
        <v>324</v>
      </c>
      <c r="C141" s="331"/>
      <c r="D141" s="275">
        <f t="shared" si="5"/>
        <v>0</v>
      </c>
      <c r="E141" s="265"/>
      <c r="F141" s="265"/>
      <c r="G141" s="265"/>
      <c r="H141" s="143">
        <f t="shared" si="3"/>
        <v>0</v>
      </c>
      <c r="I141" s="22"/>
      <c r="J141" s="22"/>
      <c r="K141" s="22"/>
    </row>
    <row r="142" spans="1:11" ht="12" customHeight="1" thickBot="1" x14ac:dyDescent="0.3">
      <c r="A142" s="9" t="s">
        <v>11</v>
      </c>
      <c r="B142" s="142" t="s">
        <v>325</v>
      </c>
      <c r="C142" s="282">
        <f>SUM(C143:C146)</f>
        <v>33301994</v>
      </c>
      <c r="D142" s="251">
        <f>SUM(D143:D146)</f>
        <v>35164932</v>
      </c>
      <c r="E142" s="276">
        <f>+E143+E144+E145+E146</f>
        <v>35164932</v>
      </c>
      <c r="F142" s="277">
        <f>+F143+F144+F145+F146</f>
        <v>0</v>
      </c>
      <c r="G142" s="277">
        <f>+G143+G144+G145+G146</f>
        <v>0</v>
      </c>
      <c r="H142" s="136">
        <f t="shared" si="3"/>
        <v>38167591</v>
      </c>
      <c r="I142" s="88">
        <f>+I143+I144+I145+I146</f>
        <v>38167591</v>
      </c>
      <c r="J142" s="89">
        <f>+J143+J144+J145+J146</f>
        <v>0</v>
      </c>
      <c r="K142" s="89">
        <f>+K143+K144+K145+K146</f>
        <v>0</v>
      </c>
    </row>
    <row r="143" spans="1:11" ht="12" customHeight="1" x14ac:dyDescent="0.25">
      <c r="A143" s="7" t="s">
        <v>196</v>
      </c>
      <c r="B143" s="334" t="s">
        <v>326</v>
      </c>
      <c r="C143" s="331"/>
      <c r="D143" s="254">
        <f>SUM(E143:G143)</f>
        <v>0</v>
      </c>
      <c r="E143" s="265"/>
      <c r="F143" s="265"/>
      <c r="G143" s="265"/>
      <c r="H143" s="144">
        <f t="shared" si="3"/>
        <v>0</v>
      </c>
      <c r="I143" s="22"/>
      <c r="J143" s="22"/>
      <c r="K143" s="22"/>
    </row>
    <row r="144" spans="1:11" ht="12" customHeight="1" x14ac:dyDescent="0.25">
      <c r="A144" s="7" t="s">
        <v>197</v>
      </c>
      <c r="B144" s="334" t="s">
        <v>327</v>
      </c>
      <c r="C144" s="323">
        <v>33301994</v>
      </c>
      <c r="D144" s="270">
        <f>SUM(E144:G144)</f>
        <v>35164932</v>
      </c>
      <c r="E144" s="265">
        <f>35164932</f>
        <v>35164932</v>
      </c>
      <c r="F144" s="265"/>
      <c r="G144" s="265"/>
      <c r="H144" s="125">
        <f t="shared" si="3"/>
        <v>38167591</v>
      </c>
      <c r="I144" s="22">
        <v>38167591</v>
      </c>
      <c r="J144" s="22"/>
      <c r="K144" s="22"/>
    </row>
    <row r="145" spans="1:11" ht="12" customHeight="1" x14ac:dyDescent="0.25">
      <c r="A145" s="7" t="s">
        <v>198</v>
      </c>
      <c r="B145" s="334" t="s">
        <v>328</v>
      </c>
      <c r="C145" s="331"/>
      <c r="D145" s="270">
        <f>SUM(E145:G145)</f>
        <v>0</v>
      </c>
      <c r="E145" s="265"/>
      <c r="F145" s="265"/>
      <c r="G145" s="265"/>
      <c r="H145" s="144">
        <f t="shared" si="3"/>
        <v>0</v>
      </c>
      <c r="I145" s="22"/>
      <c r="J145" s="22"/>
      <c r="K145" s="22"/>
    </row>
    <row r="146" spans="1:11" ht="12" customHeight="1" thickBot="1" x14ac:dyDescent="0.3">
      <c r="A146" s="129" t="s">
        <v>199</v>
      </c>
      <c r="B146" s="335" t="s">
        <v>329</v>
      </c>
      <c r="C146" s="336"/>
      <c r="D146" s="275">
        <f>SUM(E146:G146)</f>
        <v>0</v>
      </c>
      <c r="E146" s="265"/>
      <c r="F146" s="265"/>
      <c r="G146" s="265"/>
      <c r="H146" s="143">
        <f t="shared" si="3"/>
        <v>0</v>
      </c>
      <c r="I146" s="22"/>
      <c r="J146" s="22"/>
      <c r="K146" s="22"/>
    </row>
    <row r="147" spans="1:11" ht="12" customHeight="1" thickBot="1" x14ac:dyDescent="0.3">
      <c r="A147" s="9" t="s">
        <v>12</v>
      </c>
      <c r="B147" s="142" t="s">
        <v>330</v>
      </c>
      <c r="C147" s="286">
        <f>SUM(C148:C152)</f>
        <v>0</v>
      </c>
      <c r="D147" s="285">
        <f>SUM(D148:D152)</f>
        <v>0</v>
      </c>
      <c r="E147" s="337">
        <f>+E148+E149+E150+E151+E152</f>
        <v>0</v>
      </c>
      <c r="F147" s="338">
        <f>+F148+F149+F150+F151+F152</f>
        <v>0</v>
      </c>
      <c r="G147" s="338">
        <f>SUM(G148:G152)</f>
        <v>0</v>
      </c>
      <c r="H147" s="136">
        <f t="shared" si="3"/>
        <v>0</v>
      </c>
      <c r="I147" s="145">
        <f>+I148+I149+I150+I151+I152</f>
        <v>0</v>
      </c>
      <c r="J147" s="146">
        <f>+J148+J149+J150+J151+J152</f>
        <v>0</v>
      </c>
      <c r="K147" s="146">
        <f>SUM(K148:K152)</f>
        <v>0</v>
      </c>
    </row>
    <row r="148" spans="1:11" ht="12" customHeight="1" x14ac:dyDescent="0.25">
      <c r="A148" s="7" t="s">
        <v>204</v>
      </c>
      <c r="B148" s="334" t="s">
        <v>331</v>
      </c>
      <c r="C148" s="331"/>
      <c r="D148" s="254">
        <f t="shared" ref="D148:D154" si="6">SUM(E148:G148)</f>
        <v>0</v>
      </c>
      <c r="E148" s="265"/>
      <c r="F148" s="265"/>
      <c r="G148" s="265"/>
      <c r="H148" s="144">
        <f t="shared" si="3"/>
        <v>0</v>
      </c>
      <c r="I148" s="22"/>
      <c r="J148" s="22"/>
      <c r="K148" s="22"/>
    </row>
    <row r="149" spans="1:11" ht="12" customHeight="1" x14ac:dyDescent="0.25">
      <c r="A149" s="7" t="s">
        <v>206</v>
      </c>
      <c r="B149" s="334" t="s">
        <v>332</v>
      </c>
      <c r="C149" s="323"/>
      <c r="D149" s="270">
        <f t="shared" si="6"/>
        <v>0</v>
      </c>
      <c r="E149" s="265"/>
      <c r="F149" s="265"/>
      <c r="G149" s="265"/>
      <c r="H149" s="144">
        <f t="shared" si="3"/>
        <v>0</v>
      </c>
      <c r="I149" s="22"/>
      <c r="J149" s="22"/>
      <c r="K149" s="22"/>
    </row>
    <row r="150" spans="1:11" ht="12" customHeight="1" x14ac:dyDescent="0.25">
      <c r="A150" s="7" t="s">
        <v>208</v>
      </c>
      <c r="B150" s="334" t="s">
        <v>333</v>
      </c>
      <c r="C150" s="331"/>
      <c r="D150" s="270">
        <f t="shared" si="6"/>
        <v>0</v>
      </c>
      <c r="E150" s="265"/>
      <c r="F150" s="265"/>
      <c r="G150" s="265"/>
      <c r="H150" s="144">
        <f t="shared" si="3"/>
        <v>0</v>
      </c>
      <c r="I150" s="22"/>
      <c r="J150" s="22"/>
      <c r="K150" s="22"/>
    </row>
    <row r="151" spans="1:11" ht="12" customHeight="1" x14ac:dyDescent="0.25">
      <c r="A151" s="7" t="s">
        <v>210</v>
      </c>
      <c r="B151" s="334" t="s">
        <v>334</v>
      </c>
      <c r="C151" s="331"/>
      <c r="D151" s="270">
        <f t="shared" si="6"/>
        <v>0</v>
      </c>
      <c r="E151" s="265"/>
      <c r="F151" s="265"/>
      <c r="G151" s="265"/>
      <c r="H151" s="144">
        <f t="shared" si="3"/>
        <v>0</v>
      </c>
      <c r="I151" s="22"/>
      <c r="J151" s="22"/>
      <c r="K151" s="22"/>
    </row>
    <row r="152" spans="1:11" ht="12" customHeight="1" thickBot="1" x14ac:dyDescent="0.3">
      <c r="A152" s="7" t="s">
        <v>335</v>
      </c>
      <c r="B152" s="334" t="s">
        <v>336</v>
      </c>
      <c r="C152" s="331"/>
      <c r="D152" s="275">
        <f t="shared" si="6"/>
        <v>0</v>
      </c>
      <c r="E152" s="280"/>
      <c r="F152" s="280"/>
      <c r="G152" s="265"/>
      <c r="H152" s="143">
        <f t="shared" si="3"/>
        <v>0</v>
      </c>
      <c r="I152" s="97"/>
      <c r="J152" s="97"/>
      <c r="K152" s="22"/>
    </row>
    <row r="153" spans="1:11" ht="12" customHeight="1" thickBot="1" x14ac:dyDescent="0.3">
      <c r="A153" s="9" t="s">
        <v>13</v>
      </c>
      <c r="B153" s="142" t="s">
        <v>337</v>
      </c>
      <c r="C153" s="286"/>
      <c r="D153" s="285">
        <f t="shared" si="6"/>
        <v>0</v>
      </c>
      <c r="E153" s="337"/>
      <c r="F153" s="338"/>
      <c r="G153" s="339"/>
      <c r="H153" s="136">
        <f t="shared" si="3"/>
        <v>0</v>
      </c>
      <c r="I153" s="145"/>
      <c r="J153" s="146"/>
      <c r="K153" s="147"/>
    </row>
    <row r="154" spans="1:11" ht="12" customHeight="1" thickBot="1" x14ac:dyDescent="0.3">
      <c r="A154" s="9" t="s">
        <v>14</v>
      </c>
      <c r="B154" s="142" t="s">
        <v>338</v>
      </c>
      <c r="C154" s="286"/>
      <c r="D154" s="285">
        <f t="shared" si="6"/>
        <v>0</v>
      </c>
      <c r="E154" s="337"/>
      <c r="F154" s="338"/>
      <c r="G154" s="339"/>
      <c r="H154" s="136">
        <f t="shared" si="3"/>
        <v>0</v>
      </c>
      <c r="I154" s="145"/>
      <c r="J154" s="146"/>
      <c r="K154" s="147"/>
    </row>
    <row r="155" spans="1:11" ht="15" customHeight="1" thickBot="1" x14ac:dyDescent="0.3">
      <c r="A155" s="9" t="s">
        <v>15</v>
      </c>
      <c r="B155" s="142" t="s">
        <v>339</v>
      </c>
      <c r="C155" s="282">
        <f>C154+C153+C147+C142+C135+C131</f>
        <v>36346783</v>
      </c>
      <c r="D155" s="251">
        <f>D154+D153+D147+D142+D135+D131</f>
        <v>138325932</v>
      </c>
      <c r="E155" s="340">
        <f>+E131+E135+E142+E147+E153+E154</f>
        <v>138325932</v>
      </c>
      <c r="F155" s="341">
        <f>+F131+F135+F142+F147+F153+F154</f>
        <v>0</v>
      </c>
      <c r="G155" s="341">
        <f>+G131+G135+G142+G147+G153+G154</f>
        <v>0</v>
      </c>
      <c r="H155" s="136">
        <f t="shared" si="3"/>
        <v>146654295</v>
      </c>
      <c r="I155" s="47">
        <f>+I131+I135+I142+I147+I153+I154</f>
        <v>146654295</v>
      </c>
      <c r="J155" s="148">
        <f>+J131+J135+J142+J147+J153+J154</f>
        <v>0</v>
      </c>
      <c r="K155" s="148">
        <f>+K131+K135+K142+K147+K153+K154</f>
        <v>0</v>
      </c>
    </row>
    <row r="156" spans="1:11" s="252" customFormat="1" ht="12.95" customHeight="1" thickBot="1" x14ac:dyDescent="0.25">
      <c r="A156" s="24" t="s">
        <v>16</v>
      </c>
      <c r="B156" s="149" t="s">
        <v>340</v>
      </c>
      <c r="C156" s="282">
        <f>C155+C130</f>
        <v>2666690767</v>
      </c>
      <c r="D156" s="251">
        <f>D155+D130</f>
        <v>3410219894</v>
      </c>
      <c r="E156" s="340">
        <f>+E130+E155</f>
        <v>607614265</v>
      </c>
      <c r="F156" s="341">
        <f>+F130+F155</f>
        <v>225723850</v>
      </c>
      <c r="G156" s="341">
        <f>+G130+G155</f>
        <v>1397286981</v>
      </c>
      <c r="H156" s="136">
        <f t="shared" si="3"/>
        <v>3249571386</v>
      </c>
      <c r="I156" s="47">
        <f>+I130+I155</f>
        <v>1475609193</v>
      </c>
      <c r="J156" s="148">
        <f>+J130+J155</f>
        <v>244350438</v>
      </c>
      <c r="K156" s="148">
        <f>+K130+K155</f>
        <v>1529611755</v>
      </c>
    </row>
    <row r="160" spans="1:11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7" orientation="portrait" r:id="rId1"/>
  <headerFooter alignWithMargins="0">
    <oddHeader>&amp;R&amp;"Times New Roman CE,Félkövér dőlt"&amp;11 7. melléklet a 7/2019.(III.14.) önkormányzati rendelethez
Tájékoztató tábla</oddHeader>
  </headerFooter>
  <rowBreaks count="1" manualBreakCount="1">
    <brk id="76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2"/>
  <sheetViews>
    <sheetView view="pageLayout" zoomScale="85" zoomScaleNormal="100" zoomScalePageLayoutView="85" workbookViewId="0">
      <selection sqref="A1:O1"/>
    </sheetView>
  </sheetViews>
  <sheetFormatPr defaultRowHeight="15.75" x14ac:dyDescent="0.25"/>
  <cols>
    <col min="1" max="1" width="4.83203125" style="346" customWidth="1"/>
    <col min="2" max="2" width="31.1640625" style="345" customWidth="1"/>
    <col min="3" max="6" width="11.1640625" style="345" bestFit="1" customWidth="1"/>
    <col min="7" max="7" width="11.83203125" style="345" bestFit="1" customWidth="1"/>
    <col min="8" max="8" width="11.1640625" style="345" bestFit="1" customWidth="1"/>
    <col min="9" max="9" width="12.6640625" style="345" bestFit="1" customWidth="1"/>
    <col min="10" max="10" width="11.1640625" style="345" bestFit="1" customWidth="1"/>
    <col min="11" max="11" width="12.6640625" style="345" bestFit="1" customWidth="1"/>
    <col min="12" max="12" width="11.83203125" style="345" bestFit="1" customWidth="1"/>
    <col min="13" max="13" width="11.6640625" style="345" customWidth="1"/>
    <col min="14" max="14" width="11" style="345" customWidth="1"/>
    <col min="15" max="15" width="12.6640625" style="389" customWidth="1"/>
    <col min="16" max="16" width="14.6640625" style="344" hidden="1" customWidth="1"/>
    <col min="17" max="17" width="16.6640625" style="344" hidden="1" customWidth="1"/>
    <col min="18" max="16384" width="9.33203125" style="345"/>
  </cols>
  <sheetData>
    <row r="1" spans="1:17" ht="31.5" customHeight="1" x14ac:dyDescent="0.25">
      <c r="A1" s="492" t="s">
        <v>422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  <c r="L1" s="493"/>
      <c r="M1" s="493"/>
      <c r="N1" s="493"/>
      <c r="O1" s="493"/>
    </row>
    <row r="2" spans="1:17" ht="16.5" thickBot="1" x14ac:dyDescent="0.3">
      <c r="O2" s="347" t="s">
        <v>146</v>
      </c>
    </row>
    <row r="3" spans="1:17" ht="35.25" customHeight="1" thickBot="1" x14ac:dyDescent="0.3">
      <c r="A3" s="348" t="s">
        <v>4</v>
      </c>
      <c r="B3" s="349" t="s">
        <v>350</v>
      </c>
      <c r="C3" s="349" t="s">
        <v>423</v>
      </c>
      <c r="D3" s="349" t="s">
        <v>424</v>
      </c>
      <c r="E3" s="349" t="s">
        <v>425</v>
      </c>
      <c r="F3" s="349" t="s">
        <v>426</v>
      </c>
      <c r="G3" s="349" t="s">
        <v>427</v>
      </c>
      <c r="H3" s="349" t="s">
        <v>428</v>
      </c>
      <c r="I3" s="349" t="s">
        <v>429</v>
      </c>
      <c r="J3" s="349" t="s">
        <v>430</v>
      </c>
      <c r="K3" s="349" t="s">
        <v>431</v>
      </c>
      <c r="L3" s="349" t="s">
        <v>432</v>
      </c>
      <c r="M3" s="349" t="s">
        <v>433</v>
      </c>
      <c r="N3" s="349" t="s">
        <v>434</v>
      </c>
      <c r="O3" s="350" t="s">
        <v>36</v>
      </c>
    </row>
    <row r="4" spans="1:17" s="353" customFormat="1" ht="15" customHeight="1" thickBot="1" x14ac:dyDescent="0.25">
      <c r="A4" s="351" t="s">
        <v>6</v>
      </c>
      <c r="B4" s="494" t="s">
        <v>39</v>
      </c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6"/>
      <c r="P4" s="352"/>
      <c r="Q4" s="352"/>
    </row>
    <row r="5" spans="1:17" s="353" customFormat="1" ht="22.5" x14ac:dyDescent="0.2">
      <c r="A5" s="354" t="s">
        <v>7</v>
      </c>
      <c r="B5" s="355" t="s">
        <v>352</v>
      </c>
      <c r="C5" s="356">
        <v>70000000</v>
      </c>
      <c r="D5" s="356">
        <v>105000000</v>
      </c>
      <c r="E5" s="356">
        <f>110000000+1309600</f>
        <v>111309600</v>
      </c>
      <c r="F5" s="356">
        <v>110000000</v>
      </c>
      <c r="G5" s="356">
        <v>110000000</v>
      </c>
      <c r="H5" s="356">
        <v>115083108</v>
      </c>
      <c r="I5" s="356">
        <f>125600000+1398336+735168</f>
        <v>127733504</v>
      </c>
      <c r="J5" s="356">
        <f>125100000+1508600</f>
        <v>126608600</v>
      </c>
      <c r="K5" s="356">
        <f>117270000+1508600-28000000</f>
        <v>90778600</v>
      </c>
      <c r="L5" s="356">
        <f>110120000+1508600-28000000</f>
        <v>83628600</v>
      </c>
      <c r="M5" s="356">
        <f>110170000+1508600-28000000</f>
        <v>83678600</v>
      </c>
      <c r="N5" s="356">
        <f>110081468+170000+1508600+522368+3279627-50668000-28480989</f>
        <v>36413074</v>
      </c>
      <c r="O5" s="471">
        <f t="shared" ref="O5:O14" si="0">SUM(C5:N5)</f>
        <v>1170233686</v>
      </c>
      <c r="P5" s="357">
        <v>1170233686</v>
      </c>
      <c r="Q5" s="358">
        <f t="shared" ref="Q5:Q26" si="1">O5-P5</f>
        <v>0</v>
      </c>
    </row>
    <row r="6" spans="1:17" s="365" customFormat="1" ht="22.5" x14ac:dyDescent="0.2">
      <c r="A6" s="359" t="s">
        <v>8</v>
      </c>
      <c r="B6" s="360" t="s">
        <v>435</v>
      </c>
      <c r="C6" s="361"/>
      <c r="D6" s="361">
        <v>40000000</v>
      </c>
      <c r="E6" s="361"/>
      <c r="F6" s="361">
        <f>40000000-344442</f>
        <v>39655558</v>
      </c>
      <c r="G6" s="361">
        <v>20620</v>
      </c>
      <c r="H6" s="361">
        <f>10965882+9894420-4353475</f>
        <v>16506827</v>
      </c>
      <c r="I6" s="361">
        <f>40000000+900000+1978928</f>
        <v>42878928</v>
      </c>
      <c r="J6" s="361">
        <v>10000000</v>
      </c>
      <c r="K6" s="361">
        <f>931815+2845500+1954934+2336516</f>
        <v>8068765</v>
      </c>
      <c r="L6" s="361">
        <f>40000000+2845500</f>
        <v>42845500</v>
      </c>
      <c r="M6" s="361">
        <v>2845500</v>
      </c>
      <c r="N6" s="361">
        <f>75636836+2845500-11236604+9028141</f>
        <v>76273873</v>
      </c>
      <c r="O6" s="369">
        <f t="shared" si="0"/>
        <v>279095571</v>
      </c>
      <c r="P6" s="363">
        <v>279095571</v>
      </c>
      <c r="Q6" s="364">
        <f t="shared" si="1"/>
        <v>0</v>
      </c>
    </row>
    <row r="7" spans="1:17" s="365" customFormat="1" ht="22.5" x14ac:dyDescent="0.2">
      <c r="A7" s="359" t="s">
        <v>9</v>
      </c>
      <c r="B7" s="366" t="s">
        <v>436</v>
      </c>
      <c r="C7" s="367"/>
      <c r="D7" s="367"/>
      <c r="E7" s="367"/>
      <c r="F7" s="367"/>
      <c r="G7" s="367">
        <v>3796748</v>
      </c>
      <c r="H7" s="367">
        <f>6704587+4353475+449996</f>
        <v>11508058</v>
      </c>
      <c r="I7" s="367"/>
      <c r="J7" s="367"/>
      <c r="K7" s="367">
        <v>322000</v>
      </c>
      <c r="L7" s="367">
        <v>136269</v>
      </c>
      <c r="M7" s="367">
        <f>5866130+48350993</f>
        <v>54217123</v>
      </c>
      <c r="N7" s="367">
        <f>3779393+19431000-10279393</f>
        <v>12931000</v>
      </c>
      <c r="O7" s="369">
        <f t="shared" si="0"/>
        <v>82911198</v>
      </c>
      <c r="P7" s="363">
        <v>82911198</v>
      </c>
      <c r="Q7" s="364">
        <f t="shared" si="1"/>
        <v>0</v>
      </c>
    </row>
    <row r="8" spans="1:17" s="365" customFormat="1" ht="14.1" customHeight="1" x14ac:dyDescent="0.2">
      <c r="A8" s="359" t="s">
        <v>10</v>
      </c>
      <c r="B8" s="368" t="s">
        <v>67</v>
      </c>
      <c r="C8" s="361">
        <v>3000000</v>
      </c>
      <c r="D8" s="361">
        <v>3000000</v>
      </c>
      <c r="E8" s="361">
        <v>120000000</v>
      </c>
      <c r="F8" s="361">
        <v>15000000</v>
      </c>
      <c r="G8" s="361">
        <v>7000000</v>
      </c>
      <c r="H8" s="361">
        <v>9000000</v>
      </c>
      <c r="I8" s="361">
        <v>5000000</v>
      </c>
      <c r="J8" s="361">
        <v>20000000</v>
      </c>
      <c r="K8" s="361">
        <f>120000000+20000000-30000000</f>
        <v>110000000</v>
      </c>
      <c r="L8" s="361">
        <v>5000000</v>
      </c>
      <c r="M8" s="361">
        <v>5000000</v>
      </c>
      <c r="N8" s="361">
        <f>40658000+32000000+58000000-30550000</f>
        <v>100108000</v>
      </c>
      <c r="O8" s="369">
        <f t="shared" si="0"/>
        <v>402108000</v>
      </c>
      <c r="P8" s="363">
        <v>402108000</v>
      </c>
      <c r="Q8" s="364">
        <f t="shared" si="1"/>
        <v>0</v>
      </c>
    </row>
    <row r="9" spans="1:17" s="365" customFormat="1" ht="14.1" customHeight="1" x14ac:dyDescent="0.2">
      <c r="A9" s="359" t="s">
        <v>11</v>
      </c>
      <c r="B9" s="368" t="s">
        <v>356</v>
      </c>
      <c r="C9" s="361">
        <v>36200000</v>
      </c>
      <c r="D9" s="361">
        <v>35450000</v>
      </c>
      <c r="E9" s="361">
        <v>36250000</v>
      </c>
      <c r="F9" s="361">
        <v>35326294</v>
      </c>
      <c r="G9" s="361">
        <f>38260000+1577143</f>
        <v>39837143</v>
      </c>
      <c r="H9" s="361">
        <v>35300000</v>
      </c>
      <c r="I9" s="361">
        <f>33291164+4938146</f>
        <v>38229310</v>
      </c>
      <c r="J9" s="361">
        <v>33290000</v>
      </c>
      <c r="K9" s="361">
        <f>39421250-1000000-7778817+80000+130141+1003094</f>
        <v>31855668</v>
      </c>
      <c r="L9" s="361">
        <f>38290000+1595250-1000000-7778817+1040220+105000</f>
        <v>32251653</v>
      </c>
      <c r="M9" s="361">
        <f>38390000-1000000-7778818</f>
        <v>29611182</v>
      </c>
      <c r="N9" s="361">
        <f>35514867+4938146-1000000-7778818+268700+1426292-11229128</f>
        <v>22140059</v>
      </c>
      <c r="O9" s="369">
        <f t="shared" si="0"/>
        <v>405741309</v>
      </c>
      <c r="P9" s="363">
        <v>405741309</v>
      </c>
      <c r="Q9" s="364">
        <f t="shared" si="1"/>
        <v>0</v>
      </c>
    </row>
    <row r="10" spans="1:17" s="365" customFormat="1" ht="14.1" customHeight="1" x14ac:dyDescent="0.2">
      <c r="A10" s="359" t="s">
        <v>12</v>
      </c>
      <c r="B10" s="368" t="s">
        <v>1</v>
      </c>
      <c r="C10" s="361"/>
      <c r="D10" s="361"/>
      <c r="E10" s="361">
        <v>2625000</v>
      </c>
      <c r="F10" s="361"/>
      <c r="G10" s="361">
        <v>1920000</v>
      </c>
      <c r="H10" s="361"/>
      <c r="I10" s="361">
        <v>3000000</v>
      </c>
      <c r="J10" s="361"/>
      <c r="K10" s="361">
        <v>7787500</v>
      </c>
      <c r="L10" s="361"/>
      <c r="M10" s="361">
        <v>15000000</v>
      </c>
      <c r="N10" s="361"/>
      <c r="O10" s="369">
        <f t="shared" si="0"/>
        <v>30332500</v>
      </c>
      <c r="P10" s="363">
        <v>30332500</v>
      </c>
      <c r="Q10" s="364">
        <f t="shared" si="1"/>
        <v>0</v>
      </c>
    </row>
    <row r="11" spans="1:17" s="365" customFormat="1" ht="14.1" customHeight="1" x14ac:dyDescent="0.2">
      <c r="A11" s="359" t="s">
        <v>13</v>
      </c>
      <c r="B11" s="368" t="s">
        <v>104</v>
      </c>
      <c r="C11" s="361">
        <v>1566000</v>
      </c>
      <c r="D11" s="361">
        <v>250000</v>
      </c>
      <c r="E11" s="361">
        <v>300000</v>
      </c>
      <c r="F11" s="361">
        <v>350000</v>
      </c>
      <c r="G11" s="361">
        <v>250000</v>
      </c>
      <c r="H11" s="361">
        <f>200000+20000+30000</f>
        <v>250000</v>
      </c>
      <c r="I11" s="361">
        <f>350000+408000-400000</f>
        <v>358000</v>
      </c>
      <c r="J11" s="361">
        <v>250000</v>
      </c>
      <c r="K11" s="361">
        <f>400000-200000</f>
        <v>200000</v>
      </c>
      <c r="L11" s="361">
        <f>300000-100000</f>
        <v>200000</v>
      </c>
      <c r="M11" s="361">
        <f>300000-200000</f>
        <v>100000</v>
      </c>
      <c r="N11" s="361">
        <f>250000-100000</f>
        <v>150000</v>
      </c>
      <c r="O11" s="369">
        <f t="shared" si="0"/>
        <v>4224000</v>
      </c>
      <c r="P11" s="363">
        <v>4224000</v>
      </c>
      <c r="Q11" s="364">
        <f t="shared" si="1"/>
        <v>0</v>
      </c>
    </row>
    <row r="12" spans="1:17" s="365" customFormat="1" ht="22.5" x14ac:dyDescent="0.2">
      <c r="A12" s="359" t="s">
        <v>14</v>
      </c>
      <c r="B12" s="360" t="s">
        <v>112</v>
      </c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  <c r="O12" s="369">
        <f t="shared" si="0"/>
        <v>0</v>
      </c>
      <c r="P12" s="363">
        <v>0</v>
      </c>
      <c r="Q12" s="364">
        <f t="shared" si="1"/>
        <v>0</v>
      </c>
    </row>
    <row r="13" spans="1:17" s="365" customFormat="1" ht="14.1" customHeight="1" thickBot="1" x14ac:dyDescent="0.25">
      <c r="A13" s="359" t="s">
        <v>15</v>
      </c>
      <c r="B13" s="368" t="s">
        <v>437</v>
      </c>
      <c r="C13" s="370">
        <f>595229853-28</f>
        <v>595229825</v>
      </c>
      <c r="D13" s="370">
        <v>40000000</v>
      </c>
      <c r="E13" s="370"/>
      <c r="F13" s="370">
        <v>60447375</v>
      </c>
      <c r="G13" s="370"/>
      <c r="H13" s="370">
        <v>25000000</v>
      </c>
      <c r="I13" s="370">
        <v>20000000</v>
      </c>
      <c r="J13" s="370">
        <v>20000000</v>
      </c>
      <c r="K13" s="361">
        <v>33478462</v>
      </c>
      <c r="L13" s="361">
        <f>10000000-315732</f>
        <v>9684268</v>
      </c>
      <c r="M13" s="361">
        <v>10000000</v>
      </c>
      <c r="N13" s="361">
        <f>25000000-5819140+41904332</f>
        <v>61085192</v>
      </c>
      <c r="O13" s="369">
        <f t="shared" si="0"/>
        <v>874925122</v>
      </c>
      <c r="P13" s="371">
        <v>874925122</v>
      </c>
      <c r="Q13" s="372">
        <f t="shared" si="1"/>
        <v>0</v>
      </c>
    </row>
    <row r="14" spans="1:17" s="353" customFormat="1" ht="15.95" customHeight="1" thickBot="1" x14ac:dyDescent="0.25">
      <c r="A14" s="351" t="s">
        <v>16</v>
      </c>
      <c r="B14" s="373" t="s">
        <v>438</v>
      </c>
      <c r="C14" s="374">
        <f t="shared" ref="C14:N14" si="2">SUM(C5:C13)</f>
        <v>705995825</v>
      </c>
      <c r="D14" s="374">
        <f t="shared" si="2"/>
        <v>223700000</v>
      </c>
      <c r="E14" s="374">
        <f t="shared" si="2"/>
        <v>270484600</v>
      </c>
      <c r="F14" s="374">
        <f t="shared" si="2"/>
        <v>260779227</v>
      </c>
      <c r="G14" s="374">
        <f t="shared" si="2"/>
        <v>162824511</v>
      </c>
      <c r="H14" s="374">
        <f t="shared" si="2"/>
        <v>212647993</v>
      </c>
      <c r="I14" s="374">
        <f t="shared" si="2"/>
        <v>237199742</v>
      </c>
      <c r="J14" s="374">
        <f t="shared" si="2"/>
        <v>210148600</v>
      </c>
      <c r="K14" s="374">
        <f t="shared" si="2"/>
        <v>282490995</v>
      </c>
      <c r="L14" s="374">
        <f t="shared" si="2"/>
        <v>173746290</v>
      </c>
      <c r="M14" s="374">
        <f t="shared" si="2"/>
        <v>200452405</v>
      </c>
      <c r="N14" s="374">
        <f t="shared" si="2"/>
        <v>309101198</v>
      </c>
      <c r="O14" s="375">
        <f t="shared" si="0"/>
        <v>3249571386</v>
      </c>
      <c r="P14" s="376">
        <f>SUM(P5:P13)</f>
        <v>3249571386</v>
      </c>
      <c r="Q14" s="377">
        <f t="shared" si="1"/>
        <v>0</v>
      </c>
    </row>
    <row r="15" spans="1:17" s="353" customFormat="1" ht="15" customHeight="1" thickBot="1" x14ac:dyDescent="0.25">
      <c r="A15" s="351" t="s">
        <v>17</v>
      </c>
      <c r="B15" s="494" t="s">
        <v>40</v>
      </c>
      <c r="C15" s="495"/>
      <c r="D15" s="495"/>
      <c r="E15" s="495"/>
      <c r="F15" s="495"/>
      <c r="G15" s="495"/>
      <c r="H15" s="495"/>
      <c r="I15" s="495"/>
      <c r="J15" s="495"/>
      <c r="K15" s="495"/>
      <c r="L15" s="495"/>
      <c r="M15" s="495"/>
      <c r="N15" s="495"/>
      <c r="O15" s="496"/>
      <c r="P15" s="352"/>
      <c r="Q15" s="378">
        <f t="shared" si="1"/>
        <v>0</v>
      </c>
    </row>
    <row r="16" spans="1:17" s="365" customFormat="1" ht="14.1" customHeight="1" x14ac:dyDescent="0.2">
      <c r="A16" s="379" t="s">
        <v>18</v>
      </c>
      <c r="B16" s="380" t="s">
        <v>353</v>
      </c>
      <c r="C16" s="381">
        <v>80000000</v>
      </c>
      <c r="D16" s="381">
        <f>81000000-569836</f>
        <v>80430164</v>
      </c>
      <c r="E16" s="381">
        <f>83100000</f>
        <v>83100000</v>
      </c>
      <c r="F16" s="381">
        <f>81000000+666000+1095900-175365</f>
        <v>82586535</v>
      </c>
      <c r="G16" s="381">
        <v>81000000</v>
      </c>
      <c r="H16" s="381">
        <v>83000000</v>
      </c>
      <c r="I16" s="381">
        <f>81000000+1281377-4000000</f>
        <v>78281377</v>
      </c>
      <c r="J16" s="381">
        <f>82000000+1281377+1656000-5000000</f>
        <v>79937377</v>
      </c>
      <c r="K16" s="381">
        <f>84100000+1281377+1828292+397090+198000-4000000</f>
        <v>83804759</v>
      </c>
      <c r="L16" s="381">
        <f>81000000+1281377+3871640+2205576-5000000</f>
        <v>83358593</v>
      </c>
      <c r="M16" s="381">
        <f>81000000+1281377+3871640-4000000</f>
        <v>82153017</v>
      </c>
      <c r="N16" s="381">
        <f>81820251+1281376+3871641+1745212-8283453-3886210-250000</f>
        <v>76298817</v>
      </c>
      <c r="O16" s="382">
        <f t="shared" ref="O16:O26" si="3">SUM(C16:N16)</f>
        <v>973950639</v>
      </c>
      <c r="P16" s="383">
        <v>974200639</v>
      </c>
      <c r="Q16" s="358">
        <f t="shared" si="1"/>
        <v>-250000</v>
      </c>
    </row>
    <row r="17" spans="1:17" s="365" customFormat="1" ht="27" customHeight="1" x14ac:dyDescent="0.2">
      <c r="A17" s="359" t="s">
        <v>19</v>
      </c>
      <c r="B17" s="360" t="s">
        <v>69</v>
      </c>
      <c r="C17" s="361">
        <v>16500000</v>
      </c>
      <c r="D17" s="361">
        <f>17000000-416745</f>
        <v>16583255</v>
      </c>
      <c r="E17" s="361">
        <v>18500000</v>
      </c>
      <c r="F17" s="361">
        <f>17000000+213701-18991+3298+121914</f>
        <v>17319922</v>
      </c>
      <c r="G17" s="361">
        <v>16720000</v>
      </c>
      <c r="H17" s="361">
        <v>18220000</v>
      </c>
      <c r="I17" s="361">
        <f>16720000+271380-800000</f>
        <v>16191380</v>
      </c>
      <c r="J17" s="361">
        <f>17220000+271380+322928-900000</f>
        <v>16914308</v>
      </c>
      <c r="K17" s="361">
        <f>18720000+271380+78423+153131+34749-800000</f>
        <v>18457683</v>
      </c>
      <c r="L17" s="361">
        <f>16720000+271380+647011+332967-900000</f>
        <v>17071358</v>
      </c>
      <c r="M17" s="361">
        <f>16720000+271380+647010-800000</f>
        <v>16838390</v>
      </c>
      <c r="N17" s="361">
        <f>16603347+240061+149150+271372+647011+660210-1878252-765388+250000</f>
        <v>16177511</v>
      </c>
      <c r="O17" s="362">
        <f t="shared" si="3"/>
        <v>205493807</v>
      </c>
      <c r="P17" s="363">
        <v>205243807</v>
      </c>
      <c r="Q17" s="364">
        <f t="shared" si="1"/>
        <v>250000</v>
      </c>
    </row>
    <row r="18" spans="1:17" s="365" customFormat="1" ht="14.1" customHeight="1" x14ac:dyDescent="0.2">
      <c r="A18" s="359" t="s">
        <v>20</v>
      </c>
      <c r="B18" s="368" t="s">
        <v>62</v>
      </c>
      <c r="C18" s="361">
        <f>80000000-8000000</f>
        <v>72000000</v>
      </c>
      <c r="D18" s="361">
        <f>75000000-8000000</f>
        <v>67000000</v>
      </c>
      <c r="E18" s="361">
        <f>77400000+3115000-8000000</f>
        <v>72515000</v>
      </c>
      <c r="F18" s="361">
        <f>83000000+44100-83792-8245+60000+302293-8000000</f>
        <v>75314356</v>
      </c>
      <c r="G18" s="361">
        <f>71000000-36509260+396875-8000000</f>
        <v>26887615</v>
      </c>
      <c r="H18" s="361">
        <f>74000000+396875-8000000</f>
        <v>66396875</v>
      </c>
      <c r="I18" s="361">
        <f>77500000+1585967+64000-838452+396875-8000000</f>
        <v>70708390</v>
      </c>
      <c r="J18" s="361">
        <f>76000000+1585967+1397115+396875-8000000</f>
        <v>71379957</v>
      </c>
      <c r="K18" s="361">
        <f>80500000+1585967+396875+1137089-8000000</f>
        <v>75619931</v>
      </c>
      <c r="L18" s="361">
        <f>76071448+1585967+396875+5148741+1500000-8000000</f>
        <v>76703031</v>
      </c>
      <c r="M18" s="361">
        <f>75300000+1585967+396875+1310000-8000000</f>
        <v>70592842</v>
      </c>
      <c r="N18" s="361">
        <f>70149605+1585964+396875+1000000+835800+798929-9041056</f>
        <v>65726117</v>
      </c>
      <c r="O18" s="369">
        <f t="shared" si="3"/>
        <v>810844114</v>
      </c>
      <c r="P18" s="363">
        <v>810844114</v>
      </c>
      <c r="Q18" s="364">
        <f t="shared" si="1"/>
        <v>0</v>
      </c>
    </row>
    <row r="19" spans="1:17" s="365" customFormat="1" ht="14.1" customHeight="1" x14ac:dyDescent="0.2">
      <c r="A19" s="359" t="s">
        <v>21</v>
      </c>
      <c r="B19" s="368" t="s">
        <v>70</v>
      </c>
      <c r="C19" s="361">
        <v>5100000</v>
      </c>
      <c r="D19" s="361">
        <v>5200000</v>
      </c>
      <c r="E19" s="361">
        <v>5400000</v>
      </c>
      <c r="F19" s="361">
        <v>5300000</v>
      </c>
      <c r="G19" s="361">
        <v>5150000</v>
      </c>
      <c r="H19" s="361">
        <f>5000000-1298000</f>
        <v>3702000</v>
      </c>
      <c r="I19" s="361">
        <f>5000000-2000000</f>
        <v>3000000</v>
      </c>
      <c r="J19" s="361">
        <v>15000000</v>
      </c>
      <c r="K19" s="361">
        <v>5000000</v>
      </c>
      <c r="L19" s="361">
        <v>5100000</v>
      </c>
      <c r="M19" s="361">
        <f>15000000+1805000</f>
        <v>16805000</v>
      </c>
      <c r="N19" s="361">
        <f>21000000+67507000-480000-23400000</f>
        <v>64627000</v>
      </c>
      <c r="O19" s="369">
        <f t="shared" si="3"/>
        <v>139384000</v>
      </c>
      <c r="P19" s="363">
        <v>139384000</v>
      </c>
      <c r="Q19" s="364">
        <f t="shared" si="1"/>
        <v>0</v>
      </c>
    </row>
    <row r="20" spans="1:17" s="365" customFormat="1" ht="14.1" customHeight="1" x14ac:dyDescent="0.2">
      <c r="A20" s="359" t="s">
        <v>22</v>
      </c>
      <c r="B20" s="368" t="s">
        <v>439</v>
      </c>
      <c r="C20" s="361"/>
      <c r="D20" s="361"/>
      <c r="E20" s="361">
        <v>10000000</v>
      </c>
      <c r="F20" s="361">
        <v>12000000</v>
      </c>
      <c r="G20" s="361">
        <f>18869819+86500</f>
        <v>18956319</v>
      </c>
      <c r="H20" s="361">
        <v>20000000</v>
      </c>
      <c r="I20" s="361">
        <f>15000000+1361179</f>
        <v>16361179</v>
      </c>
      <c r="J20" s="361">
        <v>14000000</v>
      </c>
      <c r="K20" s="361">
        <f>15000000+1500000+40000</f>
        <v>16540000</v>
      </c>
      <c r="L20" s="361">
        <f>20000000+1500000+1756543</f>
        <v>23256543</v>
      </c>
      <c r="M20" s="361">
        <f>15000000+1500000+1756543+295000</f>
        <v>18551543</v>
      </c>
      <c r="N20" s="361">
        <f>12261084+1756544-318287+447438</f>
        <v>14146779</v>
      </c>
      <c r="O20" s="369">
        <f t="shared" si="3"/>
        <v>163812363</v>
      </c>
      <c r="P20" s="363">
        <v>163812363</v>
      </c>
      <c r="Q20" s="364">
        <f t="shared" si="1"/>
        <v>0</v>
      </c>
    </row>
    <row r="21" spans="1:17" s="365" customFormat="1" ht="14.1" customHeight="1" x14ac:dyDescent="0.2">
      <c r="A21" s="359" t="s">
        <v>23</v>
      </c>
      <c r="B21" s="368" t="s">
        <v>77</v>
      </c>
      <c r="C21" s="361">
        <v>3000000</v>
      </c>
      <c r="D21" s="361">
        <v>3000000</v>
      </c>
      <c r="E21" s="361">
        <v>40000000</v>
      </c>
      <c r="F21" s="361">
        <f>3000000-60000</f>
        <v>2940000</v>
      </c>
      <c r="G21" s="361">
        <v>77123107</v>
      </c>
      <c r="H21" s="361">
        <v>37753786</v>
      </c>
      <c r="I21" s="361">
        <f>63000000+1598336+4594690</f>
        <v>69193026</v>
      </c>
      <c r="J21" s="361">
        <f>8000000+752475</f>
        <v>8752475</v>
      </c>
      <c r="K21" s="361">
        <v>50000000</v>
      </c>
      <c r="L21" s="361">
        <f>30481603+2789590</f>
        <v>33271193</v>
      </c>
      <c r="M21" s="361">
        <f>15000000+6716258-25228</f>
        <v>21691030</v>
      </c>
      <c r="N21" s="361">
        <f>5000000+25000000+333700-2347734</f>
        <v>27985966</v>
      </c>
      <c r="O21" s="369">
        <f t="shared" si="3"/>
        <v>374710583</v>
      </c>
      <c r="P21" s="363">
        <v>374710583</v>
      </c>
      <c r="Q21" s="364">
        <f t="shared" si="1"/>
        <v>0</v>
      </c>
    </row>
    <row r="22" spans="1:17" s="365" customFormat="1" x14ac:dyDescent="0.2">
      <c r="A22" s="359" t="s">
        <v>24</v>
      </c>
      <c r="B22" s="360" t="s">
        <v>72</v>
      </c>
      <c r="C22" s="361">
        <v>1000000</v>
      </c>
      <c r="D22" s="361">
        <v>10000000</v>
      </c>
      <c r="E22" s="361">
        <v>5000000</v>
      </c>
      <c r="F22" s="361">
        <v>7000000</v>
      </c>
      <c r="G22" s="361">
        <v>30000000</v>
      </c>
      <c r="H22" s="361">
        <f>10000000+3402201</f>
        <v>13402201</v>
      </c>
      <c r="I22" s="361">
        <f>50000000+3000000-354600</f>
        <v>52645400</v>
      </c>
      <c r="J22" s="361">
        <f>12000000+479353</f>
        <v>12479353</v>
      </c>
      <c r="K22" s="361">
        <v>87902555</v>
      </c>
      <c r="L22" s="361">
        <f>3000000+3000000-379232</f>
        <v>5620768</v>
      </c>
      <c r="M22" s="361">
        <f>2810962+48165993</f>
        <v>50976955</v>
      </c>
      <c r="N22" s="361">
        <f>2000000+3194292-5144770+34052</f>
        <v>83574</v>
      </c>
      <c r="O22" s="369">
        <f t="shared" si="3"/>
        <v>276110806</v>
      </c>
      <c r="P22" s="363">
        <v>276110806</v>
      </c>
      <c r="Q22" s="364">
        <f t="shared" si="1"/>
        <v>0</v>
      </c>
    </row>
    <row r="23" spans="1:17" s="365" customFormat="1" ht="14.1" customHeight="1" x14ac:dyDescent="0.2">
      <c r="A23" s="359" t="s">
        <v>25</v>
      </c>
      <c r="B23" s="368" t="s">
        <v>78</v>
      </c>
      <c r="C23" s="361"/>
      <c r="D23" s="361"/>
      <c r="E23" s="361">
        <v>34286575</v>
      </c>
      <c r="F23" s="361"/>
      <c r="G23" s="361"/>
      <c r="H23" s="361">
        <f>9221949+100000+510000</f>
        <v>9831949</v>
      </c>
      <c r="I23" s="361">
        <f>3094850+1988342</f>
        <v>5083192</v>
      </c>
      <c r="J23" s="361">
        <f>17119005+300000</f>
        <v>17419005</v>
      </c>
      <c r="K23" s="361"/>
      <c r="L23" s="361"/>
      <c r="M23" s="361"/>
      <c r="N23" s="361"/>
      <c r="O23" s="369">
        <f t="shared" si="3"/>
        <v>66620721</v>
      </c>
      <c r="P23" s="363">
        <v>66620721</v>
      </c>
      <c r="Q23" s="364">
        <f t="shared" si="1"/>
        <v>0</v>
      </c>
    </row>
    <row r="24" spans="1:17" s="365" customFormat="1" ht="14.1" customHeight="1" x14ac:dyDescent="0.2">
      <c r="A24" s="359" t="s">
        <v>26</v>
      </c>
      <c r="B24" s="368" t="s">
        <v>293</v>
      </c>
      <c r="C24" s="361"/>
      <c r="D24" s="361"/>
      <c r="E24" s="361">
        <v>3000000</v>
      </c>
      <c r="F24" s="361">
        <v>978295</v>
      </c>
      <c r="G24" s="361">
        <v>3900000</v>
      </c>
      <c r="H24" s="361">
        <f>9100000+1016142-1630000-510000</f>
        <v>7976142</v>
      </c>
      <c r="I24" s="361">
        <f>7100000-5000000</f>
        <v>2100000</v>
      </c>
      <c r="J24" s="361">
        <v>8100000</v>
      </c>
      <c r="K24" s="361">
        <f>3900000-2334156+1000000</f>
        <v>2565844</v>
      </c>
      <c r="L24" s="361">
        <f>8100000-146490+2113482-2911045</f>
        <v>7155947</v>
      </c>
      <c r="M24" s="361">
        <v>14246522</v>
      </c>
      <c r="N24" s="361">
        <f>7002661+318287+18762597+9198146+6685617</f>
        <v>41967308</v>
      </c>
      <c r="O24" s="369">
        <f t="shared" si="3"/>
        <v>91990058</v>
      </c>
      <c r="P24" s="363">
        <v>91990058</v>
      </c>
      <c r="Q24" s="364">
        <f t="shared" si="1"/>
        <v>0</v>
      </c>
    </row>
    <row r="25" spans="1:17" s="365" customFormat="1" ht="14.1" customHeight="1" thickBot="1" x14ac:dyDescent="0.25">
      <c r="A25" s="359" t="s">
        <v>27</v>
      </c>
      <c r="B25" s="368" t="s">
        <v>2</v>
      </c>
      <c r="C25" s="370">
        <v>38167591</v>
      </c>
      <c r="D25" s="370"/>
      <c r="E25" s="370">
        <v>2121676</v>
      </c>
      <c r="F25" s="361"/>
      <c r="G25" s="370"/>
      <c r="H25" s="361">
        <v>2121676</v>
      </c>
      <c r="I25" s="361"/>
      <c r="J25" s="361"/>
      <c r="K25" s="361">
        <v>2121676</v>
      </c>
      <c r="L25" s="361">
        <v>30000000</v>
      </c>
      <c r="M25" s="361"/>
      <c r="N25" s="361">
        <v>72121676</v>
      </c>
      <c r="O25" s="369">
        <f t="shared" si="3"/>
        <v>146654295</v>
      </c>
      <c r="P25" s="371">
        <v>146654295</v>
      </c>
      <c r="Q25" s="372">
        <f t="shared" si="1"/>
        <v>0</v>
      </c>
    </row>
    <row r="26" spans="1:17" s="353" customFormat="1" ht="15.95" customHeight="1" thickBot="1" x14ac:dyDescent="0.25">
      <c r="A26" s="384" t="s">
        <v>28</v>
      </c>
      <c r="B26" s="373" t="s">
        <v>440</v>
      </c>
      <c r="C26" s="374">
        <f t="shared" ref="C26:N26" si="4">SUM(C16:C25)</f>
        <v>215767591</v>
      </c>
      <c r="D26" s="374">
        <f t="shared" si="4"/>
        <v>182213419</v>
      </c>
      <c r="E26" s="374">
        <f t="shared" si="4"/>
        <v>273923251</v>
      </c>
      <c r="F26" s="374">
        <f t="shared" si="4"/>
        <v>203439108</v>
      </c>
      <c r="G26" s="374">
        <f t="shared" si="4"/>
        <v>259737041</v>
      </c>
      <c r="H26" s="374">
        <f t="shared" si="4"/>
        <v>262404629</v>
      </c>
      <c r="I26" s="374">
        <f t="shared" si="4"/>
        <v>313563944</v>
      </c>
      <c r="J26" s="374">
        <f t="shared" si="4"/>
        <v>243982475</v>
      </c>
      <c r="K26" s="374">
        <f t="shared" si="4"/>
        <v>342012448</v>
      </c>
      <c r="L26" s="374">
        <f t="shared" si="4"/>
        <v>281537433</v>
      </c>
      <c r="M26" s="374">
        <f t="shared" si="4"/>
        <v>291855299</v>
      </c>
      <c r="N26" s="374">
        <f t="shared" si="4"/>
        <v>379134748</v>
      </c>
      <c r="O26" s="375">
        <f t="shared" si="3"/>
        <v>3249571386</v>
      </c>
      <c r="P26" s="376">
        <f>SUM(P16:P25)</f>
        <v>3249571386</v>
      </c>
      <c r="Q26" s="377">
        <f t="shared" si="1"/>
        <v>0</v>
      </c>
    </row>
    <row r="27" spans="1:17" ht="16.5" thickBot="1" x14ac:dyDescent="0.3">
      <c r="A27" s="384" t="s">
        <v>29</v>
      </c>
      <c r="B27" s="385" t="s">
        <v>441</v>
      </c>
      <c r="C27" s="386">
        <f t="shared" ref="C27:O27" si="5">C14-C26</f>
        <v>490228234</v>
      </c>
      <c r="D27" s="386">
        <f t="shared" si="5"/>
        <v>41486581</v>
      </c>
      <c r="E27" s="386">
        <f t="shared" si="5"/>
        <v>-3438651</v>
      </c>
      <c r="F27" s="386">
        <f t="shared" si="5"/>
        <v>57340119</v>
      </c>
      <c r="G27" s="386">
        <f t="shared" si="5"/>
        <v>-96912530</v>
      </c>
      <c r="H27" s="386">
        <f t="shared" si="5"/>
        <v>-49756636</v>
      </c>
      <c r="I27" s="386">
        <f t="shared" si="5"/>
        <v>-76364202</v>
      </c>
      <c r="J27" s="386">
        <f t="shared" si="5"/>
        <v>-33833875</v>
      </c>
      <c r="K27" s="386">
        <f t="shared" si="5"/>
        <v>-59521453</v>
      </c>
      <c r="L27" s="386">
        <f t="shared" si="5"/>
        <v>-107791143</v>
      </c>
      <c r="M27" s="386">
        <f t="shared" si="5"/>
        <v>-91402894</v>
      </c>
      <c r="N27" s="386">
        <f t="shared" si="5"/>
        <v>-70033550</v>
      </c>
      <c r="O27" s="387">
        <f t="shared" si="5"/>
        <v>0</v>
      </c>
    </row>
    <row r="28" spans="1:17" x14ac:dyDescent="0.25">
      <c r="A28" s="388"/>
    </row>
    <row r="29" spans="1:17" x14ac:dyDescent="0.25">
      <c r="B29" s="390"/>
      <c r="C29" s="391"/>
      <c r="D29" s="391"/>
      <c r="O29" s="392"/>
    </row>
    <row r="30" spans="1:17" x14ac:dyDescent="0.25">
      <c r="O30" s="392"/>
    </row>
    <row r="31" spans="1:17" x14ac:dyDescent="0.25">
      <c r="O31" s="392"/>
    </row>
    <row r="32" spans="1:17" x14ac:dyDescent="0.25">
      <c r="O32" s="392"/>
    </row>
    <row r="33" spans="15:15" x14ac:dyDescent="0.25">
      <c r="O33" s="392"/>
    </row>
    <row r="34" spans="15:15" x14ac:dyDescent="0.25">
      <c r="O34" s="392"/>
    </row>
    <row r="35" spans="15:15" x14ac:dyDescent="0.25">
      <c r="O35" s="392"/>
    </row>
    <row r="36" spans="15:15" x14ac:dyDescent="0.25">
      <c r="O36" s="392"/>
    </row>
    <row r="37" spans="15:15" x14ac:dyDescent="0.25">
      <c r="O37" s="392"/>
    </row>
    <row r="38" spans="15:15" x14ac:dyDescent="0.25">
      <c r="O38" s="392"/>
    </row>
    <row r="39" spans="15:15" x14ac:dyDescent="0.25">
      <c r="O39" s="392"/>
    </row>
    <row r="40" spans="15:15" x14ac:dyDescent="0.25">
      <c r="O40" s="392"/>
    </row>
    <row r="41" spans="15:15" x14ac:dyDescent="0.25">
      <c r="O41" s="392"/>
    </row>
    <row r="42" spans="15:15" x14ac:dyDescent="0.25">
      <c r="O42" s="392"/>
    </row>
    <row r="43" spans="15:15" x14ac:dyDescent="0.25">
      <c r="O43" s="392"/>
    </row>
    <row r="44" spans="15:15" x14ac:dyDescent="0.25">
      <c r="O44" s="392"/>
    </row>
    <row r="45" spans="15:15" x14ac:dyDescent="0.25">
      <c r="O45" s="392"/>
    </row>
    <row r="46" spans="15:15" x14ac:dyDescent="0.25">
      <c r="O46" s="392"/>
    </row>
    <row r="47" spans="15:15" x14ac:dyDescent="0.25">
      <c r="O47" s="392"/>
    </row>
    <row r="48" spans="15:15" x14ac:dyDescent="0.25">
      <c r="O48" s="392"/>
    </row>
    <row r="49" spans="15:15" x14ac:dyDescent="0.25">
      <c r="O49" s="392"/>
    </row>
    <row r="50" spans="15:15" x14ac:dyDescent="0.25">
      <c r="O50" s="392"/>
    </row>
    <row r="51" spans="15:15" x14ac:dyDescent="0.25">
      <c r="O51" s="392"/>
    </row>
    <row r="52" spans="15:15" x14ac:dyDescent="0.25">
      <c r="O52" s="392"/>
    </row>
    <row r="53" spans="15:15" x14ac:dyDescent="0.25">
      <c r="O53" s="392"/>
    </row>
    <row r="54" spans="15:15" x14ac:dyDescent="0.25">
      <c r="O54" s="392"/>
    </row>
    <row r="55" spans="15:15" x14ac:dyDescent="0.25">
      <c r="O55" s="392"/>
    </row>
    <row r="56" spans="15:15" x14ac:dyDescent="0.25">
      <c r="O56" s="392"/>
    </row>
    <row r="57" spans="15:15" x14ac:dyDescent="0.25">
      <c r="O57" s="392"/>
    </row>
    <row r="58" spans="15:15" x14ac:dyDescent="0.25">
      <c r="O58" s="392"/>
    </row>
    <row r="59" spans="15:15" x14ac:dyDescent="0.25">
      <c r="O59" s="392"/>
    </row>
    <row r="60" spans="15:15" x14ac:dyDescent="0.25">
      <c r="O60" s="392"/>
    </row>
    <row r="61" spans="15:15" x14ac:dyDescent="0.25">
      <c r="O61" s="392"/>
    </row>
    <row r="62" spans="15:15" x14ac:dyDescent="0.25">
      <c r="O62" s="392"/>
    </row>
    <row r="63" spans="15:15" x14ac:dyDescent="0.25">
      <c r="O63" s="392"/>
    </row>
    <row r="64" spans="15:15" x14ac:dyDescent="0.25">
      <c r="O64" s="392"/>
    </row>
    <row r="65" spans="15:15" x14ac:dyDescent="0.25">
      <c r="O65" s="392"/>
    </row>
    <row r="66" spans="15:15" x14ac:dyDescent="0.25">
      <c r="O66" s="392"/>
    </row>
    <row r="67" spans="15:15" x14ac:dyDescent="0.25">
      <c r="O67" s="392"/>
    </row>
    <row r="68" spans="15:15" x14ac:dyDescent="0.25">
      <c r="O68" s="392"/>
    </row>
    <row r="69" spans="15:15" x14ac:dyDescent="0.25">
      <c r="O69" s="392"/>
    </row>
    <row r="70" spans="15:15" x14ac:dyDescent="0.25">
      <c r="O70" s="392"/>
    </row>
    <row r="71" spans="15:15" x14ac:dyDescent="0.25">
      <c r="O71" s="392"/>
    </row>
    <row r="72" spans="15:15" x14ac:dyDescent="0.25">
      <c r="O72" s="392"/>
    </row>
    <row r="73" spans="15:15" x14ac:dyDescent="0.25">
      <c r="O73" s="392"/>
    </row>
    <row r="74" spans="15:15" x14ac:dyDescent="0.25">
      <c r="O74" s="392"/>
    </row>
    <row r="75" spans="15:15" x14ac:dyDescent="0.25">
      <c r="O75" s="392"/>
    </row>
    <row r="76" spans="15:15" x14ac:dyDescent="0.25">
      <c r="O76" s="392"/>
    </row>
    <row r="77" spans="15:15" x14ac:dyDescent="0.25">
      <c r="O77" s="392"/>
    </row>
    <row r="78" spans="15:15" x14ac:dyDescent="0.25">
      <c r="O78" s="392"/>
    </row>
    <row r="79" spans="15:15" x14ac:dyDescent="0.25">
      <c r="O79" s="392"/>
    </row>
    <row r="80" spans="15:15" x14ac:dyDescent="0.25">
      <c r="O80" s="392"/>
    </row>
    <row r="81" spans="15:15" x14ac:dyDescent="0.25">
      <c r="O81" s="392"/>
    </row>
    <row r="82" spans="15:15" x14ac:dyDescent="0.25">
      <c r="O82" s="392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8. melléklet a 7/2019.(III.14.)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5</vt:i4>
      </vt:variant>
    </vt:vector>
  </HeadingPairs>
  <TitlesOfParts>
    <vt:vector size="13" baseType="lpstr">
      <vt:lpstr>1.1.sz.mell. </vt:lpstr>
      <vt:lpstr>1.2.sz.mell. </vt:lpstr>
      <vt:lpstr>2.1.sz.mell </vt:lpstr>
      <vt:lpstr>9.4. sz. mell EKIK</vt:lpstr>
      <vt:lpstr>9.4.1. sz. mell EKIK</vt:lpstr>
      <vt:lpstr>int.összesítő</vt:lpstr>
      <vt:lpstr>1.sz tájékoztató t </vt:lpstr>
      <vt:lpstr>4.sz tájékoztató t </vt:lpstr>
      <vt:lpstr>'9.4. sz. mell EKIK'!Nyomtatási_cím</vt:lpstr>
      <vt:lpstr>'9.4.1. sz. mell EKIK'!Nyomtatási_cím</vt:lpstr>
      <vt:lpstr>'1.1.sz.mell. '!Nyomtatási_terület</vt:lpstr>
      <vt:lpstr>'1.2.sz.mell. '!Nyomtatási_terület</vt:lpstr>
      <vt:lpstr>'2.1.sz.mell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2019-03-12T10:18:16Z</cp:lastPrinted>
  <dcterms:created xsi:type="dcterms:W3CDTF">1999-10-30T10:30:45Z</dcterms:created>
  <dcterms:modified xsi:type="dcterms:W3CDTF">2019-03-14T10:38:54Z</dcterms:modified>
</cp:coreProperties>
</file>