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 firstSheet="25"/>
  </bookViews>
  <sheets>
    <sheet name="1.1.sz.mell. " sheetId="1101" r:id="rId1"/>
    <sheet name="1.2.sz.mell. " sheetId="1102" r:id="rId2"/>
    <sheet name="1.3.sz.mell." sheetId="1103" r:id="rId3"/>
    <sheet name="1.4.sz.mell. " sheetId="1104" r:id="rId4"/>
    <sheet name="2.1.sz.mell " sheetId="1105" r:id="rId5"/>
    <sheet name="2.2.sz.mell ." sheetId="1106" r:id="rId6"/>
    <sheet name="6.sz.mell." sheetId="1126" r:id="rId7"/>
    <sheet name="7.sz.mell." sheetId="1051" r:id="rId8"/>
    <sheet name="8.1. sz. mell." sheetId="1082" r:id="rId9"/>
    <sheet name="9.1. sz. mell." sheetId="1109" r:id="rId10"/>
    <sheet name="9.1.1. sz. mell. " sheetId="1110" r:id="rId11"/>
    <sheet name="9.1.2. sz. mell." sheetId="1111" r:id="rId12"/>
    <sheet name="9.2. sz. mell. " sheetId="1112" r:id="rId13"/>
    <sheet name="9.2.1. sz. mell" sheetId="1113" r:id="rId14"/>
    <sheet name="9.2.3. sz. mell." sheetId="1114" r:id="rId15"/>
    <sheet name="9.3. sz. mell" sheetId="1127" r:id="rId16"/>
    <sheet name="9.3.1. sz. mell EOI" sheetId="1128" r:id="rId17"/>
    <sheet name="9.4. sz. mell EKIK" sheetId="1129" r:id="rId18"/>
    <sheet name="9.4.1. sz. mell EKIK" sheetId="1130" r:id="rId19"/>
    <sheet name="9.5. sz. mell VK" sheetId="1131" r:id="rId20"/>
    <sheet name="9.5.1. sz. mell VK " sheetId="1132" r:id="rId21"/>
    <sheet name="9.6. sz. mell Kornisné Kp." sheetId="1133" r:id="rId22"/>
    <sheet name="9.6.1. sz. mell Kornisné Kp. " sheetId="1134" r:id="rId23"/>
    <sheet name="9.6.2. sz. mell Kornisné Kp." sheetId="1135" r:id="rId24"/>
    <sheet name="9.6.3. sz. mell Kornisné Kp " sheetId="1136" r:id="rId25"/>
    <sheet name="9.7. sz. mell TIB  " sheetId="1137" r:id="rId26"/>
    <sheet name="9.7.1. sz. mell TIB  " sheetId="1138" r:id="rId27"/>
    <sheet name="int.összesítő" sheetId="1139" r:id="rId28"/>
    <sheet name="tartalék" sheetId="1121" r:id="rId29"/>
    <sheet name="1.sz tájékoztató t " sheetId="1122" r:id="rId30"/>
    <sheet name="4.sz tájékoztató t " sheetId="1124" r:id="rId31"/>
    <sheet name="5.sz. tájékoztató" sheetId="1080" r:id="rId32"/>
    <sheet name="feladatos Önk. " sheetId="1125" r:id="rId33"/>
  </sheets>
  <definedNames>
    <definedName name="_xlnm.Print_Titles" localSheetId="9">'9.1. sz. mell.'!$1:$6</definedName>
    <definedName name="_xlnm.Print_Titles" localSheetId="10">'9.1.1. sz. mell. '!$1:$6</definedName>
    <definedName name="_xlnm.Print_Titles" localSheetId="11">'9.1.2. sz. mell.'!$1:$6</definedName>
    <definedName name="_xlnm.Print_Titles" localSheetId="12">'9.2. sz. mell. '!$1:$6</definedName>
    <definedName name="_xlnm.Print_Titles" localSheetId="13">'9.2.1. sz. mell'!$1:$6</definedName>
    <definedName name="_xlnm.Print_Titles" localSheetId="14">'9.2.3. sz. mell.'!$1:$6</definedName>
    <definedName name="_xlnm.Print_Titles" localSheetId="15">'9.3. sz. mell'!$1:$6</definedName>
    <definedName name="_xlnm.Print_Titles" localSheetId="16">'9.3.1. sz. mell EOI'!$1:$6</definedName>
    <definedName name="_xlnm.Print_Titles" localSheetId="17">'9.4. sz. mell EKIK'!$1:$6</definedName>
    <definedName name="_xlnm.Print_Titles" localSheetId="18">'9.4.1. sz. mell EKIK'!$1:$6</definedName>
    <definedName name="_xlnm.Print_Titles" localSheetId="19">'9.5. sz. mell VK'!$1:$6</definedName>
    <definedName name="_xlnm.Print_Titles" localSheetId="20">'9.5.1. sz. mell VK '!$1:$6</definedName>
    <definedName name="_xlnm.Print_Titles" localSheetId="21">'9.6. sz. mell Kornisné Kp.'!$1:$6</definedName>
    <definedName name="_xlnm.Print_Titles" localSheetId="22">'9.6.1. sz. mell Kornisné Kp. '!$1:$6</definedName>
    <definedName name="_xlnm.Print_Titles" localSheetId="23">'9.6.2. sz. mell Kornisné Kp.'!$1:$6</definedName>
    <definedName name="_xlnm.Print_Titles" localSheetId="24">'9.6.3. sz. mell Kornisné Kp '!$1:$6</definedName>
    <definedName name="_xlnm.Print_Titles" localSheetId="25">'9.7. sz. mell TIB  '!$1:$6</definedName>
    <definedName name="_xlnm.Print_Titles" localSheetId="26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'!$A$1:$E$32</definedName>
    <definedName name="_xlnm.Print_Area" localSheetId="8">'8.1. sz. mell.'!$A$1:$F$52</definedName>
    <definedName name="_xlnm.Print_Area" localSheetId="9">'9.1. sz. mell.'!$A$1:$C$158</definedName>
    <definedName name="_xlnm.Print_Area" localSheetId="12">'9.2. sz. mell. '!$A$1:$D$62</definedName>
  </definedNames>
  <calcPr calcId="145621"/>
</workbook>
</file>

<file path=xl/calcChain.xml><?xml version="1.0" encoding="utf-8"?>
<calcChain xmlns="http://schemas.openxmlformats.org/spreadsheetml/2006/main">
  <c r="J44" i="1125" l="1"/>
  <c r="J24" i="1125"/>
  <c r="I27" i="1125"/>
  <c r="J27" i="1125"/>
  <c r="I18" i="1125"/>
  <c r="B30" i="1125"/>
  <c r="I45" i="1125"/>
  <c r="I50" i="1125"/>
  <c r="J35" i="1125"/>
  <c r="F33" i="1125"/>
  <c r="B47" i="1080"/>
  <c r="B42" i="1080"/>
  <c r="B43" i="1080"/>
  <c r="G18" i="1124"/>
  <c r="N17" i="1124"/>
  <c r="O9" i="1124"/>
  <c r="N5" i="1124"/>
  <c r="K147" i="1122"/>
  <c r="J147" i="1122"/>
  <c r="I147" i="1122"/>
  <c r="K142" i="1122"/>
  <c r="J142" i="1122"/>
  <c r="J155" i="1122" s="1"/>
  <c r="I142" i="1122"/>
  <c r="K135" i="1122"/>
  <c r="J135" i="1122"/>
  <c r="I135" i="1122"/>
  <c r="I132" i="1122"/>
  <c r="K131" i="1122"/>
  <c r="K155" i="1122" s="1"/>
  <c r="J131" i="1122"/>
  <c r="I131" i="1122"/>
  <c r="I155" i="1122" s="1"/>
  <c r="I120" i="1122"/>
  <c r="I119" i="1122"/>
  <c r="I118" i="1122"/>
  <c r="K117" i="1122"/>
  <c r="I117" i="1122"/>
  <c r="I116" i="1122" s="1"/>
  <c r="K116" i="1122"/>
  <c r="J116" i="1122"/>
  <c r="I115" i="1122"/>
  <c r="I113" i="1122" s="1"/>
  <c r="I114" i="1122"/>
  <c r="K113" i="1122"/>
  <c r="I112" i="1122"/>
  <c r="I101" i="1122"/>
  <c r="I100" i="1122"/>
  <c r="I99" i="1122"/>
  <c r="K98" i="1122"/>
  <c r="J98" i="1122"/>
  <c r="I98" i="1122"/>
  <c r="K97" i="1122"/>
  <c r="J97" i="1122"/>
  <c r="I97" i="1122"/>
  <c r="K96" i="1122"/>
  <c r="K95" i="1122" s="1"/>
  <c r="K130" i="1122" s="1"/>
  <c r="J96" i="1122"/>
  <c r="I96" i="1122"/>
  <c r="J95" i="1122"/>
  <c r="J130" i="1122" s="1"/>
  <c r="J156" i="1122" s="1"/>
  <c r="K81" i="1122"/>
  <c r="J81" i="1122"/>
  <c r="I81" i="1122"/>
  <c r="K77" i="1122"/>
  <c r="J77" i="1122"/>
  <c r="I77" i="1122"/>
  <c r="K75" i="1122"/>
  <c r="J75" i="1122"/>
  <c r="I75" i="1122"/>
  <c r="I74" i="1122" s="1"/>
  <c r="H74" i="1122" s="1"/>
  <c r="K74" i="1122"/>
  <c r="J74" i="1122"/>
  <c r="K69" i="1122"/>
  <c r="J69" i="1122"/>
  <c r="I69" i="1122"/>
  <c r="K65" i="1122"/>
  <c r="K88" i="1122" s="1"/>
  <c r="J65" i="1122"/>
  <c r="J88" i="1122" s="1"/>
  <c r="I65" i="1122"/>
  <c r="I88" i="1122" s="1"/>
  <c r="H88" i="1122" s="1"/>
  <c r="K59" i="1122"/>
  <c r="J59" i="1122"/>
  <c r="I59" i="1122"/>
  <c r="I56" i="1122"/>
  <c r="K54" i="1122"/>
  <c r="J54" i="1122"/>
  <c r="I54" i="1122"/>
  <c r="K48" i="1122"/>
  <c r="J48" i="1122"/>
  <c r="I48" i="1122"/>
  <c r="I47" i="1122"/>
  <c r="K42" i="1122"/>
  <c r="J42" i="1122"/>
  <c r="I42" i="1122"/>
  <c r="I39" i="1122"/>
  <c r="K38" i="1122"/>
  <c r="J38" i="1122"/>
  <c r="I38" i="1122"/>
  <c r="K36" i="1122"/>
  <c r="J36" i="1122"/>
  <c r="I36" i="1122"/>
  <c r="I35" i="1122"/>
  <c r="I34" i="1122"/>
  <c r="I30" i="1122"/>
  <c r="I29" i="1122"/>
  <c r="K28" i="1122"/>
  <c r="J28" i="1122"/>
  <c r="I28" i="1122"/>
  <c r="I27" i="1122"/>
  <c r="I26" i="1122"/>
  <c r="K21" i="1122"/>
  <c r="J21" i="1122"/>
  <c r="I21" i="1122"/>
  <c r="J19" i="1122"/>
  <c r="I19" i="1122"/>
  <c r="K14" i="1122"/>
  <c r="J14" i="1122"/>
  <c r="I14" i="1122"/>
  <c r="I12" i="1122"/>
  <c r="I11" i="1122"/>
  <c r="I10" i="1122"/>
  <c r="K7" i="1122"/>
  <c r="K64" i="1122" s="1"/>
  <c r="K89" i="1122" s="1"/>
  <c r="J7" i="1122"/>
  <c r="J64" i="1122" s="1"/>
  <c r="J89" i="1122" s="1"/>
  <c r="I7" i="1122"/>
  <c r="I64" i="1122" s="1"/>
  <c r="H7" i="1122"/>
  <c r="H8" i="1122"/>
  <c r="H9" i="1122"/>
  <c r="H10" i="1122"/>
  <c r="H11" i="1122"/>
  <c r="H12" i="1122"/>
  <c r="H13" i="1122"/>
  <c r="H14" i="1122"/>
  <c r="H15" i="1122"/>
  <c r="H16" i="1122"/>
  <c r="H17" i="1122"/>
  <c r="H18" i="1122"/>
  <c r="H19" i="1122"/>
  <c r="H20" i="1122"/>
  <c r="H21" i="1122"/>
  <c r="H22" i="1122"/>
  <c r="H23" i="1122"/>
  <c r="H24" i="1122"/>
  <c r="H25" i="1122"/>
  <c r="H26" i="1122"/>
  <c r="H27" i="1122"/>
  <c r="H28" i="1122"/>
  <c r="H29" i="1122"/>
  <c r="H30" i="1122"/>
  <c r="H31" i="1122"/>
  <c r="H32" i="1122"/>
  <c r="H33" i="1122"/>
  <c r="H34" i="1122"/>
  <c r="H35" i="1122"/>
  <c r="H36" i="1122"/>
  <c r="H37" i="1122"/>
  <c r="H38" i="1122"/>
  <c r="H39" i="1122"/>
  <c r="H40" i="1122"/>
  <c r="H41" i="1122"/>
  <c r="H42" i="1122"/>
  <c r="H43" i="1122"/>
  <c r="H44" i="1122"/>
  <c r="H45" i="1122"/>
  <c r="H46" i="1122"/>
  <c r="H47" i="1122"/>
  <c r="H48" i="1122"/>
  <c r="H49" i="1122"/>
  <c r="H50" i="1122"/>
  <c r="H51" i="1122"/>
  <c r="H52" i="1122"/>
  <c r="H53" i="1122"/>
  <c r="H54" i="1122"/>
  <c r="H55" i="1122"/>
  <c r="H56" i="1122"/>
  <c r="H57" i="1122"/>
  <c r="H58" i="1122"/>
  <c r="H59" i="1122"/>
  <c r="H60" i="1122"/>
  <c r="H61" i="1122"/>
  <c r="H62" i="1122"/>
  <c r="H63" i="1122"/>
  <c r="H65" i="1122"/>
  <c r="H66" i="1122"/>
  <c r="H67" i="1122"/>
  <c r="H68" i="1122"/>
  <c r="H69" i="1122"/>
  <c r="H70" i="1122"/>
  <c r="H71" i="1122"/>
  <c r="H72" i="1122"/>
  <c r="H73" i="1122"/>
  <c r="H75" i="1122"/>
  <c r="H76" i="1122"/>
  <c r="H77" i="1122"/>
  <c r="H78" i="1122"/>
  <c r="H79" i="1122"/>
  <c r="H80" i="1122"/>
  <c r="H81" i="1122"/>
  <c r="H82" i="1122"/>
  <c r="H83" i="1122"/>
  <c r="H84" i="1122"/>
  <c r="H85" i="1122"/>
  <c r="H86" i="1122"/>
  <c r="H87" i="1122"/>
  <c r="I95" i="1122" l="1"/>
  <c r="I130" i="1122" s="1"/>
  <c r="I156" i="1122" s="1"/>
  <c r="K156" i="1122"/>
  <c r="I89" i="1122"/>
  <c r="H89" i="1122" s="1"/>
  <c r="H64" i="1122"/>
  <c r="C96" i="1110"/>
  <c r="C115" i="1111"/>
  <c r="C96" i="1111"/>
  <c r="C118" i="1110"/>
  <c r="C117" i="1110"/>
  <c r="C116" i="1110"/>
  <c r="C115" i="1110"/>
  <c r="C98" i="1110"/>
  <c r="C99" i="1110"/>
  <c r="C95" i="1110"/>
  <c r="C94" i="1110"/>
  <c r="C113" i="1110"/>
  <c r="C112" i="1110"/>
  <c r="C115" i="1109"/>
  <c r="C118" i="1109"/>
  <c r="C117" i="1109"/>
  <c r="C116" i="1109"/>
  <c r="C96" i="1109"/>
  <c r="C98" i="1109"/>
  <c r="C99" i="1109"/>
  <c r="C95" i="1109"/>
  <c r="C94" i="1109"/>
  <c r="C113" i="1109"/>
  <c r="C112" i="1109"/>
  <c r="E15" i="1139"/>
  <c r="F15" i="1139"/>
  <c r="G15" i="1139"/>
  <c r="B15" i="1139"/>
  <c r="H16" i="1139"/>
  <c r="G14" i="1139"/>
  <c r="J14" i="1139" s="1"/>
  <c r="C14" i="1139" s="1"/>
  <c r="D14" i="1139" s="1"/>
  <c r="I13" i="1139"/>
  <c r="G13" i="1139"/>
  <c r="F13" i="1139"/>
  <c r="E13" i="1139"/>
  <c r="J13" i="1139" s="1"/>
  <c r="C13" i="1139" s="1"/>
  <c r="B13" i="1139"/>
  <c r="G12" i="1139"/>
  <c r="F12" i="1139"/>
  <c r="E12" i="1139"/>
  <c r="J12" i="1139" s="1"/>
  <c r="C12" i="1139" s="1"/>
  <c r="D12" i="1139" s="1"/>
  <c r="I11" i="1139"/>
  <c r="I16" i="1139" s="1"/>
  <c r="G11" i="1139"/>
  <c r="G16" i="1139" s="1"/>
  <c r="F11" i="1139"/>
  <c r="E11" i="1139"/>
  <c r="J11" i="1139" s="1"/>
  <c r="C11" i="1139" s="1"/>
  <c r="D11" i="1139" s="1"/>
  <c r="J10" i="1139"/>
  <c r="E10" i="1139"/>
  <c r="C51" i="1138"/>
  <c r="C48" i="1138"/>
  <c r="C45" i="1138" s="1"/>
  <c r="C57" i="1138" s="1"/>
  <c r="C40" i="1138"/>
  <c r="C37" i="1138"/>
  <c r="C30" i="1138"/>
  <c r="C26" i="1138"/>
  <c r="C20" i="1138"/>
  <c r="C8" i="1138"/>
  <c r="C36" i="1138" s="1"/>
  <c r="C41" i="1138" s="1"/>
  <c r="C51" i="1137"/>
  <c r="C48" i="1137"/>
  <c r="C45" i="1137" s="1"/>
  <c r="C57" i="1137" s="1"/>
  <c r="C40" i="1137"/>
  <c r="C37" i="1137"/>
  <c r="C30" i="1137"/>
  <c r="C26" i="1137"/>
  <c r="C20" i="1137"/>
  <c r="C8" i="1137"/>
  <c r="C36" i="1137" s="1"/>
  <c r="C41" i="1137" s="1"/>
  <c r="C51" i="1136"/>
  <c r="C45" i="1136"/>
  <c r="C57" i="1136" s="1"/>
  <c r="C37" i="1136"/>
  <c r="C30" i="1136"/>
  <c r="C26" i="1136"/>
  <c r="C20" i="1136"/>
  <c r="C8" i="1136"/>
  <c r="C36" i="1136" s="1"/>
  <c r="C41" i="1136" s="1"/>
  <c r="C52" i="1135"/>
  <c r="C51" i="1135" s="1"/>
  <c r="C48" i="1135"/>
  <c r="C47" i="1135"/>
  <c r="C46" i="1135"/>
  <c r="C45" i="1135"/>
  <c r="C57" i="1135" s="1"/>
  <c r="C40" i="1135"/>
  <c r="C37" i="1135"/>
  <c r="C30" i="1135"/>
  <c r="C26" i="1135"/>
  <c r="C20" i="1135"/>
  <c r="C8" i="1135"/>
  <c r="C36" i="1135" s="1"/>
  <c r="C41" i="1135" s="1"/>
  <c r="C52" i="1134"/>
  <c r="C51" i="1134"/>
  <c r="C48" i="1134"/>
  <c r="C47" i="1134"/>
  <c r="C46" i="1134"/>
  <c r="C45" i="1134"/>
  <c r="C57" i="1134" s="1"/>
  <c r="C40" i="1134"/>
  <c r="C38" i="1134"/>
  <c r="C37" i="1134"/>
  <c r="C30" i="1134"/>
  <c r="C26" i="1134"/>
  <c r="C20" i="1134"/>
  <c r="C8" i="1134"/>
  <c r="C36" i="1134" s="1"/>
  <c r="C41" i="1134" s="1"/>
  <c r="C52" i="1133"/>
  <c r="C51" i="1133"/>
  <c r="C48" i="1133"/>
  <c r="C47" i="1133"/>
  <c r="C46" i="1133"/>
  <c r="C45" i="1133"/>
  <c r="C57" i="1133" s="1"/>
  <c r="C40" i="1133"/>
  <c r="C38" i="1133"/>
  <c r="C37" i="1133"/>
  <c r="C30" i="1133"/>
  <c r="C26" i="1133"/>
  <c r="C20" i="1133"/>
  <c r="C14" i="1133"/>
  <c r="C10" i="1133"/>
  <c r="C8" i="1133" s="1"/>
  <c r="C36" i="1133" s="1"/>
  <c r="C41" i="1133" s="1"/>
  <c r="C51" i="1132"/>
  <c r="C46" i="1132"/>
  <c r="C45" i="1132" s="1"/>
  <c r="C57" i="1132" s="1"/>
  <c r="C40" i="1132"/>
  <c r="C37" i="1132"/>
  <c r="C30" i="1132"/>
  <c r="C26" i="1132"/>
  <c r="C20" i="1132"/>
  <c r="C8" i="1132"/>
  <c r="C36" i="1132" s="1"/>
  <c r="C41" i="1132" s="1"/>
  <c r="C51" i="1131"/>
  <c r="C46" i="1131"/>
  <c r="C45" i="1131"/>
  <c r="C57" i="1131" s="1"/>
  <c r="C40" i="1131"/>
  <c r="C37" i="1131" s="1"/>
  <c r="C30" i="1131"/>
  <c r="C26" i="1131"/>
  <c r="C20" i="1131"/>
  <c r="C8" i="1131"/>
  <c r="C36" i="1131" s="1"/>
  <c r="C41" i="1131" s="1"/>
  <c r="C51" i="1130"/>
  <c r="C48" i="1130"/>
  <c r="C47" i="1130"/>
  <c r="C46" i="1130"/>
  <c r="C45" i="1130" s="1"/>
  <c r="C57" i="1130" s="1"/>
  <c r="C40" i="1130"/>
  <c r="C37" i="1130" s="1"/>
  <c r="C30" i="1130"/>
  <c r="C26" i="1130"/>
  <c r="C20" i="1130"/>
  <c r="C9" i="1130"/>
  <c r="C8" i="1130"/>
  <c r="C36" i="1130" s="1"/>
  <c r="C41" i="1130" s="1"/>
  <c r="C51" i="1129"/>
  <c r="C48" i="1129"/>
  <c r="C47" i="1129"/>
  <c r="C46" i="1129"/>
  <c r="C45" i="1129"/>
  <c r="C57" i="1129" s="1"/>
  <c r="C40" i="1129"/>
  <c r="C37" i="1129" s="1"/>
  <c r="C30" i="1129"/>
  <c r="C26" i="1129"/>
  <c r="C20" i="1129"/>
  <c r="C9" i="1129"/>
  <c r="C8" i="1129" s="1"/>
  <c r="C36" i="1129" s="1"/>
  <c r="C41" i="1129" s="1"/>
  <c r="C52" i="1128"/>
  <c r="C51" i="1128" s="1"/>
  <c r="C48" i="1128"/>
  <c r="C47" i="1128"/>
  <c r="C46" i="1128"/>
  <c r="C45" i="1128" s="1"/>
  <c r="C57" i="1128" s="1"/>
  <c r="C40" i="1128"/>
  <c r="C37" i="1128"/>
  <c r="C30" i="1128"/>
  <c r="C26" i="1128"/>
  <c r="C20" i="1128"/>
  <c r="C8" i="1128"/>
  <c r="C36" i="1128" s="1"/>
  <c r="C41" i="1128" s="1"/>
  <c r="C52" i="1127"/>
  <c r="C51" i="1127"/>
  <c r="C48" i="1127"/>
  <c r="C47" i="1127"/>
  <c r="C46" i="1127"/>
  <c r="C45" i="1127"/>
  <c r="C57" i="1127" s="1"/>
  <c r="C40" i="1127"/>
  <c r="C37" i="1127" s="1"/>
  <c r="C30" i="1127"/>
  <c r="C26" i="1127"/>
  <c r="C20" i="1127"/>
  <c r="C8" i="1127"/>
  <c r="C36" i="1127" s="1"/>
  <c r="C41" i="1127" s="1"/>
  <c r="E16" i="1139" l="1"/>
  <c r="F16" i="1139"/>
  <c r="J15" i="1139"/>
  <c r="C15" i="1139" s="1"/>
  <c r="D15" i="1139" s="1"/>
  <c r="B16" i="1139"/>
  <c r="D13" i="1139"/>
  <c r="C10" i="1139"/>
  <c r="J16" i="1139" l="1"/>
  <c r="C16" i="1139"/>
  <c r="D10" i="1139"/>
  <c r="D16" i="1139" s="1"/>
  <c r="C41" i="1113" l="1"/>
  <c r="C39" i="1113"/>
  <c r="C41" i="1114"/>
  <c r="C23" i="1113"/>
  <c r="C49" i="1114"/>
  <c r="C48" i="1114"/>
  <c r="C47" i="1114"/>
  <c r="C49" i="1113"/>
  <c r="C41" i="1112"/>
  <c r="C49" i="1112"/>
  <c r="C48" i="1112"/>
  <c r="C47" i="1112"/>
  <c r="C39" i="1112"/>
  <c r="C23" i="1112"/>
  <c r="C43" i="1111"/>
  <c r="C13" i="1111"/>
  <c r="C76" i="1110"/>
  <c r="C36" i="1110"/>
  <c r="C35" i="1110"/>
  <c r="C13" i="1110"/>
  <c r="C76" i="1109"/>
  <c r="C43" i="1109"/>
  <c r="C39" i="1109"/>
  <c r="C36" i="1109"/>
  <c r="C35" i="1109"/>
  <c r="C13" i="1109"/>
  <c r="C16" i="1082"/>
  <c r="E5" i="1051"/>
  <c r="B5" i="1051"/>
  <c r="F14" i="1126"/>
  <c r="E7" i="1126"/>
  <c r="B7" i="1126"/>
  <c r="F25" i="1126"/>
  <c r="D20" i="1126"/>
  <c r="D87" i="1126" s="1"/>
  <c r="E20" i="1126"/>
  <c r="F18" i="1126"/>
  <c r="E87" i="1126"/>
  <c r="F86" i="1126"/>
  <c r="F82" i="1126"/>
  <c r="F80" i="1126"/>
  <c r="F76" i="1126"/>
  <c r="F75" i="1126"/>
  <c r="F74" i="1126"/>
  <c r="F73" i="1126"/>
  <c r="F72" i="1126"/>
  <c r="F71" i="1126"/>
  <c r="F70" i="1126"/>
  <c r="F68" i="1126"/>
  <c r="F67" i="1126"/>
  <c r="F66" i="1126"/>
  <c r="F65" i="1126"/>
  <c r="F64" i="1126"/>
  <c r="F61" i="1126"/>
  <c r="F60" i="1126"/>
  <c r="F59" i="1126"/>
  <c r="F58" i="1126"/>
  <c r="F57" i="1126"/>
  <c r="F56" i="1126"/>
  <c r="F55" i="1126"/>
  <c r="F54" i="1126"/>
  <c r="F53" i="1126"/>
  <c r="F52" i="1126"/>
  <c r="F51" i="1126"/>
  <c r="F50" i="1126"/>
  <c r="F49" i="1126"/>
  <c r="F48" i="1126"/>
  <c r="F47" i="1126"/>
  <c r="F46" i="1126"/>
  <c r="F45" i="1126"/>
  <c r="F44" i="1126"/>
  <c r="F43" i="1126"/>
  <c r="F42" i="1126"/>
  <c r="F41" i="1126"/>
  <c r="F40" i="1126"/>
  <c r="F39" i="1126"/>
  <c r="F38" i="1126"/>
  <c r="F37" i="1126"/>
  <c r="F36" i="1126"/>
  <c r="F35" i="1126"/>
  <c r="F34" i="1126"/>
  <c r="F33" i="1126"/>
  <c r="F32" i="1126"/>
  <c r="F31" i="1126"/>
  <c r="F30" i="1126"/>
  <c r="F29" i="1126"/>
  <c r="F28" i="1126"/>
  <c r="F27" i="1126"/>
  <c r="F26" i="1126"/>
  <c r="F24" i="1126"/>
  <c r="F23" i="1126"/>
  <c r="F22" i="1126"/>
  <c r="F21" i="1126"/>
  <c r="B20" i="1126"/>
  <c r="B87" i="1126" s="1"/>
  <c r="F19" i="1126"/>
  <c r="F17" i="1126"/>
  <c r="F16" i="1126"/>
  <c r="F15" i="1126"/>
  <c r="F13" i="1126"/>
  <c r="F11" i="1126"/>
  <c r="F10" i="1126"/>
  <c r="F9" i="1126"/>
  <c r="F8" i="1126"/>
  <c r="F7" i="1126"/>
  <c r="F6" i="1126"/>
  <c r="F5" i="1126"/>
  <c r="F87" i="1126" l="1"/>
  <c r="F20" i="1126"/>
  <c r="D116" i="1102" l="1"/>
  <c r="F115" i="1102"/>
  <c r="D98" i="1102"/>
  <c r="D98" i="1101"/>
  <c r="C96" i="1104"/>
  <c r="D96" i="1102"/>
  <c r="C95" i="1104"/>
  <c r="C94" i="1104"/>
  <c r="F115" i="1103"/>
  <c r="D115" i="1103"/>
  <c r="F96" i="1103"/>
  <c r="D96" i="1103"/>
  <c r="F95" i="1103"/>
  <c r="F94" i="1103"/>
  <c r="D118" i="1102"/>
  <c r="D117" i="1102"/>
  <c r="D115" i="1102"/>
  <c r="D113" i="1102"/>
  <c r="D112" i="1102"/>
  <c r="D99" i="1102"/>
  <c r="F96" i="1102"/>
  <c r="E96" i="1102"/>
  <c r="D95" i="1102"/>
  <c r="F95" i="1102"/>
  <c r="D94" i="1102"/>
  <c r="F94" i="1102"/>
  <c r="E9" i="1112"/>
  <c r="E10" i="1112"/>
  <c r="E11" i="1112"/>
  <c r="E12" i="1112"/>
  <c r="E13" i="1112"/>
  <c r="E14" i="1112"/>
  <c r="E15" i="1112"/>
  <c r="E16" i="1112"/>
  <c r="E17" i="1112"/>
  <c r="E18" i="1112"/>
  <c r="E19" i="1112"/>
  <c r="E21" i="1112"/>
  <c r="E22" i="1112"/>
  <c r="E23" i="1112"/>
  <c r="E24" i="1112"/>
  <c r="E25" i="1112"/>
  <c r="E26" i="1112"/>
  <c r="E27" i="1112"/>
  <c r="E28" i="1112"/>
  <c r="E29" i="1112"/>
  <c r="E30" i="1112"/>
  <c r="E31" i="1112"/>
  <c r="E32" i="1112"/>
  <c r="E33" i="1112"/>
  <c r="E34" i="1112"/>
  <c r="E35" i="1112"/>
  <c r="E36" i="1112"/>
  <c r="E39" i="1112"/>
  <c r="E40" i="1112"/>
  <c r="E41" i="1112"/>
  <c r="E43" i="1112"/>
  <c r="E44" i="1112"/>
  <c r="E45" i="1112"/>
  <c r="E47" i="1112"/>
  <c r="E48" i="1112"/>
  <c r="E49" i="1112"/>
  <c r="E50" i="1112"/>
  <c r="E51" i="1112"/>
  <c r="E52" i="1112"/>
  <c r="E53" i="1112"/>
  <c r="E54" i="1112"/>
  <c r="E55" i="1112"/>
  <c r="E56" i="1112"/>
  <c r="E57" i="1112"/>
  <c r="E59" i="1112"/>
  <c r="E60" i="1112"/>
  <c r="E61" i="1112"/>
  <c r="E8" i="1112"/>
  <c r="D158" i="1109"/>
  <c r="D156" i="1109"/>
  <c r="D157" i="1109"/>
  <c r="F9" i="1109"/>
  <c r="F10" i="1109"/>
  <c r="F11" i="1109"/>
  <c r="F12" i="1109"/>
  <c r="F14" i="1109"/>
  <c r="F15" i="1109"/>
  <c r="F16" i="1109"/>
  <c r="F17" i="1109"/>
  <c r="F18" i="1109"/>
  <c r="F19" i="1109"/>
  <c r="F20" i="1109"/>
  <c r="F21" i="1109"/>
  <c r="F22" i="1109"/>
  <c r="F23" i="1109"/>
  <c r="F24" i="1109"/>
  <c r="F25" i="1109"/>
  <c r="F26" i="1109"/>
  <c r="F27" i="1109"/>
  <c r="F28" i="1109"/>
  <c r="F30" i="1109"/>
  <c r="F31" i="1109"/>
  <c r="F32" i="1109"/>
  <c r="F33" i="1109"/>
  <c r="F34" i="1109"/>
  <c r="F38" i="1109"/>
  <c r="F40" i="1109"/>
  <c r="F41" i="1109"/>
  <c r="F42" i="1109"/>
  <c r="F44" i="1109"/>
  <c r="F45" i="1109"/>
  <c r="F46" i="1109"/>
  <c r="F47" i="1109"/>
  <c r="F48" i="1109"/>
  <c r="F49" i="1109"/>
  <c r="F50" i="1109"/>
  <c r="F51" i="1109"/>
  <c r="F52" i="1109"/>
  <c r="F53" i="1109"/>
  <c r="F54" i="1109"/>
  <c r="F55" i="1109"/>
  <c r="F56" i="1109"/>
  <c r="F57" i="1109"/>
  <c r="F58" i="1109"/>
  <c r="F59" i="1109"/>
  <c r="F60" i="1109"/>
  <c r="F61" i="1109"/>
  <c r="F62" i="1109"/>
  <c r="F63" i="1109"/>
  <c r="F64" i="1109"/>
  <c r="F66" i="1109"/>
  <c r="F67" i="1109"/>
  <c r="F68" i="1109"/>
  <c r="F69" i="1109"/>
  <c r="F70" i="1109"/>
  <c r="F71" i="1109"/>
  <c r="F72" i="1109"/>
  <c r="F73" i="1109"/>
  <c r="F74" i="1109"/>
  <c r="F77" i="1109"/>
  <c r="F78" i="1109"/>
  <c r="F79" i="1109"/>
  <c r="F80" i="1109"/>
  <c r="F81" i="1109"/>
  <c r="F82" i="1109"/>
  <c r="F83" i="1109"/>
  <c r="F84" i="1109"/>
  <c r="F85" i="1109"/>
  <c r="F86" i="1109"/>
  <c r="F87" i="1109"/>
  <c r="F88" i="1109"/>
  <c r="F91" i="1109"/>
  <c r="F92" i="1109"/>
  <c r="F97" i="1109"/>
  <c r="F98" i="1109"/>
  <c r="F100" i="1109"/>
  <c r="F101" i="1109"/>
  <c r="F102" i="1109"/>
  <c r="F103" i="1109"/>
  <c r="F104" i="1109"/>
  <c r="F105" i="1109"/>
  <c r="F106" i="1109"/>
  <c r="F107" i="1109"/>
  <c r="F108" i="1109"/>
  <c r="F109" i="1109"/>
  <c r="F110" i="1109"/>
  <c r="F112" i="1109"/>
  <c r="F119" i="1109"/>
  <c r="F120" i="1109"/>
  <c r="F121" i="1109"/>
  <c r="F122" i="1109"/>
  <c r="F123" i="1109"/>
  <c r="F124" i="1109"/>
  <c r="F125" i="1109"/>
  <c r="F126" i="1109"/>
  <c r="F127" i="1109"/>
  <c r="F129" i="1109"/>
  <c r="F130" i="1109"/>
  <c r="F131" i="1109"/>
  <c r="F132" i="1109"/>
  <c r="F133" i="1109"/>
  <c r="F134" i="1109"/>
  <c r="F135" i="1109"/>
  <c r="F136" i="1109"/>
  <c r="F137" i="1109"/>
  <c r="F138" i="1109"/>
  <c r="F139" i="1109"/>
  <c r="F140" i="1109"/>
  <c r="F141" i="1109"/>
  <c r="F142" i="1109"/>
  <c r="F143" i="1109"/>
  <c r="F144" i="1109"/>
  <c r="F145" i="1109"/>
  <c r="F146" i="1109"/>
  <c r="F147" i="1109"/>
  <c r="F148" i="1109"/>
  <c r="F149" i="1109"/>
  <c r="F150" i="1109"/>
  <c r="F151" i="1109"/>
  <c r="F152" i="1109"/>
  <c r="F153" i="1109"/>
  <c r="F154" i="1109"/>
  <c r="F156" i="1109"/>
  <c r="F157" i="1109"/>
  <c r="F158" i="1109"/>
  <c r="D9" i="1109"/>
  <c r="D10" i="1109"/>
  <c r="D11" i="1109"/>
  <c r="D12" i="1109"/>
  <c r="D13" i="1109"/>
  <c r="F13" i="1109" s="1"/>
  <c r="D14" i="1109"/>
  <c r="D15" i="1109"/>
  <c r="D16" i="1109"/>
  <c r="D17" i="1109"/>
  <c r="D18" i="1109"/>
  <c r="D19" i="1109"/>
  <c r="D20" i="1109"/>
  <c r="D21" i="1109"/>
  <c r="D22" i="1109"/>
  <c r="D23" i="1109"/>
  <c r="D24" i="1109"/>
  <c r="D25" i="1109"/>
  <c r="D26" i="1109"/>
  <c r="D27" i="1109"/>
  <c r="D28" i="1109"/>
  <c r="D30" i="1109"/>
  <c r="D31" i="1109"/>
  <c r="D32" i="1109"/>
  <c r="D33" i="1109"/>
  <c r="D34" i="1109"/>
  <c r="D35" i="1109"/>
  <c r="F35" i="1109" s="1"/>
  <c r="D36" i="1109"/>
  <c r="F36" i="1109" s="1"/>
  <c r="D38" i="1109"/>
  <c r="D39" i="1109"/>
  <c r="F39" i="1109" s="1"/>
  <c r="D40" i="1109"/>
  <c r="D41" i="1109"/>
  <c r="D42" i="1109"/>
  <c r="D43" i="1109"/>
  <c r="F43" i="1109" s="1"/>
  <c r="D44" i="1109"/>
  <c r="D45" i="1109"/>
  <c r="D46" i="1109"/>
  <c r="D47" i="1109"/>
  <c r="D48" i="1109"/>
  <c r="D49" i="1109"/>
  <c r="D50" i="1109"/>
  <c r="D51" i="1109"/>
  <c r="D52" i="1109"/>
  <c r="D53" i="1109"/>
  <c r="D54" i="1109"/>
  <c r="D55" i="1109"/>
  <c r="D56" i="1109"/>
  <c r="D57" i="1109"/>
  <c r="D58" i="1109"/>
  <c r="D59" i="1109"/>
  <c r="D60" i="1109"/>
  <c r="D61" i="1109"/>
  <c r="D62" i="1109"/>
  <c r="D63" i="1109"/>
  <c r="D64" i="1109"/>
  <c r="D66" i="1109"/>
  <c r="D67" i="1109"/>
  <c r="D68" i="1109"/>
  <c r="D69" i="1109"/>
  <c r="D70" i="1109"/>
  <c r="D71" i="1109"/>
  <c r="D72" i="1109"/>
  <c r="D73" i="1109"/>
  <c r="D74" i="1109"/>
  <c r="D76" i="1109"/>
  <c r="F76" i="1109" s="1"/>
  <c r="D77" i="1109"/>
  <c r="D78" i="1109"/>
  <c r="D79" i="1109"/>
  <c r="D80" i="1109"/>
  <c r="D81" i="1109"/>
  <c r="D82" i="1109"/>
  <c r="D83" i="1109"/>
  <c r="D84" i="1109"/>
  <c r="D85" i="1109"/>
  <c r="D86" i="1109"/>
  <c r="D87" i="1109"/>
  <c r="D88" i="1109"/>
  <c r="D91" i="1109"/>
  <c r="D92" i="1109"/>
  <c r="D94" i="1109"/>
  <c r="F94" i="1109" s="1"/>
  <c r="D95" i="1109"/>
  <c r="F95" i="1109" s="1"/>
  <c r="D96" i="1109"/>
  <c r="F96" i="1109" s="1"/>
  <c r="D97" i="1109"/>
  <c r="D98" i="1109"/>
  <c r="D99" i="1109"/>
  <c r="F99" i="1109" s="1"/>
  <c r="D100" i="1109"/>
  <c r="D101" i="1109"/>
  <c r="D102" i="1109"/>
  <c r="D103" i="1109"/>
  <c r="D104" i="1109"/>
  <c r="D105" i="1109"/>
  <c r="D106" i="1109"/>
  <c r="D107" i="1109"/>
  <c r="D108" i="1109"/>
  <c r="D109" i="1109"/>
  <c r="D110" i="1109"/>
  <c r="D112" i="1109"/>
  <c r="D113" i="1109"/>
  <c r="F113" i="1109" s="1"/>
  <c r="D115" i="1109"/>
  <c r="F115" i="1109" s="1"/>
  <c r="D116" i="1109"/>
  <c r="F116" i="1109" s="1"/>
  <c r="D117" i="1109"/>
  <c r="F117" i="1109" s="1"/>
  <c r="D118" i="1109"/>
  <c r="F118" i="1109" s="1"/>
  <c r="D119" i="1109"/>
  <c r="D120" i="1109"/>
  <c r="D121" i="1109"/>
  <c r="D122" i="1109"/>
  <c r="D123" i="1109"/>
  <c r="D124" i="1109"/>
  <c r="D125" i="1109"/>
  <c r="D126" i="1109"/>
  <c r="D127" i="1109"/>
  <c r="D129" i="1109"/>
  <c r="D130" i="1109"/>
  <c r="D131" i="1109"/>
  <c r="D132" i="1109"/>
  <c r="D133" i="1109"/>
  <c r="D134" i="1109"/>
  <c r="D135" i="1109"/>
  <c r="D136" i="1109"/>
  <c r="D137" i="1109"/>
  <c r="D138" i="1109"/>
  <c r="D139" i="1109"/>
  <c r="D140" i="1109"/>
  <c r="D141" i="1109"/>
  <c r="D142" i="1109"/>
  <c r="D143" i="1109"/>
  <c r="D144" i="1109"/>
  <c r="D145" i="1109"/>
  <c r="D146" i="1109"/>
  <c r="D147" i="1109"/>
  <c r="D148" i="1109"/>
  <c r="D149" i="1109"/>
  <c r="D150" i="1109"/>
  <c r="D151" i="1109"/>
  <c r="D152" i="1109"/>
  <c r="D153" i="1109"/>
  <c r="D154" i="1109"/>
  <c r="H97" i="1101"/>
  <c r="H100" i="1101"/>
  <c r="H101" i="1101"/>
  <c r="H102" i="1101"/>
  <c r="H103" i="1101"/>
  <c r="H104" i="1101"/>
  <c r="H105" i="1101"/>
  <c r="H106" i="1101"/>
  <c r="H107" i="1101"/>
  <c r="H108" i="1101"/>
  <c r="H109" i="1101"/>
  <c r="H110" i="1101"/>
  <c r="H119" i="1101"/>
  <c r="H120" i="1101"/>
  <c r="H121" i="1101"/>
  <c r="H122" i="1101"/>
  <c r="H123" i="1101"/>
  <c r="H124" i="1101"/>
  <c r="H125" i="1101"/>
  <c r="H126" i="1101"/>
  <c r="H127" i="1101"/>
  <c r="H129" i="1101"/>
  <c r="H130" i="1101"/>
  <c r="H131" i="1101"/>
  <c r="H132" i="1101"/>
  <c r="H133" i="1101"/>
  <c r="H134" i="1101"/>
  <c r="H135" i="1101"/>
  <c r="H136" i="1101"/>
  <c r="H137" i="1101"/>
  <c r="H138" i="1101"/>
  <c r="H139" i="1101"/>
  <c r="H140" i="1101"/>
  <c r="H141" i="1101"/>
  <c r="H142" i="1101"/>
  <c r="H143" i="1101"/>
  <c r="H144" i="1101"/>
  <c r="H145" i="1101"/>
  <c r="H146" i="1101"/>
  <c r="H147" i="1101"/>
  <c r="H148" i="1101"/>
  <c r="H149" i="1101"/>
  <c r="H150" i="1101"/>
  <c r="H151" i="1101"/>
  <c r="H152" i="1101"/>
  <c r="H153" i="1101"/>
  <c r="H6" i="1101"/>
  <c r="H7" i="1101"/>
  <c r="H8" i="1101"/>
  <c r="H9" i="1101"/>
  <c r="H10" i="1101"/>
  <c r="H11" i="1101"/>
  <c r="H12" i="1101"/>
  <c r="H13" i="1101"/>
  <c r="H14" i="1101"/>
  <c r="H15" i="1101"/>
  <c r="H16" i="1101"/>
  <c r="H17" i="1101"/>
  <c r="H18" i="1101"/>
  <c r="H19" i="1101"/>
  <c r="H20" i="1101"/>
  <c r="H21" i="1101"/>
  <c r="H22" i="1101"/>
  <c r="H23" i="1101"/>
  <c r="H24" i="1101"/>
  <c r="H25" i="1101"/>
  <c r="H26" i="1101"/>
  <c r="H27" i="1101"/>
  <c r="H28" i="1101"/>
  <c r="H29" i="1101"/>
  <c r="H30" i="1101"/>
  <c r="H31" i="1101"/>
  <c r="H32" i="1101"/>
  <c r="H33" i="1101"/>
  <c r="H34" i="1101"/>
  <c r="H35" i="1101"/>
  <c r="H36" i="1101"/>
  <c r="H37" i="1101"/>
  <c r="H38" i="1101"/>
  <c r="H39" i="1101"/>
  <c r="H40" i="1101"/>
  <c r="H41" i="1101"/>
  <c r="H42" i="1101"/>
  <c r="H43" i="1101"/>
  <c r="H44" i="1101"/>
  <c r="H45" i="1101"/>
  <c r="H46" i="1101"/>
  <c r="H47" i="1101"/>
  <c r="H48" i="1101"/>
  <c r="H49" i="1101"/>
  <c r="H50" i="1101"/>
  <c r="H51" i="1101"/>
  <c r="H52" i="1101"/>
  <c r="H53" i="1101"/>
  <c r="H54" i="1101"/>
  <c r="H55" i="1101"/>
  <c r="H56" i="1101"/>
  <c r="H57" i="1101"/>
  <c r="H58" i="1101"/>
  <c r="H59" i="1101"/>
  <c r="H60" i="1101"/>
  <c r="H61" i="1101"/>
  <c r="H62" i="1101"/>
  <c r="H63" i="1101"/>
  <c r="H64" i="1101"/>
  <c r="H65" i="1101"/>
  <c r="H66" i="1101"/>
  <c r="H67" i="1101"/>
  <c r="H68" i="1101"/>
  <c r="H69" i="1101"/>
  <c r="H70" i="1101"/>
  <c r="H71" i="1101"/>
  <c r="H72" i="1101"/>
  <c r="H73" i="1101"/>
  <c r="H74" i="1101"/>
  <c r="H75" i="1101"/>
  <c r="H76" i="1101"/>
  <c r="H77" i="1101"/>
  <c r="H78" i="1101"/>
  <c r="H79" i="1101"/>
  <c r="H80" i="1101"/>
  <c r="H81" i="1101"/>
  <c r="H82" i="1101"/>
  <c r="H83" i="1101"/>
  <c r="H84" i="1101"/>
  <c r="H85" i="1101"/>
  <c r="H86" i="1101"/>
  <c r="H87" i="1101"/>
  <c r="H5" i="1101"/>
  <c r="E40" i="1103" l="1"/>
  <c r="D40" i="1103"/>
  <c r="E36" i="1103"/>
  <c r="D10" i="1103"/>
  <c r="E73" i="1102"/>
  <c r="D73" i="1102"/>
  <c r="D33" i="1102"/>
  <c r="D32" i="1102"/>
  <c r="E17" i="1102"/>
  <c r="D10" i="1102"/>
  <c r="D117" i="1101" l="1"/>
  <c r="D115" i="1101"/>
  <c r="D112" i="1101"/>
  <c r="D96" i="1101"/>
  <c r="D118" i="1101"/>
  <c r="D116" i="1101"/>
  <c r="F115" i="1101"/>
  <c r="D113" i="1101"/>
  <c r="D99" i="1101"/>
  <c r="E96" i="1101"/>
  <c r="F96" i="1101"/>
  <c r="F95" i="1101"/>
  <c r="E95" i="1101"/>
  <c r="D95" i="1101"/>
  <c r="F94" i="1101"/>
  <c r="E94" i="1101"/>
  <c r="D94" i="1101"/>
  <c r="E73" i="1101"/>
  <c r="D73" i="1101"/>
  <c r="F40" i="1101"/>
  <c r="D40" i="1101"/>
  <c r="F36" i="1101"/>
  <c r="D36" i="1101"/>
  <c r="D33" i="1101"/>
  <c r="D32" i="1101"/>
  <c r="E17" i="1101"/>
  <c r="D10" i="1101"/>
  <c r="N53" i="1125" l="1"/>
  <c r="N51" i="1125"/>
  <c r="G51" i="1125"/>
  <c r="N50" i="1125"/>
  <c r="G50" i="1125"/>
  <c r="N49" i="1125"/>
  <c r="G49" i="1125"/>
  <c r="N48" i="1125"/>
  <c r="G48" i="1125"/>
  <c r="I47" i="1125"/>
  <c r="N47" i="1125" s="1"/>
  <c r="G47" i="1125"/>
  <c r="N46" i="1125"/>
  <c r="G46" i="1125"/>
  <c r="N45" i="1125"/>
  <c r="J45" i="1125"/>
  <c r="G45" i="1125"/>
  <c r="B45" i="1125"/>
  <c r="I44" i="1125"/>
  <c r="N44" i="1125" s="1"/>
  <c r="C44" i="1125"/>
  <c r="G44" i="1125" s="1"/>
  <c r="I43" i="1125"/>
  <c r="N43" i="1125" s="1"/>
  <c r="G43" i="1125"/>
  <c r="N42" i="1125"/>
  <c r="G42" i="1125"/>
  <c r="N41" i="1125"/>
  <c r="G41" i="1125"/>
  <c r="N40" i="1125"/>
  <c r="G40" i="1125"/>
  <c r="N39" i="1125"/>
  <c r="I39" i="1125"/>
  <c r="G39" i="1125"/>
  <c r="N38" i="1125"/>
  <c r="G38" i="1125"/>
  <c r="I37" i="1125"/>
  <c r="N37" i="1125" s="1"/>
  <c r="G37" i="1125"/>
  <c r="N36" i="1125"/>
  <c r="G36" i="1125"/>
  <c r="N35" i="1125"/>
  <c r="I35" i="1125"/>
  <c r="G35" i="1125"/>
  <c r="N34" i="1125"/>
  <c r="G34" i="1125"/>
  <c r="N33" i="1125"/>
  <c r="G33" i="1125"/>
  <c r="L32" i="1125"/>
  <c r="I32" i="1125"/>
  <c r="N32" i="1125" s="1"/>
  <c r="G32" i="1125"/>
  <c r="G31" i="1125"/>
  <c r="N30" i="1125"/>
  <c r="G30" i="1125"/>
  <c r="N29" i="1125"/>
  <c r="B29" i="1125"/>
  <c r="G29" i="1125" s="1"/>
  <c r="G28" i="1125" s="1"/>
  <c r="M28" i="1125"/>
  <c r="M52" i="1125" s="1"/>
  <c r="M54" i="1125" s="1"/>
  <c r="L28" i="1125"/>
  <c r="L52" i="1125" s="1"/>
  <c r="L54" i="1125" s="1"/>
  <c r="K28" i="1125"/>
  <c r="J28" i="1125"/>
  <c r="J52" i="1125" s="1"/>
  <c r="J54" i="1125" s="1"/>
  <c r="I28" i="1125"/>
  <c r="N28" i="1125" s="1"/>
  <c r="F28" i="1125"/>
  <c r="F52" i="1125" s="1"/>
  <c r="F54" i="1125" s="1"/>
  <c r="E28" i="1125"/>
  <c r="E52" i="1125" s="1"/>
  <c r="E54" i="1125" s="1"/>
  <c r="D28" i="1125"/>
  <c r="C28" i="1125"/>
  <c r="B28" i="1125"/>
  <c r="N27" i="1125"/>
  <c r="B27" i="1125"/>
  <c r="G27" i="1125" s="1"/>
  <c r="N26" i="1125"/>
  <c r="G26" i="1125"/>
  <c r="N25" i="1125"/>
  <c r="G25" i="1125"/>
  <c r="N24" i="1125"/>
  <c r="G24" i="1125"/>
  <c r="N23" i="1125"/>
  <c r="G23" i="1125"/>
  <c r="N22" i="1125"/>
  <c r="G22" i="1125"/>
  <c r="N21" i="1125"/>
  <c r="G21" i="1125"/>
  <c r="D21" i="1125"/>
  <c r="N20" i="1125"/>
  <c r="K20" i="1125"/>
  <c r="K52" i="1125" s="1"/>
  <c r="K54" i="1125" s="1"/>
  <c r="G20" i="1125"/>
  <c r="D20" i="1125"/>
  <c r="D52" i="1125" s="1"/>
  <c r="D54" i="1125" s="1"/>
  <c r="C20" i="1125"/>
  <c r="B20" i="1125"/>
  <c r="N19" i="1125"/>
  <c r="G19" i="1125"/>
  <c r="N18" i="1125"/>
  <c r="I52" i="1125"/>
  <c r="I54" i="1125" s="1"/>
  <c r="G18" i="1125"/>
  <c r="B18" i="1125"/>
  <c r="B52" i="1125" s="1"/>
  <c r="B54" i="1125" s="1"/>
  <c r="N17" i="1125"/>
  <c r="G17" i="1125"/>
  <c r="N16" i="1125"/>
  <c r="G16" i="1125"/>
  <c r="N15" i="1125"/>
  <c r="G15" i="1125"/>
  <c r="N14" i="1125"/>
  <c r="G14" i="1125"/>
  <c r="N13" i="1125"/>
  <c r="H13" i="1125"/>
  <c r="H52" i="1125" s="1"/>
  <c r="H54" i="1125" s="1"/>
  <c r="G13" i="1125"/>
  <c r="N12" i="1125"/>
  <c r="C12" i="1125"/>
  <c r="C52" i="1125" s="1"/>
  <c r="C54" i="1125" s="1"/>
  <c r="N11" i="1125"/>
  <c r="G11" i="1125"/>
  <c r="N10" i="1125"/>
  <c r="G10" i="1125"/>
  <c r="N9" i="1125"/>
  <c r="G9" i="1125"/>
  <c r="R26" i="1124"/>
  <c r="C26" i="1124"/>
  <c r="O25" i="1124"/>
  <c r="S25" i="1124" s="1"/>
  <c r="O24" i="1124"/>
  <c r="S24" i="1124" s="1"/>
  <c r="I23" i="1124"/>
  <c r="O23" i="1124" s="1"/>
  <c r="S23" i="1124" s="1"/>
  <c r="O22" i="1124"/>
  <c r="S22" i="1124" s="1"/>
  <c r="O21" i="1124"/>
  <c r="S21" i="1124" s="1"/>
  <c r="F21" i="1124"/>
  <c r="O20" i="1124"/>
  <c r="S20" i="1124" s="1"/>
  <c r="S19" i="1124"/>
  <c r="O19" i="1124"/>
  <c r="F18" i="1124"/>
  <c r="O18" i="1124" s="1"/>
  <c r="S18" i="1124" s="1"/>
  <c r="N26" i="1124"/>
  <c r="M26" i="1124"/>
  <c r="L26" i="1124"/>
  <c r="K26" i="1124"/>
  <c r="J26" i="1124"/>
  <c r="I26" i="1124"/>
  <c r="H26" i="1124"/>
  <c r="G26" i="1124"/>
  <c r="F17" i="1124"/>
  <c r="D17" i="1124"/>
  <c r="O17" i="1124" s="1"/>
  <c r="S17" i="1124" s="1"/>
  <c r="F16" i="1124"/>
  <c r="F26" i="1124" s="1"/>
  <c r="E16" i="1124"/>
  <c r="E26" i="1124" s="1"/>
  <c r="D16" i="1124"/>
  <c r="D26" i="1124" s="1"/>
  <c r="S15" i="1124"/>
  <c r="R14" i="1124"/>
  <c r="C13" i="1124"/>
  <c r="C14" i="1124" s="1"/>
  <c r="O12" i="1124"/>
  <c r="S12" i="1124" s="1"/>
  <c r="O11" i="1124"/>
  <c r="S11" i="1124" s="1"/>
  <c r="O10" i="1124"/>
  <c r="S10" i="1124" s="1"/>
  <c r="N14" i="1124"/>
  <c r="M14" i="1124"/>
  <c r="L14" i="1124"/>
  <c r="K14" i="1124"/>
  <c r="J14" i="1124"/>
  <c r="I14" i="1124"/>
  <c r="H14" i="1124"/>
  <c r="G14" i="1124"/>
  <c r="S9" i="1124"/>
  <c r="D14" i="1124"/>
  <c r="D27" i="1124" s="1"/>
  <c r="S8" i="1124"/>
  <c r="O8" i="1124"/>
  <c r="S7" i="1124"/>
  <c r="O7" i="1124"/>
  <c r="F6" i="1124"/>
  <c r="O6" i="1124" s="1"/>
  <c r="S6" i="1124" s="1"/>
  <c r="O5" i="1124"/>
  <c r="S5" i="1124" s="1"/>
  <c r="E5" i="1124"/>
  <c r="E14" i="1124" s="1"/>
  <c r="E27" i="1124" s="1"/>
  <c r="H154" i="1122"/>
  <c r="D154" i="1122"/>
  <c r="D155" i="1122" s="1"/>
  <c r="H153" i="1122"/>
  <c r="D153" i="1122"/>
  <c r="H152" i="1122"/>
  <c r="D152" i="1122"/>
  <c r="H151" i="1122"/>
  <c r="D151" i="1122"/>
  <c r="H150" i="1122"/>
  <c r="D150" i="1122"/>
  <c r="H149" i="1122"/>
  <c r="D149" i="1122"/>
  <c r="H148" i="1122"/>
  <c r="D148" i="1122"/>
  <c r="H147" i="1122"/>
  <c r="G147" i="1122"/>
  <c r="F147" i="1122"/>
  <c r="E147" i="1122"/>
  <c r="D147" i="1122"/>
  <c r="C147" i="1122"/>
  <c r="C155" i="1122" s="1"/>
  <c r="H146" i="1122"/>
  <c r="D146" i="1122"/>
  <c r="H145" i="1122"/>
  <c r="D145" i="1122"/>
  <c r="H144" i="1122"/>
  <c r="E144" i="1122"/>
  <c r="D144" i="1122"/>
  <c r="H143" i="1122"/>
  <c r="D143" i="1122"/>
  <c r="H142" i="1122"/>
  <c r="G142" i="1122"/>
  <c r="F142" i="1122"/>
  <c r="E142" i="1122"/>
  <c r="D142" i="1122"/>
  <c r="C142" i="1122"/>
  <c r="H141" i="1122"/>
  <c r="D141" i="1122"/>
  <c r="H140" i="1122"/>
  <c r="D140" i="1122"/>
  <c r="H139" i="1122"/>
  <c r="D139" i="1122"/>
  <c r="H138" i="1122"/>
  <c r="D138" i="1122"/>
  <c r="H137" i="1122"/>
  <c r="D137" i="1122"/>
  <c r="H136" i="1122"/>
  <c r="D136" i="1122"/>
  <c r="H135" i="1122"/>
  <c r="G135" i="1122"/>
  <c r="F135" i="1122"/>
  <c r="E135" i="1122"/>
  <c r="D135" i="1122"/>
  <c r="C135" i="1122"/>
  <c r="H134" i="1122"/>
  <c r="D134" i="1122"/>
  <c r="H133" i="1122"/>
  <c r="D133" i="1122"/>
  <c r="H132" i="1122"/>
  <c r="D132" i="1122"/>
  <c r="G131" i="1122"/>
  <c r="G155" i="1122" s="1"/>
  <c r="F131" i="1122"/>
  <c r="F155" i="1122" s="1"/>
  <c r="E131" i="1122"/>
  <c r="E155" i="1122" s="1"/>
  <c r="D131" i="1122"/>
  <c r="C131" i="1122"/>
  <c r="H129" i="1122"/>
  <c r="E129" i="1122"/>
  <c r="D129" i="1122"/>
  <c r="H128" i="1122"/>
  <c r="D128" i="1122"/>
  <c r="H127" i="1122"/>
  <c r="D127" i="1122"/>
  <c r="H126" i="1122"/>
  <c r="D126" i="1122"/>
  <c r="H125" i="1122"/>
  <c r="D125" i="1122"/>
  <c r="H124" i="1122"/>
  <c r="D124" i="1122"/>
  <c r="H123" i="1122"/>
  <c r="D123" i="1122"/>
  <c r="H122" i="1122"/>
  <c r="D122" i="1122"/>
  <c r="D121" i="1122" s="1"/>
  <c r="D116" i="1122" s="1"/>
  <c r="H121" i="1122"/>
  <c r="E121" i="1122"/>
  <c r="H120" i="1122"/>
  <c r="D120" i="1122"/>
  <c r="H119" i="1122"/>
  <c r="E119" i="1122"/>
  <c r="D119" i="1122"/>
  <c r="H118" i="1122"/>
  <c r="E118" i="1122"/>
  <c r="D118" i="1122"/>
  <c r="H117" i="1122"/>
  <c r="E117" i="1122"/>
  <c r="D117" i="1122"/>
  <c r="H116" i="1122"/>
  <c r="G116" i="1122"/>
  <c r="F116" i="1122"/>
  <c r="E116" i="1122"/>
  <c r="C116" i="1122"/>
  <c r="C130" i="1122" s="1"/>
  <c r="H115" i="1122"/>
  <c r="E115" i="1122"/>
  <c r="D115" i="1122"/>
  <c r="H114" i="1122"/>
  <c r="E114" i="1122"/>
  <c r="D114" i="1122"/>
  <c r="H113" i="1122"/>
  <c r="G113" i="1122"/>
  <c r="E113" i="1122"/>
  <c r="D113" i="1122"/>
  <c r="C113" i="1122"/>
  <c r="H112" i="1122"/>
  <c r="E112" i="1122"/>
  <c r="D112" i="1122" s="1"/>
  <c r="D100" i="1122" s="1"/>
  <c r="H111" i="1122"/>
  <c r="D111" i="1122"/>
  <c r="H110" i="1122"/>
  <c r="D110" i="1122"/>
  <c r="H109" i="1122"/>
  <c r="D109" i="1122"/>
  <c r="H108" i="1122"/>
  <c r="D108" i="1122"/>
  <c r="H107" i="1122"/>
  <c r="D107" i="1122"/>
  <c r="H106" i="1122"/>
  <c r="D106" i="1122"/>
  <c r="H105" i="1122"/>
  <c r="D105" i="1122"/>
  <c r="H104" i="1122"/>
  <c r="D104" i="1122"/>
  <c r="H103" i="1122"/>
  <c r="D103" i="1122"/>
  <c r="H102" i="1122"/>
  <c r="D102" i="1122"/>
  <c r="H101" i="1122"/>
  <c r="D101" i="1122"/>
  <c r="H100" i="1122"/>
  <c r="F100" i="1122"/>
  <c r="E100" i="1122"/>
  <c r="H99" i="1122"/>
  <c r="E99" i="1122"/>
  <c r="D99" i="1122"/>
  <c r="H98" i="1122"/>
  <c r="E98" i="1122"/>
  <c r="D98" i="1122" s="1"/>
  <c r="H97" i="1122"/>
  <c r="E97" i="1122"/>
  <c r="D97" i="1122"/>
  <c r="H96" i="1122"/>
  <c r="E96" i="1122"/>
  <c r="D96" i="1122" s="1"/>
  <c r="D95" i="1122" s="1"/>
  <c r="G95" i="1122"/>
  <c r="G130" i="1122" s="1"/>
  <c r="G156" i="1122" s="1"/>
  <c r="F95" i="1122"/>
  <c r="F130" i="1122" s="1"/>
  <c r="F156" i="1122" s="1"/>
  <c r="E95" i="1122"/>
  <c r="E130" i="1122" s="1"/>
  <c r="E156" i="1122" s="1"/>
  <c r="C95" i="1122"/>
  <c r="H93" i="1122"/>
  <c r="D93" i="1122"/>
  <c r="H92" i="1122"/>
  <c r="D87" i="1122"/>
  <c r="D86" i="1122"/>
  <c r="D85" i="1122"/>
  <c r="D84" i="1122"/>
  <c r="D83" i="1122"/>
  <c r="D82" i="1122"/>
  <c r="G81" i="1122"/>
  <c r="F81" i="1122"/>
  <c r="E81" i="1122"/>
  <c r="D81" i="1122"/>
  <c r="D88" i="1122" s="1"/>
  <c r="C81" i="1122"/>
  <c r="C88" i="1122" s="1"/>
  <c r="D80" i="1122"/>
  <c r="D79" i="1122"/>
  <c r="D78" i="1122"/>
  <c r="G77" i="1122"/>
  <c r="F77" i="1122"/>
  <c r="E77" i="1122"/>
  <c r="D77" i="1122"/>
  <c r="C77" i="1122"/>
  <c r="D76" i="1122"/>
  <c r="D75" i="1122"/>
  <c r="G74" i="1122"/>
  <c r="F74" i="1122"/>
  <c r="E74" i="1122"/>
  <c r="D74" i="1122"/>
  <c r="C74" i="1122"/>
  <c r="D73" i="1122"/>
  <c r="D72" i="1122"/>
  <c r="D71" i="1122"/>
  <c r="D70" i="1122"/>
  <c r="G69" i="1122"/>
  <c r="F69" i="1122"/>
  <c r="E69" i="1122"/>
  <c r="D69" i="1122"/>
  <c r="C69" i="1122"/>
  <c r="D68" i="1122"/>
  <c r="D67" i="1122"/>
  <c r="D66" i="1122"/>
  <c r="G65" i="1122"/>
  <c r="G88" i="1122" s="1"/>
  <c r="F65" i="1122"/>
  <c r="F88" i="1122" s="1"/>
  <c r="E65" i="1122"/>
  <c r="E88" i="1122" s="1"/>
  <c r="D65" i="1122"/>
  <c r="C65" i="1122"/>
  <c r="D63" i="1122"/>
  <c r="D62" i="1122"/>
  <c r="D61" i="1122"/>
  <c r="D60" i="1122"/>
  <c r="G59" i="1122"/>
  <c r="F59" i="1122"/>
  <c r="E59" i="1122"/>
  <c r="D59" i="1122"/>
  <c r="C59" i="1122"/>
  <c r="C64" i="1122" s="1"/>
  <c r="C89" i="1122" s="1"/>
  <c r="D58" i="1122"/>
  <c r="E57" i="1122"/>
  <c r="D57" i="1122" s="1"/>
  <c r="E56" i="1122"/>
  <c r="D56" i="1122" s="1"/>
  <c r="D54" i="1122" s="1"/>
  <c r="D55" i="1122"/>
  <c r="G54" i="1122"/>
  <c r="F54" i="1122"/>
  <c r="E54" i="1122"/>
  <c r="C54" i="1122"/>
  <c r="D53" i="1122"/>
  <c r="D52" i="1122"/>
  <c r="E50" i="1122"/>
  <c r="D50" i="1122"/>
  <c r="D49" i="1122"/>
  <c r="G48" i="1122"/>
  <c r="F48" i="1122"/>
  <c r="E48" i="1122"/>
  <c r="D48" i="1122"/>
  <c r="C48" i="1122"/>
  <c r="E47" i="1122"/>
  <c r="D47" i="1122" s="1"/>
  <c r="E46" i="1122"/>
  <c r="D46" i="1122"/>
  <c r="D45" i="1122"/>
  <c r="D44" i="1122"/>
  <c r="D43" i="1122"/>
  <c r="E42" i="1122"/>
  <c r="D42" i="1122" s="1"/>
  <c r="G41" i="1122"/>
  <c r="D41" i="1122"/>
  <c r="E40" i="1122"/>
  <c r="D40" i="1122" s="1"/>
  <c r="E39" i="1122"/>
  <c r="D39" i="1122" s="1"/>
  <c r="E38" i="1122"/>
  <c r="D38" i="1122"/>
  <c r="E37" i="1122"/>
  <c r="D37" i="1122" s="1"/>
  <c r="D36" i="1122" s="1"/>
  <c r="G36" i="1122"/>
  <c r="F36" i="1122"/>
  <c r="E36" i="1122"/>
  <c r="C36" i="1122"/>
  <c r="D35" i="1122"/>
  <c r="D34" i="1122"/>
  <c r="E33" i="1122"/>
  <c r="D33" i="1122" s="1"/>
  <c r="D28" i="1122" s="1"/>
  <c r="D32" i="1122"/>
  <c r="E31" i="1122"/>
  <c r="D31" i="1122"/>
  <c r="E30" i="1122"/>
  <c r="D30" i="1122"/>
  <c r="E29" i="1122"/>
  <c r="D29" i="1122"/>
  <c r="C29" i="1122"/>
  <c r="G28" i="1122"/>
  <c r="F28" i="1122"/>
  <c r="E28" i="1122"/>
  <c r="C28" i="1122"/>
  <c r="D27" i="1122"/>
  <c r="E26" i="1122"/>
  <c r="D26" i="1122" s="1"/>
  <c r="D21" i="1122" s="1"/>
  <c r="D25" i="1122"/>
  <c r="D24" i="1122"/>
  <c r="D23" i="1122"/>
  <c r="D22" i="1122"/>
  <c r="G21" i="1122"/>
  <c r="F21" i="1122"/>
  <c r="E21" i="1122"/>
  <c r="D20" i="1122"/>
  <c r="E19" i="1122"/>
  <c r="D19" i="1122" s="1"/>
  <c r="D14" i="1122" s="1"/>
  <c r="D18" i="1122"/>
  <c r="D17" i="1122"/>
  <c r="D16" i="1122"/>
  <c r="D15" i="1122"/>
  <c r="G14" i="1122"/>
  <c r="F14" i="1122"/>
  <c r="E14" i="1122"/>
  <c r="D13" i="1122"/>
  <c r="E12" i="1122"/>
  <c r="D12" i="1122" s="1"/>
  <c r="E11" i="1122"/>
  <c r="D11" i="1122" s="1"/>
  <c r="E10" i="1122"/>
  <c r="D10" i="1122" s="1"/>
  <c r="D7" i="1122" s="1"/>
  <c r="D9" i="1122"/>
  <c r="D8" i="1122"/>
  <c r="G7" i="1122"/>
  <c r="G64" i="1122" s="1"/>
  <c r="G89" i="1122" s="1"/>
  <c r="F7" i="1122"/>
  <c r="F64" i="1122" s="1"/>
  <c r="F89" i="1122" s="1"/>
  <c r="E7" i="1122"/>
  <c r="E64" i="1122" s="1"/>
  <c r="E89" i="1122" s="1"/>
  <c r="C7" i="1122"/>
  <c r="D26" i="1121"/>
  <c r="D28" i="1121" s="1"/>
  <c r="C52" i="1114"/>
  <c r="C46" i="1114"/>
  <c r="C58" i="1114" s="1"/>
  <c r="C38" i="1114"/>
  <c r="C31" i="1114"/>
  <c r="C26" i="1114"/>
  <c r="C20" i="1114"/>
  <c r="C19" i="1114"/>
  <c r="C8" i="1114" s="1"/>
  <c r="C37" i="1114" s="1"/>
  <c r="C42" i="1114" s="1"/>
  <c r="C52" i="1113"/>
  <c r="C48" i="1113"/>
  <c r="C47" i="1113"/>
  <c r="C46" i="1113" s="1"/>
  <c r="C38" i="1113"/>
  <c r="E38" i="1112" s="1"/>
  <c r="C31" i="1113"/>
  <c r="C26" i="1113"/>
  <c r="C20" i="1113"/>
  <c r="E20" i="1112" s="1"/>
  <c r="C14" i="1113"/>
  <c r="C11" i="1113"/>
  <c r="C10" i="1113"/>
  <c r="C8" i="1113" s="1"/>
  <c r="F61" i="1112"/>
  <c r="F60" i="1112"/>
  <c r="F57" i="1112"/>
  <c r="F56" i="1112"/>
  <c r="F55" i="1112"/>
  <c r="F54" i="1112"/>
  <c r="F53" i="1112"/>
  <c r="C52" i="1112"/>
  <c r="F52" i="1112" s="1"/>
  <c r="F51" i="1112"/>
  <c r="F50" i="1112"/>
  <c r="F49" i="1112"/>
  <c r="F48" i="1112"/>
  <c r="C46" i="1112"/>
  <c r="F41" i="1112"/>
  <c r="F40" i="1112"/>
  <c r="F39" i="1112"/>
  <c r="C38" i="1112"/>
  <c r="F36" i="1112"/>
  <c r="F35" i="1112"/>
  <c r="F34" i="1112"/>
  <c r="F33" i="1112"/>
  <c r="F32" i="1112"/>
  <c r="C31" i="1112"/>
  <c r="F31" i="1112" s="1"/>
  <c r="F30" i="1112"/>
  <c r="F29" i="1112"/>
  <c r="F28" i="1112"/>
  <c r="F27" i="1112"/>
  <c r="C26" i="1112"/>
  <c r="F26" i="1112" s="1"/>
  <c r="F25" i="1112"/>
  <c r="F24" i="1112"/>
  <c r="C20" i="1112"/>
  <c r="F22" i="1112"/>
  <c r="F21" i="1112"/>
  <c r="C19" i="1112"/>
  <c r="F18" i="1112"/>
  <c r="F17" i="1112"/>
  <c r="F16" i="1112"/>
  <c r="F15" i="1112"/>
  <c r="C14" i="1112"/>
  <c r="F13" i="1112"/>
  <c r="F12" i="1112"/>
  <c r="C11" i="1112"/>
  <c r="C8" i="1112" s="1"/>
  <c r="F10" i="1112"/>
  <c r="F9" i="1112"/>
  <c r="C146" i="1111"/>
  <c r="C140" i="1111"/>
  <c r="C133" i="1111"/>
  <c r="C129" i="1111"/>
  <c r="C154" i="1111" s="1"/>
  <c r="C114" i="1111"/>
  <c r="C110" i="1111"/>
  <c r="C98" i="1111"/>
  <c r="C95" i="1111"/>
  <c r="C94" i="1111"/>
  <c r="C93" i="1111"/>
  <c r="C82" i="1111"/>
  <c r="C78" i="1111"/>
  <c r="C75" i="1111"/>
  <c r="C70" i="1111"/>
  <c r="C66" i="1111"/>
  <c r="C89" i="1111" s="1"/>
  <c r="C60" i="1111"/>
  <c r="C57" i="1111"/>
  <c r="C55" i="1111" s="1"/>
  <c r="C49" i="1111"/>
  <c r="C37" i="1111"/>
  <c r="D37" i="1109" s="1"/>
  <c r="C30" i="1111"/>
  <c r="C29" i="1111" s="1"/>
  <c r="C22" i="1111"/>
  <c r="C20" i="1111"/>
  <c r="C15" i="1111"/>
  <c r="C8" i="1111"/>
  <c r="C146" i="1110"/>
  <c r="C140" i="1110"/>
  <c r="C133" i="1110"/>
  <c r="C129" i="1110"/>
  <c r="C154" i="1110" s="1"/>
  <c r="C114" i="1110"/>
  <c r="D114" i="1109" s="1"/>
  <c r="C111" i="1110"/>
  <c r="D111" i="1109" s="1"/>
  <c r="C110" i="1110"/>
  <c r="C105" i="1110"/>
  <c r="C97" i="1110"/>
  <c r="C93" i="1110"/>
  <c r="C82" i="1110"/>
  <c r="C78" i="1110"/>
  <c r="C75" i="1110"/>
  <c r="D75" i="1109" s="1"/>
  <c r="C70" i="1110"/>
  <c r="C66" i="1110"/>
  <c r="C60" i="1110"/>
  <c r="C55" i="1110"/>
  <c r="C49" i="1110"/>
  <c r="C43" i="1110"/>
  <c r="C40" i="1110"/>
  <c r="C39" i="1110"/>
  <c r="C37" i="1110" s="1"/>
  <c r="C30" i="1110"/>
  <c r="C29" i="1110" s="1"/>
  <c r="D29" i="1109" s="1"/>
  <c r="C27" i="1110"/>
  <c r="C22" i="1110" s="1"/>
  <c r="C20" i="1110"/>
  <c r="C15" i="1110" s="1"/>
  <c r="C11" i="1110"/>
  <c r="C8" i="1110"/>
  <c r="E153" i="1109"/>
  <c r="E152" i="1109"/>
  <c r="E151" i="1109"/>
  <c r="E150" i="1109"/>
  <c r="E149" i="1109"/>
  <c r="E148" i="1109"/>
  <c r="E147" i="1109"/>
  <c r="C146" i="1109"/>
  <c r="E146" i="1109" s="1"/>
  <c r="E145" i="1109"/>
  <c r="E144" i="1109"/>
  <c r="E143" i="1109"/>
  <c r="E142" i="1109"/>
  <c r="E141" i="1109"/>
  <c r="C140" i="1109"/>
  <c r="E139" i="1109"/>
  <c r="E138" i="1109"/>
  <c r="E137" i="1109"/>
  <c r="E136" i="1109"/>
  <c r="E135" i="1109"/>
  <c r="E134" i="1109"/>
  <c r="C133" i="1109"/>
  <c r="E133" i="1109" s="1"/>
  <c r="E132" i="1109"/>
  <c r="E131" i="1109"/>
  <c r="C130" i="1109"/>
  <c r="E130" i="1109" s="1"/>
  <c r="E127" i="1109"/>
  <c r="E126" i="1109"/>
  <c r="E125" i="1109"/>
  <c r="E124" i="1109"/>
  <c r="E123" i="1109"/>
  <c r="E122" i="1109"/>
  <c r="E121" i="1109"/>
  <c r="E120" i="1109"/>
  <c r="E119" i="1109"/>
  <c r="E118" i="1109"/>
  <c r="E113" i="1109"/>
  <c r="C111" i="1109"/>
  <c r="C110" i="1109"/>
  <c r="E109" i="1109"/>
  <c r="E108" i="1109"/>
  <c r="E107" i="1109"/>
  <c r="E106" i="1109"/>
  <c r="C105" i="1109"/>
  <c r="E104" i="1109"/>
  <c r="E103" i="1109"/>
  <c r="E102" i="1109"/>
  <c r="E101" i="1109"/>
  <c r="E100" i="1109"/>
  <c r="E99" i="1109"/>
  <c r="C97" i="1109"/>
  <c r="E95" i="1109"/>
  <c r="C93" i="1109"/>
  <c r="E88" i="1109"/>
  <c r="E87" i="1109"/>
  <c r="E86" i="1109"/>
  <c r="E85" i="1109"/>
  <c r="E84" i="1109"/>
  <c r="E83" i="1109"/>
  <c r="C82" i="1109"/>
  <c r="E81" i="1109"/>
  <c r="E80" i="1109"/>
  <c r="E79" i="1109"/>
  <c r="C78" i="1109"/>
  <c r="E77" i="1109"/>
  <c r="E76" i="1109"/>
  <c r="C75" i="1109"/>
  <c r="F75" i="1109" s="1"/>
  <c r="E74" i="1109"/>
  <c r="E73" i="1109"/>
  <c r="E72" i="1109"/>
  <c r="E71" i="1109"/>
  <c r="C70" i="1109"/>
  <c r="E69" i="1109"/>
  <c r="E68" i="1109"/>
  <c r="E67" i="1109"/>
  <c r="C66" i="1109"/>
  <c r="E64" i="1109"/>
  <c r="E63" i="1109"/>
  <c r="E62" i="1109"/>
  <c r="E61" i="1109"/>
  <c r="C60" i="1109"/>
  <c r="E59" i="1109"/>
  <c r="E58" i="1109"/>
  <c r="C57" i="1109"/>
  <c r="E56" i="1109"/>
  <c r="E54" i="1109"/>
  <c r="E53" i="1109"/>
  <c r="E52" i="1109"/>
  <c r="E51" i="1109"/>
  <c r="E50" i="1109"/>
  <c r="C49" i="1109"/>
  <c r="C48" i="1109"/>
  <c r="E47" i="1109"/>
  <c r="E46" i="1109"/>
  <c r="E45" i="1109"/>
  <c r="E44" i="1109"/>
  <c r="E42" i="1109"/>
  <c r="E41" i="1109"/>
  <c r="C40" i="1109"/>
  <c r="E38" i="1109"/>
  <c r="E34" i="1109"/>
  <c r="E33" i="1109"/>
  <c r="E32" i="1109"/>
  <c r="C31" i="1109"/>
  <c r="C30" i="1109"/>
  <c r="E28" i="1109"/>
  <c r="C27" i="1109"/>
  <c r="E26" i="1109"/>
  <c r="E25" i="1109"/>
  <c r="E24" i="1109"/>
  <c r="E23" i="1109"/>
  <c r="C22" i="1109"/>
  <c r="E21" i="1109"/>
  <c r="C20" i="1109"/>
  <c r="E19" i="1109"/>
  <c r="E18" i="1109"/>
  <c r="E17" i="1109"/>
  <c r="E16" i="1109"/>
  <c r="C15" i="1109"/>
  <c r="E14" i="1109"/>
  <c r="C12" i="1109"/>
  <c r="C11" i="1109"/>
  <c r="E10" i="1109"/>
  <c r="E9" i="1109"/>
  <c r="C8" i="1109"/>
  <c r="E30" i="1106"/>
  <c r="C24" i="1106"/>
  <c r="C18" i="1106"/>
  <c r="C30" i="1106" s="1"/>
  <c r="E17" i="1106"/>
  <c r="E32" i="1106" s="1"/>
  <c r="C17" i="1106"/>
  <c r="E29" i="1105"/>
  <c r="C24" i="1105"/>
  <c r="C19" i="1105"/>
  <c r="C29" i="1105" s="1"/>
  <c r="E18" i="1105"/>
  <c r="C11" i="1105"/>
  <c r="C9" i="1105"/>
  <c r="C8" i="1105"/>
  <c r="C18" i="1105" s="1"/>
  <c r="E4" i="1105"/>
  <c r="C145" i="1104"/>
  <c r="C140" i="1104"/>
  <c r="C133" i="1104"/>
  <c r="C129" i="1104"/>
  <c r="C153" i="1104" s="1"/>
  <c r="C114" i="1104"/>
  <c r="C93" i="1104"/>
  <c r="C128" i="1104" s="1"/>
  <c r="C154" i="1104" s="1"/>
  <c r="C91" i="1104"/>
  <c r="C79" i="1104"/>
  <c r="C75" i="1104"/>
  <c r="C72" i="1104"/>
  <c r="C67" i="1104"/>
  <c r="C63" i="1104"/>
  <c r="C86" i="1104" s="1"/>
  <c r="C159" i="1104" s="1"/>
  <c r="C57" i="1104"/>
  <c r="C52" i="1104"/>
  <c r="C46" i="1104"/>
  <c r="C45" i="1104"/>
  <c r="C34" i="1104"/>
  <c r="C27" i="1104"/>
  <c r="C26" i="1104"/>
  <c r="C19" i="1104"/>
  <c r="C12" i="1104"/>
  <c r="C5" i="1104"/>
  <c r="C62" i="1104" s="1"/>
  <c r="C152" i="1103"/>
  <c r="C151" i="1103"/>
  <c r="C150" i="1103"/>
  <c r="C149" i="1103"/>
  <c r="C148" i="1103"/>
  <c r="C147" i="1103"/>
  <c r="C146" i="1103"/>
  <c r="F145" i="1103"/>
  <c r="E145" i="1103"/>
  <c r="D145" i="1103"/>
  <c r="C145" i="1103" s="1"/>
  <c r="C144" i="1103"/>
  <c r="C143" i="1103"/>
  <c r="C142" i="1103"/>
  <c r="C141" i="1103"/>
  <c r="F140" i="1103"/>
  <c r="E140" i="1103"/>
  <c r="D140" i="1103"/>
  <c r="C140" i="1103" s="1"/>
  <c r="C139" i="1103"/>
  <c r="C138" i="1103"/>
  <c r="C137" i="1103"/>
  <c r="C136" i="1103"/>
  <c r="C135" i="1103"/>
  <c r="C134" i="1103"/>
  <c r="F133" i="1103"/>
  <c r="E133" i="1103"/>
  <c r="D133" i="1103"/>
  <c r="C133" i="1103"/>
  <c r="C132" i="1103"/>
  <c r="C131" i="1103"/>
  <c r="C130" i="1103"/>
  <c r="F129" i="1103"/>
  <c r="F153" i="1103" s="1"/>
  <c r="E129" i="1103"/>
  <c r="E153" i="1103" s="1"/>
  <c r="D129" i="1103"/>
  <c r="D153" i="1103" s="1"/>
  <c r="C127" i="1103"/>
  <c r="C126" i="1103"/>
  <c r="C125" i="1103"/>
  <c r="C124" i="1103"/>
  <c r="C123" i="1103"/>
  <c r="C122" i="1103"/>
  <c r="C121" i="1103"/>
  <c r="C120" i="1103"/>
  <c r="C119" i="1103"/>
  <c r="C118" i="1103"/>
  <c r="C117" i="1103"/>
  <c r="C116" i="1103"/>
  <c r="C115" i="1103"/>
  <c r="F114" i="1103"/>
  <c r="E114" i="1103"/>
  <c r="D114" i="1103"/>
  <c r="C114" i="1103" s="1"/>
  <c r="C113" i="1103"/>
  <c r="C112" i="1103"/>
  <c r="C111" i="1103"/>
  <c r="D110" i="1103"/>
  <c r="C110" i="1103"/>
  <c r="C109" i="1103"/>
  <c r="C108" i="1103"/>
  <c r="C107" i="1103"/>
  <c r="C106" i="1103"/>
  <c r="C105" i="1103"/>
  <c r="C104" i="1103"/>
  <c r="C103" i="1103"/>
  <c r="C102" i="1103"/>
  <c r="C101" i="1103"/>
  <c r="C100" i="1103"/>
  <c r="C99" i="1103"/>
  <c r="D98" i="1103"/>
  <c r="C98" i="1103" s="1"/>
  <c r="C97" i="1103"/>
  <c r="C96" i="1103"/>
  <c r="D95" i="1103"/>
  <c r="C95" i="1103"/>
  <c r="D94" i="1103"/>
  <c r="C94" i="1103"/>
  <c r="F93" i="1103"/>
  <c r="F128" i="1103" s="1"/>
  <c r="F154" i="1103" s="1"/>
  <c r="E93" i="1103"/>
  <c r="E128" i="1103" s="1"/>
  <c r="E154" i="1103" s="1"/>
  <c r="D93" i="1103"/>
  <c r="D128" i="1103" s="1"/>
  <c r="C91" i="1103"/>
  <c r="C85" i="1103"/>
  <c r="C84" i="1103"/>
  <c r="C83" i="1103"/>
  <c r="C82" i="1103"/>
  <c r="C81" i="1103"/>
  <c r="C80" i="1103"/>
  <c r="F79" i="1103"/>
  <c r="E79" i="1103"/>
  <c r="D79" i="1103"/>
  <c r="C79" i="1103"/>
  <c r="C78" i="1103"/>
  <c r="C77" i="1103"/>
  <c r="C76" i="1103"/>
  <c r="F75" i="1103"/>
  <c r="E75" i="1103"/>
  <c r="D75" i="1103"/>
  <c r="C75" i="1103" s="1"/>
  <c r="C74" i="1103"/>
  <c r="C73" i="1103"/>
  <c r="F72" i="1103"/>
  <c r="E72" i="1103"/>
  <c r="D72" i="1103"/>
  <c r="C72" i="1103" s="1"/>
  <c r="C71" i="1103"/>
  <c r="C70" i="1103"/>
  <c r="C69" i="1103"/>
  <c r="C68" i="1103"/>
  <c r="F67" i="1103"/>
  <c r="E67" i="1103"/>
  <c r="D67" i="1103"/>
  <c r="C67" i="1103" s="1"/>
  <c r="C66" i="1103"/>
  <c r="C65" i="1103"/>
  <c r="C64" i="1103"/>
  <c r="F63" i="1103"/>
  <c r="F86" i="1103" s="1"/>
  <c r="E63" i="1103"/>
  <c r="E86" i="1103" s="1"/>
  <c r="D63" i="1103"/>
  <c r="D86" i="1103" s="1"/>
  <c r="C86" i="1103" s="1"/>
  <c r="C63" i="1103"/>
  <c r="C61" i="1103"/>
  <c r="C60" i="1103"/>
  <c r="C59" i="1103"/>
  <c r="C58" i="1103"/>
  <c r="F57" i="1103"/>
  <c r="E57" i="1103"/>
  <c r="D57" i="1103"/>
  <c r="C57" i="1103"/>
  <c r="C56" i="1103"/>
  <c r="C55" i="1103"/>
  <c r="D54" i="1103"/>
  <c r="C54" i="1103"/>
  <c r="C53" i="1103"/>
  <c r="F52" i="1103"/>
  <c r="E52" i="1103"/>
  <c r="D52" i="1103"/>
  <c r="C52" i="1103" s="1"/>
  <c r="C51" i="1103"/>
  <c r="C50" i="1103"/>
  <c r="C49" i="1103"/>
  <c r="C48" i="1103"/>
  <c r="C47" i="1103"/>
  <c r="F46" i="1103"/>
  <c r="E46" i="1103"/>
  <c r="D46" i="1103"/>
  <c r="C46" i="1103"/>
  <c r="C45" i="1103"/>
  <c r="C44" i="1103"/>
  <c r="C43" i="1103"/>
  <c r="C42" i="1103"/>
  <c r="C41" i="1103"/>
  <c r="C40" i="1103"/>
  <c r="C39" i="1103"/>
  <c r="C38" i="1103"/>
  <c r="C37" i="1103"/>
  <c r="C36" i="1103"/>
  <c r="C35" i="1103"/>
  <c r="F34" i="1103"/>
  <c r="E34" i="1103"/>
  <c r="D34" i="1103"/>
  <c r="C33" i="1103"/>
  <c r="C32" i="1103"/>
  <c r="C31" i="1103"/>
  <c r="C30" i="1103"/>
  <c r="C29" i="1103"/>
  <c r="C28" i="1103"/>
  <c r="F27" i="1103"/>
  <c r="D27" i="1103"/>
  <c r="C27" i="1103"/>
  <c r="F26" i="1103"/>
  <c r="E26" i="1103"/>
  <c r="D26" i="1103"/>
  <c r="C26" i="1103"/>
  <c r="C25" i="1103"/>
  <c r="C24" i="1103"/>
  <c r="C23" i="1103"/>
  <c r="C22" i="1103"/>
  <c r="C21" i="1103"/>
  <c r="C20" i="1103"/>
  <c r="F19" i="1103"/>
  <c r="E19" i="1103"/>
  <c r="D19" i="1103"/>
  <c r="C19" i="1103" s="1"/>
  <c r="C18" i="1103"/>
  <c r="D17" i="1103"/>
  <c r="C17" i="1103"/>
  <c r="C16" i="1103"/>
  <c r="C15" i="1103"/>
  <c r="C14" i="1103"/>
  <c r="C13" i="1103"/>
  <c r="F12" i="1103"/>
  <c r="E12" i="1103"/>
  <c r="D12" i="1103"/>
  <c r="C12" i="1103"/>
  <c r="C11" i="1103"/>
  <c r="C10" i="1103"/>
  <c r="C9" i="1103"/>
  <c r="C8" i="1103"/>
  <c r="C7" i="1103"/>
  <c r="C6" i="1103"/>
  <c r="F5" i="1103"/>
  <c r="F62" i="1103" s="1"/>
  <c r="F87" i="1103" s="1"/>
  <c r="E5" i="1103"/>
  <c r="E62" i="1103" s="1"/>
  <c r="E87" i="1103" s="1"/>
  <c r="D5" i="1103"/>
  <c r="D62" i="1103" s="1"/>
  <c r="C152" i="1102"/>
  <c r="C151" i="1102"/>
  <c r="C150" i="1102"/>
  <c r="C149" i="1102"/>
  <c r="C148" i="1102"/>
  <c r="C147" i="1102"/>
  <c r="C146" i="1102"/>
  <c r="F145" i="1102"/>
  <c r="E145" i="1102"/>
  <c r="D145" i="1102"/>
  <c r="C145" i="1102"/>
  <c r="C144" i="1102"/>
  <c r="C143" i="1102"/>
  <c r="C142" i="1102"/>
  <c r="C141" i="1102"/>
  <c r="F140" i="1102"/>
  <c r="E140" i="1102"/>
  <c r="D140" i="1102"/>
  <c r="C140" i="1102"/>
  <c r="C139" i="1102"/>
  <c r="C138" i="1102"/>
  <c r="C137" i="1102"/>
  <c r="C136" i="1102"/>
  <c r="C135" i="1102"/>
  <c r="C134" i="1102"/>
  <c r="F133" i="1102"/>
  <c r="E133" i="1102"/>
  <c r="D133" i="1102"/>
  <c r="C133" i="1102"/>
  <c r="C132" i="1102"/>
  <c r="C131" i="1102"/>
  <c r="C130" i="1102"/>
  <c r="F129" i="1102"/>
  <c r="F153" i="1102" s="1"/>
  <c r="E129" i="1102"/>
  <c r="E153" i="1102" s="1"/>
  <c r="D129" i="1102"/>
  <c r="D153" i="1102" s="1"/>
  <c r="C153" i="1102" s="1"/>
  <c r="C127" i="1102"/>
  <c r="C126" i="1102"/>
  <c r="C125" i="1102"/>
  <c r="C124" i="1102"/>
  <c r="C123" i="1102"/>
  <c r="C122" i="1102"/>
  <c r="C121" i="1102"/>
  <c r="C120" i="1102"/>
  <c r="C119" i="1102"/>
  <c r="C118" i="1102"/>
  <c r="H118" i="1101" s="1"/>
  <c r="C117" i="1102"/>
  <c r="H117" i="1101" s="1"/>
  <c r="C116" i="1102"/>
  <c r="H116" i="1101" s="1"/>
  <c r="C115" i="1102"/>
  <c r="H115" i="1101" s="1"/>
  <c r="F114" i="1102"/>
  <c r="E114" i="1102"/>
  <c r="D114" i="1102"/>
  <c r="C114" i="1102" s="1"/>
  <c r="H114" i="1101" s="1"/>
  <c r="C113" i="1102"/>
  <c r="H113" i="1101" s="1"/>
  <c r="C112" i="1102"/>
  <c r="H112" i="1101" s="1"/>
  <c r="F111" i="1102"/>
  <c r="D111" i="1102"/>
  <c r="C111" i="1102" s="1"/>
  <c r="H111" i="1101" s="1"/>
  <c r="D110" i="1102"/>
  <c r="C110" i="1102" s="1"/>
  <c r="C109" i="1102"/>
  <c r="C108" i="1102"/>
  <c r="C107" i="1102"/>
  <c r="C106" i="1102"/>
  <c r="C105" i="1102"/>
  <c r="C104" i="1102"/>
  <c r="C103" i="1102"/>
  <c r="C102" i="1102"/>
  <c r="C101" i="1102"/>
  <c r="C100" i="1102"/>
  <c r="C99" i="1102"/>
  <c r="H99" i="1101" s="1"/>
  <c r="C98" i="1102"/>
  <c r="H98" i="1101" s="1"/>
  <c r="D97" i="1102"/>
  <c r="C97" i="1102"/>
  <c r="C96" i="1102"/>
  <c r="H96" i="1101" s="1"/>
  <c r="E95" i="1102"/>
  <c r="E93" i="1102" s="1"/>
  <c r="E128" i="1102" s="1"/>
  <c r="E154" i="1102" s="1"/>
  <c r="C95" i="1102"/>
  <c r="H95" i="1101" s="1"/>
  <c r="E94" i="1102"/>
  <c r="C94" i="1102"/>
  <c r="H94" i="1101" s="1"/>
  <c r="F93" i="1102"/>
  <c r="F128" i="1102" s="1"/>
  <c r="C91" i="1102"/>
  <c r="C85" i="1102"/>
  <c r="C84" i="1102"/>
  <c r="C83" i="1102"/>
  <c r="C82" i="1102"/>
  <c r="C81" i="1102"/>
  <c r="C80" i="1102"/>
  <c r="F79" i="1102"/>
  <c r="E79" i="1102"/>
  <c r="D79" i="1102"/>
  <c r="C79" i="1102"/>
  <c r="C78" i="1102"/>
  <c r="C77" i="1102"/>
  <c r="C76" i="1102"/>
  <c r="F75" i="1102"/>
  <c r="E75" i="1102"/>
  <c r="D75" i="1102"/>
  <c r="C75" i="1102" s="1"/>
  <c r="C74" i="1102"/>
  <c r="C73" i="1102"/>
  <c r="F72" i="1102"/>
  <c r="E72" i="1102"/>
  <c r="D72" i="1102"/>
  <c r="C72" i="1102"/>
  <c r="C71" i="1102"/>
  <c r="C70" i="1102"/>
  <c r="C69" i="1102"/>
  <c r="C68" i="1102"/>
  <c r="F67" i="1102"/>
  <c r="E67" i="1102"/>
  <c r="E86" i="1102" s="1"/>
  <c r="D67" i="1102"/>
  <c r="C67" i="1102"/>
  <c r="C66" i="1102"/>
  <c r="C65" i="1102"/>
  <c r="C64" i="1102"/>
  <c r="F63" i="1102"/>
  <c r="F86" i="1102" s="1"/>
  <c r="E63" i="1102"/>
  <c r="D63" i="1102"/>
  <c r="D86" i="1102" s="1"/>
  <c r="C86" i="1102" s="1"/>
  <c r="C159" i="1102" s="1"/>
  <c r="C61" i="1102"/>
  <c r="C60" i="1102"/>
  <c r="C59" i="1102"/>
  <c r="C58" i="1102"/>
  <c r="F57" i="1102"/>
  <c r="E57" i="1102"/>
  <c r="D57" i="1102"/>
  <c r="C57" i="1102" s="1"/>
  <c r="C56" i="1102"/>
  <c r="C55" i="1102"/>
  <c r="C54" i="1102"/>
  <c r="C53" i="1102"/>
  <c r="F52" i="1102"/>
  <c r="E52" i="1102"/>
  <c r="D52" i="1102"/>
  <c r="C52" i="1102" s="1"/>
  <c r="C51" i="1102"/>
  <c r="C50" i="1102"/>
  <c r="C49" i="1102"/>
  <c r="C48" i="1102"/>
  <c r="C47" i="1102"/>
  <c r="F46" i="1102"/>
  <c r="E46" i="1102"/>
  <c r="D46" i="1102"/>
  <c r="C46" i="1102"/>
  <c r="C45" i="1102"/>
  <c r="C44" i="1102"/>
  <c r="C43" i="1102"/>
  <c r="C42" i="1102"/>
  <c r="C41" i="1102"/>
  <c r="E40" i="1102"/>
  <c r="D40" i="1102"/>
  <c r="C40" i="1102"/>
  <c r="C39" i="1102"/>
  <c r="C38" i="1102"/>
  <c r="D37" i="1102"/>
  <c r="C37" i="1102"/>
  <c r="E36" i="1102"/>
  <c r="D36" i="1102"/>
  <c r="C36" i="1102" s="1"/>
  <c r="C35" i="1102"/>
  <c r="F34" i="1102"/>
  <c r="E34" i="1102"/>
  <c r="C33" i="1102"/>
  <c r="C32" i="1102"/>
  <c r="C31" i="1102"/>
  <c r="C30" i="1102"/>
  <c r="C29" i="1102"/>
  <c r="C28" i="1102"/>
  <c r="D27" i="1102"/>
  <c r="C27" i="1102"/>
  <c r="F26" i="1102"/>
  <c r="E26" i="1102"/>
  <c r="D26" i="1102"/>
  <c r="C26" i="1102" s="1"/>
  <c r="D25" i="1102"/>
  <c r="C25" i="1102"/>
  <c r="D24" i="1102"/>
  <c r="C24" i="1102"/>
  <c r="C23" i="1102"/>
  <c r="C22" i="1102"/>
  <c r="C21" i="1102"/>
  <c r="C20" i="1102"/>
  <c r="F19" i="1102"/>
  <c r="E19" i="1102"/>
  <c r="D19" i="1102"/>
  <c r="C19" i="1102"/>
  <c r="C18" i="1102"/>
  <c r="D17" i="1102"/>
  <c r="C17" i="1102" s="1"/>
  <c r="C16" i="1102"/>
  <c r="C15" i="1102"/>
  <c r="C14" i="1102"/>
  <c r="C13" i="1102"/>
  <c r="F12" i="1102"/>
  <c r="E12" i="1102"/>
  <c r="D12" i="1102"/>
  <c r="C11" i="1102"/>
  <c r="C10" i="1102"/>
  <c r="C9" i="1102"/>
  <c r="D8" i="1102"/>
  <c r="C8" i="1102" s="1"/>
  <c r="C7" i="1102"/>
  <c r="C6" i="1102"/>
  <c r="F5" i="1102"/>
  <c r="F62" i="1102" s="1"/>
  <c r="E5" i="1102"/>
  <c r="D5" i="1102"/>
  <c r="C152" i="1101"/>
  <c r="C151" i="1101"/>
  <c r="C150" i="1101"/>
  <c r="C149" i="1101"/>
  <c r="C148" i="1101"/>
  <c r="C147" i="1101"/>
  <c r="C146" i="1101"/>
  <c r="F145" i="1101"/>
  <c r="E145" i="1101"/>
  <c r="D145" i="1101"/>
  <c r="C145" i="1101" s="1"/>
  <c r="C144" i="1101"/>
  <c r="C143" i="1101"/>
  <c r="C142" i="1101"/>
  <c r="C141" i="1101"/>
  <c r="F140" i="1101"/>
  <c r="E140" i="1101"/>
  <c r="D140" i="1101"/>
  <c r="C140" i="1101" s="1"/>
  <c r="C139" i="1101"/>
  <c r="C138" i="1101"/>
  <c r="C137" i="1101"/>
  <c r="C136" i="1101"/>
  <c r="C135" i="1101"/>
  <c r="C134" i="1101"/>
  <c r="F133" i="1101"/>
  <c r="E133" i="1101"/>
  <c r="D133" i="1101"/>
  <c r="C133" i="1101"/>
  <c r="I133" i="1101" s="1"/>
  <c r="C132" i="1101"/>
  <c r="I132" i="1101" s="1"/>
  <c r="C131" i="1101"/>
  <c r="I131" i="1101" s="1"/>
  <c r="D130" i="1101"/>
  <c r="C130" i="1101"/>
  <c r="I130" i="1101" s="1"/>
  <c r="F129" i="1101"/>
  <c r="F153" i="1101" s="1"/>
  <c r="E129" i="1101"/>
  <c r="E153" i="1101" s="1"/>
  <c r="D129" i="1101"/>
  <c r="D153" i="1101" s="1"/>
  <c r="C153" i="1101" s="1"/>
  <c r="I153" i="1101" s="1"/>
  <c r="C129" i="1101"/>
  <c r="I129" i="1101" s="1"/>
  <c r="C127" i="1101"/>
  <c r="C126" i="1101"/>
  <c r="C125" i="1101"/>
  <c r="C124" i="1101"/>
  <c r="C123" i="1101"/>
  <c r="C122" i="1101"/>
  <c r="C121" i="1101"/>
  <c r="C120" i="1101"/>
  <c r="C119" i="1101"/>
  <c r="C118" i="1101"/>
  <c r="C117" i="1101"/>
  <c r="C116" i="1101"/>
  <c r="C115" i="1101"/>
  <c r="F114" i="1101"/>
  <c r="E114" i="1101"/>
  <c r="D114" i="1101"/>
  <c r="C114" i="1101" s="1"/>
  <c r="C113" i="1101"/>
  <c r="C112" i="1101"/>
  <c r="F111" i="1101"/>
  <c r="D110" i="1101"/>
  <c r="C110" i="1101"/>
  <c r="I110" i="1101" s="1"/>
  <c r="C109" i="1101"/>
  <c r="I109" i="1101" s="1"/>
  <c r="C108" i="1101"/>
  <c r="I108" i="1101" s="1"/>
  <c r="C107" i="1101"/>
  <c r="I107" i="1101" s="1"/>
  <c r="C106" i="1101"/>
  <c r="I106" i="1101" s="1"/>
  <c r="C105" i="1101"/>
  <c r="I105" i="1101" s="1"/>
  <c r="C104" i="1101"/>
  <c r="I104" i="1101" s="1"/>
  <c r="C103" i="1101"/>
  <c r="I103" i="1101" s="1"/>
  <c r="C102" i="1101"/>
  <c r="I102" i="1101" s="1"/>
  <c r="C101" i="1101"/>
  <c r="I101" i="1101" s="1"/>
  <c r="C100" i="1101"/>
  <c r="I100" i="1101" s="1"/>
  <c r="C99" i="1101"/>
  <c r="I99" i="1101" s="1"/>
  <c r="C98" i="1101"/>
  <c r="I98" i="1101" s="1"/>
  <c r="D97" i="1101"/>
  <c r="C97" i="1101"/>
  <c r="I97" i="1101" s="1"/>
  <c r="C96" i="1101"/>
  <c r="C95" i="1101"/>
  <c r="C94" i="1101"/>
  <c r="F93" i="1101"/>
  <c r="F128" i="1101" s="1"/>
  <c r="F154" i="1101" s="1"/>
  <c r="E93" i="1101"/>
  <c r="E128" i="1101" s="1"/>
  <c r="E154" i="1101" s="1"/>
  <c r="C91" i="1101"/>
  <c r="C85" i="1101"/>
  <c r="C84" i="1101"/>
  <c r="C83" i="1101"/>
  <c r="C82" i="1101"/>
  <c r="C81" i="1101"/>
  <c r="C80" i="1101"/>
  <c r="F79" i="1101"/>
  <c r="E79" i="1101"/>
  <c r="D79" i="1101"/>
  <c r="C79" i="1101"/>
  <c r="I79" i="1101" s="1"/>
  <c r="C78" i="1101"/>
  <c r="I78" i="1101" s="1"/>
  <c r="C77" i="1101"/>
  <c r="I77" i="1101" s="1"/>
  <c r="C76" i="1101"/>
  <c r="F75" i="1101"/>
  <c r="E75" i="1101"/>
  <c r="D75" i="1101"/>
  <c r="C75" i="1101" s="1"/>
  <c r="I75" i="1101" s="1"/>
  <c r="C74" i="1101"/>
  <c r="I74" i="1101" s="1"/>
  <c r="F73" i="1101"/>
  <c r="C73" i="1101"/>
  <c r="I73" i="1101" s="1"/>
  <c r="F72" i="1101"/>
  <c r="E72" i="1101"/>
  <c r="C71" i="1101"/>
  <c r="I71" i="1101" s="1"/>
  <c r="C70" i="1101"/>
  <c r="I70" i="1101" s="1"/>
  <c r="C69" i="1101"/>
  <c r="I69" i="1101" s="1"/>
  <c r="C68" i="1101"/>
  <c r="F67" i="1101"/>
  <c r="E67" i="1101"/>
  <c r="D67" i="1101"/>
  <c r="C67" i="1101" s="1"/>
  <c r="I67" i="1101" s="1"/>
  <c r="C66" i="1101"/>
  <c r="I66" i="1101" s="1"/>
  <c r="C65" i="1101"/>
  <c r="C64" i="1101"/>
  <c r="I64" i="1101" s="1"/>
  <c r="F63" i="1101"/>
  <c r="F86" i="1101" s="1"/>
  <c r="E63" i="1101"/>
  <c r="E86" i="1101" s="1"/>
  <c r="D63" i="1101"/>
  <c r="C63" i="1101"/>
  <c r="I63" i="1101" s="1"/>
  <c r="C61" i="1101"/>
  <c r="I61" i="1101" s="1"/>
  <c r="C60" i="1101"/>
  <c r="I60" i="1101" s="1"/>
  <c r="C59" i="1101"/>
  <c r="C58" i="1101"/>
  <c r="I58" i="1101" s="1"/>
  <c r="F57" i="1101"/>
  <c r="E57" i="1101"/>
  <c r="D57" i="1101"/>
  <c r="C57" i="1101"/>
  <c r="I57" i="1101" s="1"/>
  <c r="C56" i="1101"/>
  <c r="C55" i="1101"/>
  <c r="D54" i="1101"/>
  <c r="C54" i="1101"/>
  <c r="I54" i="1101" s="1"/>
  <c r="C53" i="1101"/>
  <c r="F52" i="1101"/>
  <c r="E52" i="1101"/>
  <c r="D52" i="1101"/>
  <c r="C52" i="1101" s="1"/>
  <c r="I52" i="1101" s="1"/>
  <c r="C51" i="1101"/>
  <c r="I51" i="1101" s="1"/>
  <c r="C50" i="1101"/>
  <c r="C49" i="1101"/>
  <c r="C48" i="1101"/>
  <c r="C47" i="1101"/>
  <c r="F46" i="1101"/>
  <c r="E46" i="1101"/>
  <c r="D46" i="1101"/>
  <c r="C46" i="1101"/>
  <c r="I46" i="1101" s="1"/>
  <c r="D45" i="1101"/>
  <c r="C45" i="1101"/>
  <c r="I45" i="1101" s="1"/>
  <c r="C44" i="1101"/>
  <c r="C43" i="1101"/>
  <c r="C42" i="1101"/>
  <c r="C41" i="1101"/>
  <c r="E40" i="1101"/>
  <c r="C40" i="1101"/>
  <c r="I40" i="1101" s="1"/>
  <c r="C39" i="1101"/>
  <c r="I39" i="1101" s="1"/>
  <c r="C38" i="1101"/>
  <c r="D37" i="1101"/>
  <c r="C37" i="1101" s="1"/>
  <c r="I37" i="1101" s="1"/>
  <c r="E36" i="1101"/>
  <c r="E34" i="1101" s="1"/>
  <c r="C36" i="1101"/>
  <c r="I36" i="1101" s="1"/>
  <c r="C35" i="1101"/>
  <c r="F34" i="1101"/>
  <c r="C33" i="1101"/>
  <c r="C32" i="1101"/>
  <c r="C31" i="1101"/>
  <c r="C30" i="1101"/>
  <c r="C29" i="1101"/>
  <c r="D28" i="1101"/>
  <c r="C28" i="1101" s="1"/>
  <c r="D27" i="1101"/>
  <c r="C27" i="1101" s="1"/>
  <c r="F26" i="1101"/>
  <c r="E26" i="1101"/>
  <c r="D26" i="1101"/>
  <c r="C26" i="1101" s="1"/>
  <c r="D25" i="1101"/>
  <c r="C25" i="1101" s="1"/>
  <c r="D24" i="1101"/>
  <c r="C24" i="1101" s="1"/>
  <c r="C23" i="1101"/>
  <c r="C22" i="1101"/>
  <c r="C21" i="1101"/>
  <c r="C20" i="1101"/>
  <c r="F19" i="1101"/>
  <c r="E19" i="1101"/>
  <c r="D19" i="1101"/>
  <c r="C19" i="1101" s="1"/>
  <c r="C18" i="1101"/>
  <c r="D17" i="1101"/>
  <c r="C17" i="1101"/>
  <c r="I17" i="1101" s="1"/>
  <c r="C16" i="1101"/>
  <c r="I16" i="1101" s="1"/>
  <c r="I15" i="1101"/>
  <c r="C15" i="1101"/>
  <c r="C14" i="1101"/>
  <c r="C13" i="1101"/>
  <c r="F12" i="1101"/>
  <c r="E12" i="1101"/>
  <c r="C12" i="1101" s="1"/>
  <c r="D12" i="1101"/>
  <c r="C11" i="1101"/>
  <c r="C10" i="1101"/>
  <c r="D9" i="1101"/>
  <c r="C9" i="1101" s="1"/>
  <c r="D8" i="1101"/>
  <c r="C8" i="1101" s="1"/>
  <c r="C7" i="1101"/>
  <c r="C6" i="1101"/>
  <c r="F5" i="1101"/>
  <c r="F62" i="1101" s="1"/>
  <c r="F87" i="1101" s="1"/>
  <c r="E5" i="1101"/>
  <c r="D5" i="1101"/>
  <c r="N52" i="1125" l="1"/>
  <c r="N54" i="1125" s="1"/>
  <c r="K27" i="1124"/>
  <c r="I27" i="1124"/>
  <c r="M27" i="1124"/>
  <c r="G27" i="1124"/>
  <c r="N27" i="1124"/>
  <c r="L27" i="1124"/>
  <c r="J27" i="1124"/>
  <c r="H27" i="1124"/>
  <c r="C128" i="1111"/>
  <c r="C155" i="1111" s="1"/>
  <c r="C128" i="1110"/>
  <c r="D93" i="1109"/>
  <c r="F93" i="1109" s="1"/>
  <c r="E111" i="1109"/>
  <c r="F111" i="1109"/>
  <c r="C58" i="1113"/>
  <c r="E58" i="1112" s="1"/>
  <c r="E46" i="1112"/>
  <c r="C65" i="1111"/>
  <c r="C90" i="1111" s="1"/>
  <c r="C89" i="1110"/>
  <c r="D89" i="1109" s="1"/>
  <c r="C65" i="1110"/>
  <c r="D8" i="1109"/>
  <c r="F8" i="1109" s="1"/>
  <c r="C93" i="1103"/>
  <c r="D93" i="1102"/>
  <c r="D128" i="1102" s="1"/>
  <c r="D154" i="1102" s="1"/>
  <c r="C129" i="1109"/>
  <c r="C154" i="1109" s="1"/>
  <c r="E154" i="1109" s="1"/>
  <c r="C114" i="1109"/>
  <c r="F114" i="1109" s="1"/>
  <c r="I12" i="1101"/>
  <c r="I6" i="1101"/>
  <c r="I7" i="1101"/>
  <c r="I8" i="1101"/>
  <c r="I9" i="1101"/>
  <c r="I10" i="1101"/>
  <c r="I11" i="1101"/>
  <c r="I13" i="1101"/>
  <c r="I14" i="1101"/>
  <c r="I18" i="1101"/>
  <c r="I19" i="1101"/>
  <c r="I20" i="1101"/>
  <c r="I21" i="1101"/>
  <c r="I22" i="1101"/>
  <c r="I23" i="1101"/>
  <c r="I24" i="1101"/>
  <c r="I25" i="1101"/>
  <c r="I26" i="1101"/>
  <c r="I27" i="1101"/>
  <c r="I28" i="1101"/>
  <c r="I29" i="1101"/>
  <c r="I30" i="1101"/>
  <c r="I31" i="1101"/>
  <c r="I32" i="1101"/>
  <c r="I33" i="1101"/>
  <c r="I41" i="1101"/>
  <c r="I42" i="1101"/>
  <c r="I43" i="1101"/>
  <c r="I47" i="1101"/>
  <c r="I48" i="1101"/>
  <c r="I49" i="1101"/>
  <c r="E11" i="1109"/>
  <c r="E12" i="1109"/>
  <c r="E13" i="1109"/>
  <c r="E27" i="1109"/>
  <c r="E35" i="1109"/>
  <c r="E82" i="1109"/>
  <c r="E140" i="1109"/>
  <c r="F14" i="1112"/>
  <c r="F19" i="1112"/>
  <c r="F38" i="1112"/>
  <c r="I55" i="1101"/>
  <c r="I80" i="1101"/>
  <c r="I81" i="1101"/>
  <c r="I82" i="1101"/>
  <c r="I84" i="1101"/>
  <c r="I85" i="1101"/>
  <c r="I94" i="1101"/>
  <c r="I95" i="1101"/>
  <c r="I96" i="1101"/>
  <c r="I112" i="1101"/>
  <c r="I113" i="1101"/>
  <c r="I114" i="1101"/>
  <c r="I115" i="1101"/>
  <c r="I116" i="1101"/>
  <c r="I117" i="1101"/>
  <c r="I118" i="1101"/>
  <c r="I119" i="1101"/>
  <c r="I120" i="1101"/>
  <c r="I121" i="1101"/>
  <c r="I122" i="1101"/>
  <c r="I123" i="1101"/>
  <c r="I124" i="1101"/>
  <c r="I125" i="1101"/>
  <c r="I126" i="1101"/>
  <c r="I127" i="1101"/>
  <c r="I134" i="1101"/>
  <c r="I135" i="1101"/>
  <c r="I136" i="1101"/>
  <c r="I137" i="1101"/>
  <c r="I138" i="1101"/>
  <c r="I139" i="1101"/>
  <c r="I140" i="1101"/>
  <c r="I141" i="1101"/>
  <c r="I142" i="1101"/>
  <c r="I143" i="1101"/>
  <c r="I144" i="1101"/>
  <c r="I145" i="1101"/>
  <c r="I146" i="1101"/>
  <c r="I147" i="1101"/>
  <c r="I148" i="1101"/>
  <c r="I149" i="1101"/>
  <c r="I150" i="1101"/>
  <c r="I151" i="1101"/>
  <c r="I152" i="1101"/>
  <c r="E93" i="1109"/>
  <c r="E97" i="1109"/>
  <c r="E105" i="1109"/>
  <c r="F20" i="1112"/>
  <c r="C34" i="1103"/>
  <c r="E62" i="1102"/>
  <c r="E87" i="1102" s="1"/>
  <c r="C12" i="1102"/>
  <c r="C32" i="1106"/>
  <c r="E30" i="1105"/>
  <c r="E62" i="1101"/>
  <c r="E87" i="1101" s="1"/>
  <c r="G12" i="1125"/>
  <c r="G52" i="1125" s="1"/>
  <c r="C27" i="1124"/>
  <c r="O26" i="1124"/>
  <c r="S26" i="1124" s="1"/>
  <c r="F14" i="1124"/>
  <c r="F27" i="1124" s="1"/>
  <c r="O16" i="1124"/>
  <c r="S16" i="1124" s="1"/>
  <c r="O13" i="1124"/>
  <c r="S13" i="1124" s="1"/>
  <c r="D130" i="1122"/>
  <c r="D156" i="1122" s="1"/>
  <c r="D64" i="1122"/>
  <c r="D89" i="1122" s="1"/>
  <c r="H130" i="1122"/>
  <c r="C156" i="1122"/>
  <c r="H95" i="1122"/>
  <c r="C37" i="1113"/>
  <c r="C37" i="1112"/>
  <c r="F8" i="1112"/>
  <c r="F46" i="1112"/>
  <c r="C58" i="1112"/>
  <c r="F58" i="1112" s="1"/>
  <c r="F11" i="1112"/>
  <c r="F23" i="1112"/>
  <c r="F47" i="1112"/>
  <c r="E15" i="1109"/>
  <c r="E20" i="1109"/>
  <c r="E30" i="1109"/>
  <c r="C37" i="1109"/>
  <c r="F37" i="1109" s="1"/>
  <c r="E39" i="1109"/>
  <c r="E43" i="1109"/>
  <c r="E49" i="1109"/>
  <c r="E60" i="1109"/>
  <c r="C89" i="1109"/>
  <c r="E66" i="1109"/>
  <c r="E116" i="1109"/>
  <c r="E22" i="1109"/>
  <c r="C29" i="1109"/>
  <c r="F29" i="1109" s="1"/>
  <c r="E31" i="1109"/>
  <c r="E36" i="1109"/>
  <c r="E40" i="1109"/>
  <c r="E48" i="1109"/>
  <c r="C55" i="1109"/>
  <c r="E57" i="1109"/>
  <c r="E70" i="1109"/>
  <c r="E75" i="1109"/>
  <c r="E78" i="1109"/>
  <c r="E94" i="1109"/>
  <c r="E96" i="1109"/>
  <c r="E98" i="1109"/>
  <c r="E110" i="1109"/>
  <c r="E112" i="1109"/>
  <c r="E115" i="1109"/>
  <c r="E117" i="1109"/>
  <c r="E129" i="1109"/>
  <c r="C31" i="1106"/>
  <c r="E31" i="1106"/>
  <c r="E31" i="1105"/>
  <c r="C31" i="1105"/>
  <c r="C30" i="1105"/>
  <c r="C87" i="1104"/>
  <c r="C158" i="1104"/>
  <c r="D87" i="1103"/>
  <c r="C87" i="1103" s="1"/>
  <c r="C62" i="1103"/>
  <c r="C159" i="1103"/>
  <c r="D154" i="1103"/>
  <c r="C154" i="1103" s="1"/>
  <c r="C128" i="1103"/>
  <c r="C153" i="1103"/>
  <c r="C129" i="1103"/>
  <c r="C5" i="1103"/>
  <c r="F87" i="1102"/>
  <c r="F154" i="1102"/>
  <c r="C5" i="1102"/>
  <c r="D34" i="1102"/>
  <c r="C34" i="1102" s="1"/>
  <c r="C63" i="1102"/>
  <c r="C93" i="1102"/>
  <c r="H93" i="1101" s="1"/>
  <c r="C129" i="1102"/>
  <c r="C5" i="1101"/>
  <c r="I5" i="1101" s="1"/>
  <c r="D34" i="1101"/>
  <c r="C34" i="1101" s="1"/>
  <c r="I34" i="1101" s="1"/>
  <c r="I35" i="1101"/>
  <c r="I38" i="1101"/>
  <c r="I44" i="1101"/>
  <c r="I50" i="1101"/>
  <c r="I53" i="1101"/>
  <c r="I56" i="1101"/>
  <c r="I59" i="1101"/>
  <c r="I65" i="1101"/>
  <c r="I68" i="1101"/>
  <c r="D72" i="1101"/>
  <c r="C72" i="1101" s="1"/>
  <c r="I72" i="1101" s="1"/>
  <c r="I76" i="1101"/>
  <c r="I83" i="1101"/>
  <c r="D111" i="1101"/>
  <c r="C111" i="1101" s="1"/>
  <c r="I111" i="1101" s="1"/>
  <c r="C155" i="1110" l="1"/>
  <c r="D155" i="1109" s="1"/>
  <c r="D128" i="1109"/>
  <c r="C128" i="1109"/>
  <c r="C155" i="1109" s="1"/>
  <c r="F155" i="1109" s="1"/>
  <c r="E114" i="1109"/>
  <c r="E128" i="1109"/>
  <c r="C42" i="1113"/>
  <c r="E42" i="1112" s="1"/>
  <c r="E37" i="1112"/>
  <c r="F89" i="1109"/>
  <c r="E8" i="1109"/>
  <c r="C90" i="1110"/>
  <c r="D90" i="1109" s="1"/>
  <c r="D65" i="1109"/>
  <c r="C128" i="1102"/>
  <c r="H128" i="1101" s="1"/>
  <c r="G54" i="1125"/>
  <c r="O52" i="1125"/>
  <c r="O14" i="1124"/>
  <c r="H131" i="1122"/>
  <c r="C42" i="1112"/>
  <c r="F37" i="1112"/>
  <c r="E55" i="1109"/>
  <c r="E29" i="1109"/>
  <c r="E37" i="1109"/>
  <c r="E89" i="1109"/>
  <c r="C65" i="1109"/>
  <c r="F65" i="1109" s="1"/>
  <c r="E33" i="1106"/>
  <c r="C33" i="1106"/>
  <c r="E32" i="1105"/>
  <c r="C32" i="1105"/>
  <c r="C158" i="1103"/>
  <c r="C154" i="1102"/>
  <c r="H154" i="1101" s="1"/>
  <c r="D62" i="1102"/>
  <c r="D62" i="1101"/>
  <c r="D93" i="1101"/>
  <c r="D86" i="1101"/>
  <c r="C86" i="1101" s="1"/>
  <c r="E155" i="1109" l="1"/>
  <c r="F128" i="1109"/>
  <c r="F42" i="1112"/>
  <c r="O27" i="1124"/>
  <c r="S14" i="1124"/>
  <c r="H155" i="1122"/>
  <c r="H156" i="1122"/>
  <c r="C90" i="1109"/>
  <c r="F90" i="1109" s="1"/>
  <c r="E65" i="1109"/>
  <c r="D87" i="1102"/>
  <c r="C87" i="1102" s="1"/>
  <c r="C62" i="1102"/>
  <c r="C158" i="1102" s="1"/>
  <c r="D128" i="1101"/>
  <c r="C93" i="1101"/>
  <c r="I93" i="1101" s="1"/>
  <c r="C159" i="1101"/>
  <c r="I86" i="1101"/>
  <c r="D87" i="1101"/>
  <c r="C87" i="1101" s="1"/>
  <c r="I87" i="1101" s="1"/>
  <c r="C62" i="1101"/>
  <c r="E90" i="1109" l="1"/>
  <c r="I62" i="1101"/>
  <c r="D154" i="1101"/>
  <c r="C154" i="1101" s="1"/>
  <c r="C128" i="1101"/>
  <c r="I128" i="1101" s="1"/>
  <c r="H159" i="1101" l="1"/>
  <c r="I154" i="1101"/>
  <c r="C158" i="1101"/>
  <c r="B41" i="1080" l="1"/>
  <c r="B45" i="1080"/>
  <c r="C38" i="1082" l="1"/>
  <c r="C44" i="1082"/>
  <c r="E32" i="1051"/>
  <c r="B32" i="1051"/>
  <c r="F14" i="1051"/>
  <c r="D51" i="1082"/>
  <c r="D44" i="1082"/>
  <c r="B44" i="1082"/>
  <c r="E43" i="1082"/>
  <c r="E42" i="1082"/>
  <c r="E41" i="1082"/>
  <c r="E40" i="1082"/>
  <c r="E39" i="1082"/>
  <c r="E38" i="1082"/>
  <c r="E37" i="1082"/>
  <c r="D34" i="1082"/>
  <c r="C34" i="1082"/>
  <c r="B34" i="1082"/>
  <c r="E33" i="1082"/>
  <c r="E32" i="1082"/>
  <c r="E31" i="1082"/>
  <c r="E30" i="1082"/>
  <c r="E29" i="1082"/>
  <c r="E28" i="1082"/>
  <c r="E27" i="1082"/>
  <c r="E34" i="1082" s="1"/>
  <c r="D22" i="1082"/>
  <c r="C22" i="1082"/>
  <c r="B22" i="1082"/>
  <c r="E21" i="1082"/>
  <c r="E20" i="1082"/>
  <c r="E19" i="1082"/>
  <c r="E18" i="1082"/>
  <c r="E17" i="1082"/>
  <c r="E16" i="1082"/>
  <c r="E15" i="1082"/>
  <c r="D12" i="1082"/>
  <c r="C12" i="1082"/>
  <c r="B12" i="1082"/>
  <c r="E11" i="1082"/>
  <c r="E10" i="1082"/>
  <c r="E9" i="1082"/>
  <c r="E8" i="1082"/>
  <c r="E7" i="1082"/>
  <c r="E6" i="1082"/>
  <c r="E5" i="1082"/>
  <c r="E12" i="1082" s="1"/>
  <c r="E22" i="1082" l="1"/>
  <c r="E44" i="1082"/>
  <c r="B37" i="1080" l="1"/>
  <c r="B36" i="1080"/>
  <c r="B26" i="1080"/>
  <c r="B18" i="1080"/>
  <c r="B21" i="1080" s="1"/>
  <c r="D32" i="1051" l="1"/>
  <c r="F31" i="1051"/>
  <c r="F30" i="1051"/>
  <c r="F29" i="1051"/>
  <c r="F28" i="1051"/>
  <c r="F27" i="1051"/>
  <c r="F26" i="1051"/>
  <c r="F25" i="1051"/>
  <c r="F24" i="1051"/>
  <c r="F23" i="1051"/>
  <c r="F22" i="1051"/>
  <c r="F21" i="1051"/>
  <c r="F20" i="1051"/>
  <c r="F19" i="1051"/>
  <c r="F18" i="1051"/>
  <c r="F17" i="1051"/>
  <c r="F16" i="1051"/>
  <c r="F15" i="1051"/>
  <c r="F13" i="1051"/>
  <c r="F12" i="1051"/>
  <c r="F11" i="1051"/>
  <c r="F10" i="1051"/>
  <c r="F9" i="1051"/>
  <c r="F8" i="1051"/>
  <c r="F7" i="1051"/>
  <c r="F6" i="1051"/>
  <c r="F5" i="1051" l="1"/>
  <c r="F32" i="1051" s="1"/>
</calcChain>
</file>

<file path=xl/sharedStrings.xml><?xml version="1.0" encoding="utf-8"?>
<sst xmlns="http://schemas.openxmlformats.org/spreadsheetml/2006/main" count="4819" uniqueCount="752">
  <si>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</si>
  <si>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</si>
  <si>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</si>
  <si>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</si>
  <si>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</si>
  <si>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Pályázati önerő: közművelődés: 200 eFt, könyvtári: 200 eFt</t>
  </si>
  <si>
    <t>Helyi adók</t>
  </si>
  <si>
    <t>Jövedelem adó</t>
  </si>
  <si>
    <t>Vagyoni típusú adók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</si>
  <si>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</si>
  <si>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</si>
  <si>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 xml:space="preserve">Hosszabb id. közfogl. </t>
  </si>
  <si>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</si>
  <si>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</si>
  <si>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</si>
  <si>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</si>
  <si>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</si>
  <si>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</si>
  <si>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</si>
  <si>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</si>
  <si>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</si>
  <si>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</si>
  <si>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</si>
  <si>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</si>
  <si>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</si>
  <si>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</si>
  <si>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</si>
  <si>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</si>
  <si>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</si>
  <si>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</si>
  <si>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</si>
  <si>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</si>
  <si>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</si>
  <si>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</si>
  <si>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</si>
  <si>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</si>
  <si>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</si>
  <si>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</si>
  <si>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</si>
  <si>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</si>
  <si>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</si>
  <si>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</si>
  <si>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</si>
  <si>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</si>
  <si>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</si>
  <si>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</si>
  <si>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</si>
  <si>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</si>
  <si>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</si>
  <si>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</si>
  <si>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</si>
  <si>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</si>
  <si>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</si>
  <si>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</si>
  <si>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</si>
  <si>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</si>
  <si>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</si>
  <si>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</si>
  <si>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</si>
  <si>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</si>
  <si>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</si>
  <si>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</si>
  <si>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</si>
  <si>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</si>
  <si>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</si>
  <si>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</si>
  <si>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</si>
  <si>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</si>
  <si>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</si>
  <si>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</si>
  <si>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</si>
  <si>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</si>
  <si>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</si>
  <si>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</si>
  <si>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</si>
  <si>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</si>
  <si>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</si>
  <si>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</si>
  <si>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</si>
  <si>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</si>
  <si>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</si>
  <si>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</si>
  <si>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</si>
  <si>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</si>
  <si>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</si>
  <si>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</si>
  <si>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</si>
  <si>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</si>
  <si>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</si>
  <si>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</si>
  <si>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</si>
  <si>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</si>
  <si>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</si>
  <si>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</si>
  <si>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</si>
  <si>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</si>
  <si>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</si>
  <si>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</si>
  <si>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</si>
  <si>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</si>
  <si>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</si>
  <si>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</si>
  <si>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</si>
  <si>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</si>
  <si>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</si>
  <si>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</si>
  <si>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</si>
  <si>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</si>
  <si>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</si>
  <si>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</si>
  <si>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</si>
  <si>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</si>
  <si>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</si>
  <si>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</si>
  <si>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</si>
  <si>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</si>
  <si>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</si>
  <si>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</si>
  <si>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</si>
  <si>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</si>
  <si>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</si>
  <si>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</si>
  <si>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</si>
  <si>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</si>
  <si>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</si>
  <si>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</si>
  <si>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</si>
  <si>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</si>
  <si>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</si>
  <si>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</si>
  <si>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</si>
  <si>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</si>
  <si>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</si>
  <si>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</si>
  <si>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</si>
  <si>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</si>
  <si>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</si>
  <si>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</si>
  <si>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</si>
  <si>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</si>
  <si>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</si>
  <si>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</si>
  <si>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</si>
  <si>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</si>
  <si>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</si>
  <si>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</si>
  <si>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</si>
  <si>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</si>
  <si>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</si>
  <si>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</si>
  <si>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</si>
  <si>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</si>
  <si>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</si>
  <si>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</si>
  <si>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</si>
  <si>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</si>
  <si>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</si>
  <si>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</si>
  <si>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</si>
  <si>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</si>
  <si>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</si>
  <si>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</si>
  <si>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</si>
  <si>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</si>
  <si>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</si>
  <si>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</si>
  <si>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</si>
  <si>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</si>
  <si>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</si>
  <si>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</si>
  <si>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</si>
  <si>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</si>
  <si>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</si>
  <si>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</si>
  <si>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</si>
  <si>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</si>
  <si>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</si>
  <si>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</si>
  <si>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</si>
  <si>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</si>
  <si>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</si>
  <si>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</si>
  <si>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</si>
  <si>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</si>
  <si>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</si>
  <si>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</si>
  <si>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</si>
  <si>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</si>
  <si>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</si>
  <si>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</si>
  <si>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</si>
  <si>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</si>
  <si>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</si>
  <si>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</si>
  <si>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</si>
  <si>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</si>
  <si>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</si>
  <si>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</si>
  <si>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</si>
  <si>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</si>
  <si>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</si>
  <si>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</si>
  <si>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</si>
  <si>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</si>
  <si>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</si>
  <si>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</si>
  <si>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</si>
  <si>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</si>
  <si>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</si>
  <si>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</si>
  <si>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</si>
  <si>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</si>
  <si>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</si>
  <si>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</si>
  <si>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</si>
  <si>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</si>
  <si>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</si>
  <si>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</si>
  <si>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</si>
  <si>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</si>
  <si>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</si>
  <si>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</si>
  <si>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</si>
  <si>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</si>
  <si>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</si>
  <si>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</si>
  <si>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</si>
  <si>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</si>
  <si>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</si>
  <si>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</si>
  <si>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</si>
  <si>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</si>
  <si>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</si>
  <si>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</si>
  <si>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</si>
  <si>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</si>
  <si>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</si>
  <si>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</si>
  <si>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</si>
  <si>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</si>
  <si>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</si>
  <si>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</si>
  <si>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</si>
  <si>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</si>
  <si>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</si>
  <si>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</si>
  <si>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</si>
  <si>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</si>
  <si>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</si>
  <si>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</si>
  <si>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</si>
  <si>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</si>
  <si>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</si>
  <si>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</si>
  <si>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</si>
  <si>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</si>
  <si>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</si>
  <si>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</si>
  <si>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</si>
  <si>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</si>
  <si>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</si>
  <si>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</si>
  <si>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</si>
  <si>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</si>
  <si>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</si>
  <si>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</si>
  <si>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</si>
  <si>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</si>
  <si>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</si>
  <si>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</si>
  <si>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</si>
  <si>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</si>
  <si>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</si>
  <si>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</si>
  <si>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</si>
  <si>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</si>
  <si>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</si>
  <si>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</si>
  <si>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</si>
  <si>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</si>
  <si>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</si>
  <si>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</si>
  <si>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</si>
  <si>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</si>
  <si>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</si>
  <si>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</si>
  <si>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</si>
  <si>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</si>
  <si>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</si>
  <si>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</si>
  <si>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</si>
  <si>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</si>
  <si>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</si>
  <si>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</si>
  <si>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</si>
  <si>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</si>
  <si>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</si>
  <si>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</si>
  <si>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</si>
  <si>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</si>
  <si>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</si>
  <si>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</si>
  <si>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</si>
  <si>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</si>
  <si>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</si>
  <si>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</si>
  <si>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</si>
  <si>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</si>
  <si>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</si>
  <si>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</si>
  <si>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</si>
  <si>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</si>
  <si>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</si>
  <si>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</si>
  <si>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</si>
  <si>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</si>
  <si>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</si>
  <si>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</si>
  <si>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</si>
  <si>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</si>
  <si>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</si>
  <si>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</si>
  <si>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</si>
  <si>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</si>
  <si>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</si>
  <si>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</si>
  <si>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</si>
  <si>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</si>
  <si>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</si>
  <si>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</si>
  <si>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</si>
  <si>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</si>
  <si>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</si>
  <si>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</si>
  <si>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</si>
  <si>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</si>
  <si>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</si>
  <si>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</si>
  <si>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</si>
  <si>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</si>
  <si>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</si>
  <si>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</si>
  <si>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</si>
  <si>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</si>
  <si>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</si>
  <si>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</si>
  <si>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</si>
  <si>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</si>
  <si>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</si>
  <si>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</si>
  <si>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</si>
  <si>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</si>
  <si>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</si>
  <si>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</si>
  <si>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</si>
  <si>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</si>
  <si>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</si>
  <si>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</si>
  <si>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</si>
  <si>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</si>
  <si>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</si>
  <si>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</si>
  <si>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</si>
  <si>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</si>
  <si>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</si>
  <si>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</si>
  <si>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</si>
  <si>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</si>
  <si>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</si>
  <si>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</si>
  <si>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</si>
  <si>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</si>
  <si>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</si>
  <si>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</si>
  <si>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</si>
  <si>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</si>
  <si>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</si>
  <si>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</si>
  <si>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</si>
  <si>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</si>
  <si>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</si>
  <si>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</si>
  <si>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</si>
  <si>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</si>
  <si>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</si>
  <si>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</si>
  <si>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</si>
  <si>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</si>
  <si>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</si>
  <si>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</si>
  <si>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</si>
  <si>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</si>
  <si>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</si>
  <si>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</si>
  <si>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</si>
  <si>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</si>
  <si>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</si>
  <si>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</si>
  <si>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</si>
  <si>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</si>
  <si>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</si>
  <si>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</si>
  <si>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</si>
  <si>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</si>
  <si>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</si>
  <si>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</si>
  <si>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</si>
  <si>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</si>
  <si>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</si>
  <si>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</si>
  <si>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</si>
  <si>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</si>
  <si>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</si>
  <si>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</si>
  <si>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</si>
  <si>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</si>
  <si>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</si>
  <si>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</si>
  <si>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</si>
  <si>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</si>
  <si>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</si>
  <si>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</si>
  <si>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</si>
  <si>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</si>
  <si>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</si>
  <si>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</si>
  <si>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</si>
  <si>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</si>
  <si>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</si>
  <si>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</si>
  <si>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</si>
  <si>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</si>
  <si>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</si>
  <si>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</si>
  <si>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</si>
  <si>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</si>
  <si>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</si>
  <si>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</si>
  <si>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</si>
  <si>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</si>
  <si>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</si>
  <si>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</si>
  <si>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</si>
  <si>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</si>
  <si>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</si>
  <si>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</si>
  <si>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</si>
  <si>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</si>
  <si>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</si>
  <si>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</si>
  <si>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</si>
  <si>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</si>
  <si>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</si>
  <si>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</si>
  <si>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</si>
  <si>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</si>
  <si>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</si>
  <si>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</si>
  <si>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Pályázat- és támogatáskezelés, ellenőrzés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</si>
  <si>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</si>
  <si>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</si>
  <si>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</si>
  <si>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</si>
  <si>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</si>
  <si>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</si>
  <si>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</si>
  <si>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</si>
  <si>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</si>
  <si>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</si>
  <si>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</si>
  <si>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</si>
  <si>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</si>
  <si>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</si>
  <si>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</si>
  <si>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</si>
  <si>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</si>
  <si>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</si>
  <si>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</si>
  <si>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</si>
  <si>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</si>
  <si>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</si>
  <si>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</si>
  <si>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</si>
  <si>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</si>
  <si>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</si>
  <si>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</si>
  <si>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</si>
  <si>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</si>
  <si>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</si>
  <si>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</si>
  <si>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</si>
  <si>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</si>
  <si>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</si>
  <si>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</si>
  <si>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</si>
  <si>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</si>
  <si>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</si>
  <si>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</si>
  <si>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</si>
  <si>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</si>
  <si>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</si>
  <si>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</si>
  <si>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</si>
  <si>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</si>
  <si>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</si>
  <si>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</si>
  <si>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</si>
  <si>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</si>
  <si>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</si>
  <si>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</si>
  <si>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</si>
  <si>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</si>
  <si>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</si>
  <si>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</si>
  <si>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</si>
  <si>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</si>
  <si>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</si>
  <si>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</si>
  <si>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</si>
  <si>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</si>
  <si>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</si>
  <si>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</si>
  <si>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</si>
  <si>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</si>
  <si>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</si>
  <si>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</si>
  <si>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</si>
  <si>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</si>
  <si>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</si>
  <si>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</si>
  <si>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</si>
  <si>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</si>
  <si>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</si>
  <si>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</si>
  <si>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</si>
  <si>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</si>
  <si>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</si>
  <si>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</si>
  <si>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</si>
  <si>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</si>
  <si>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</si>
  <si>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</si>
  <si>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</si>
  <si>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</si>
  <si>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</si>
  <si>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</si>
  <si>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</si>
  <si>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</si>
  <si>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</si>
  <si>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</si>
  <si>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</si>
  <si>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</si>
  <si>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</si>
  <si>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</si>
  <si>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</si>
  <si>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</si>
  <si>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</si>
  <si>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</si>
  <si>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</si>
  <si>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</si>
  <si>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</si>
  <si>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</si>
  <si>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</si>
  <si>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</si>
  <si>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</si>
  <si>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</si>
  <si>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</si>
  <si>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</si>
  <si>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</si>
  <si>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</si>
  <si>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</si>
  <si>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</si>
  <si>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</si>
  <si>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</si>
  <si>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</si>
  <si>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</si>
  <si>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</si>
  <si>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</si>
  <si>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</si>
  <si>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</si>
  <si>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</si>
  <si>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</si>
  <si>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</si>
  <si>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</si>
  <si>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</si>
  <si>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</si>
  <si>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</si>
  <si>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</si>
  <si>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</si>
  <si>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</si>
  <si>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</si>
  <si>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</si>
  <si>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</si>
  <si>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</si>
  <si>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</si>
  <si>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</si>
  <si>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</si>
  <si>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</si>
  <si>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 xml:space="preserve"> Forintban !</t>
  </si>
  <si>
    <t>Önkormányzati vagyonnal való gazd. (Pályázatok)</t>
  </si>
  <si>
    <t>Oktatás, közművelődés</t>
  </si>
  <si>
    <t>Gyermekek átmeneti ellátása</t>
  </si>
  <si>
    <t>Közfoglalkotatási mintaprogramok</t>
  </si>
  <si>
    <t>Önk</t>
  </si>
  <si>
    <t>PH</t>
  </si>
  <si>
    <t>INT</t>
  </si>
  <si>
    <t>Forintban!</t>
  </si>
  <si>
    <t>Hozzájárulás  (Ft)</t>
  </si>
  <si>
    <t>Egyesített Közműv. Int. és Könyv.</t>
  </si>
  <si>
    <t>- Üdülő VKT bevétel terhére kiadási tartalék</t>
  </si>
  <si>
    <t>Beruházási tartalék</t>
  </si>
  <si>
    <t>Belvíz pályázat tartalék</t>
  </si>
  <si>
    <t>Turizmus fejlesztési támogatások és tevékenységek</t>
  </si>
  <si>
    <t>Váci Mihály Gimnázium energetikai korszerűsítés</t>
  </si>
  <si>
    <t>- Felhalmozási támogatás</t>
  </si>
  <si>
    <t>Halgatói és oktatói ösztöndíjak</t>
  </si>
  <si>
    <t>Köztemető fenntartás és működtetés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</si>
  <si>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</si>
  <si>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</si>
  <si>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Fordított ÁFA</t>
  </si>
  <si>
    <t>2018. évi előirányzat</t>
  </si>
  <si>
    <t>2018.évi előirányzat</t>
  </si>
  <si>
    <t>Felhasználás
2017. XII.31-ig</t>
  </si>
  <si>
    <t xml:space="preserve">
2018. év utáni szükséglet
</t>
  </si>
  <si>
    <t>2018. év utáni szükséglet
(6=2 - 4 - 5)</t>
  </si>
  <si>
    <t>2018. előtt</t>
  </si>
  <si>
    <t>2018 után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</si>
  <si>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</si>
  <si>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</si>
  <si>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</si>
  <si>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</si>
  <si>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Előirányzat-felhasználási terv
2018. évre</t>
  </si>
  <si>
    <t>A 2018. évi általános működés és ágazati feladatok támogatásának alakulása jogcímenként</t>
  </si>
  <si>
    <t>2018. évi támogatás összesen</t>
  </si>
  <si>
    <t>A 2017. évről áthúzódó bérkompenzáció támogatása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</si>
  <si>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</si>
  <si>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</si>
  <si>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</si>
  <si>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</si>
  <si>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</si>
  <si>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</si>
  <si>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Az önkormányzat 2018. évi költségvetésének</t>
  </si>
  <si>
    <t>2018 év</t>
  </si>
  <si>
    <t>2018. év</t>
  </si>
  <si>
    <t>Önkormányzaton kívüli EU-s projektekhez történő hozzájárulás 2018. évi előirányzat</t>
  </si>
  <si>
    <t>Váci Mihály Gimn.energetikai korszerüsítése</t>
  </si>
  <si>
    <t>Varázsceruza Óvoda III. ütem felújítás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</si>
  <si>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</si>
  <si>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</si>
  <si>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</si>
  <si>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</si>
  <si>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</si>
  <si>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</t>
  </si>
  <si>
    <t>Minimanó Óvoda elektromos felúj.+festés+ fűtéskorszerűsítés</t>
  </si>
  <si>
    <t>Szennyvízbekötés</t>
  </si>
  <si>
    <t>Váci Mihály Gimn. energetikai korszerűsítés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</si>
  <si>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</si>
  <si>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</si>
  <si>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</si>
  <si>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</si>
  <si>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</si>
  <si>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</si>
  <si>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</si>
  <si>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</si>
  <si>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</si>
  <si>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</si>
  <si>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</si>
  <si>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508.000, kút létesítés: 1.830.070)</t>
  </si>
  <si>
    <t>Fólia létesítése</t>
  </si>
  <si>
    <t>egyéb tárgyi eszköz beszerzés (festmény, függöny, klíma, bútor)</t>
  </si>
  <si>
    <t>kis értékű informatikai eszközbeszerzés</t>
  </si>
  <si>
    <t>ASP-hez eszközbeszerzés</t>
  </si>
  <si>
    <t>számítógép beszerzés</t>
  </si>
  <si>
    <t>Petőfi út járda terv, anyag, szolgáltatás</t>
  </si>
  <si>
    <t>Tervek beszerzése</t>
  </si>
  <si>
    <t>- irattári szekrény készítés</t>
  </si>
  <si>
    <t>2018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</si>
  <si>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</si>
  <si>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</si>
  <si>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</si>
  <si>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</si>
  <si>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</si>
  <si>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</si>
  <si>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</si>
  <si>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</si>
  <si>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</si>
  <si>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</si>
  <si>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</si>
  <si>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</si>
  <si>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</si>
  <si>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</si>
  <si>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</si>
  <si>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</si>
  <si>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</si>
  <si>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</si>
  <si>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</si>
  <si>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</si>
  <si>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</si>
  <si>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</si>
  <si>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</si>
  <si>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</si>
  <si>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</si>
  <si>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</si>
  <si>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</si>
  <si>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</si>
  <si>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</si>
  <si>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</si>
  <si>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</si>
  <si>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</si>
  <si>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</si>
  <si>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</si>
  <si>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</si>
  <si>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</si>
  <si>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</si>
  <si>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</si>
  <si>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</si>
  <si>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</si>
  <si>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</si>
  <si>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- 1 db porszívó beszerzése</t>
  </si>
  <si>
    <t>- konyhai eszközök beszerzése</t>
  </si>
  <si>
    <t>- bölcsődei textíliák beszerzése</t>
  </si>
  <si>
    <t>EU-s projekt neve, azonosítója: A Váci Mihály Gimnázium épületének energetikai kórszerűsítése, TOP-3.2.1-15-SB1-2016-00063</t>
  </si>
  <si>
    <t>EU-s projekt neve, azonosítója: A Nyíri Mezőség turisztikai kínálatának integrált fejlesztése - Természeti és kulturális vonzerők, termékcsomagok fejlesztése a Nyíri Mezőségben, TOP-1.2.1-15-SB1-2016-00018</t>
  </si>
  <si>
    <t>Minimanó Óvoda villámhárító felújítása</t>
  </si>
  <si>
    <t>2017-2018</t>
  </si>
  <si>
    <t>Gyakorlati képz. - szoc. gondozó és ápoló (fő)</t>
  </si>
  <si>
    <t>EFOP 3.2.9-16 pályázat keretében foglalkoztatottak létszáma (fő)</t>
  </si>
  <si>
    <t>Talajterhelési díj bevétele</t>
  </si>
  <si>
    <t>- Temető üzemeltetési tartalék</t>
  </si>
  <si>
    <t>2016. évi tény</t>
  </si>
  <si>
    <t>Gyermekétkeztetés támogatása (bértámogatás)</t>
  </si>
  <si>
    <t>2018. évi bérkompenzáció 1-11 hó</t>
  </si>
  <si>
    <t>Kisgyermek gondozó pótlék 1-11 hó</t>
  </si>
  <si>
    <t>2018. ágazati pótlék 1-11 hó</t>
  </si>
  <si>
    <t>Egészségügyi pótlék 1-11 hó</t>
  </si>
  <si>
    <t xml:space="preserve">"
Tiszavasvári Város Önkormányzata
2018. ÉVI KÖLTSÉGVETÉSÉNEK PÉNZÜGYI MÉRLEGE"    
</t>
  </si>
  <si>
    <t>- egyéb kis értékű tárgyi eszközök beszerzése</t>
  </si>
  <si>
    <t>- 1 db laptop beszerzése szoftverrel</t>
  </si>
  <si>
    <t>- 1 db monitor beszerzése</t>
  </si>
  <si>
    <t>Idős ellátás 1 db monitor beszerzése (iroda)</t>
  </si>
  <si>
    <t>Fogyatékos ellátás 1 db nyomtató beszerzése</t>
  </si>
  <si>
    <t>Bentlakásos ellátások beruházási keretösszege</t>
  </si>
  <si>
    <t>- spirálozó és lamináló gép beszerzése</t>
  </si>
  <si>
    <t>Mezőőr kamera állvány, 4 db vadkamera+akkumulátor, sátor beszerzés</t>
  </si>
  <si>
    <t>KEF kis nértékű tárgyi eszköz beszerzés</t>
  </si>
  <si>
    <t>Mezőőri járulék nyilvántartó program beszerzés</t>
  </si>
  <si>
    <t>Járóbeteg szakrendelére tárgyi eszköz beszerzés</t>
  </si>
  <si>
    <t>Megváltozott munkaképességű munkavállalók foglalkoztatása (fő)</t>
  </si>
  <si>
    <t>Vállalkozási tevékenység bevételei, kiadásai</t>
  </si>
  <si>
    <t>Kulturális ágazati pótlék 1-11hó</t>
  </si>
  <si>
    <t>Óvodai nevelő óktató munkát segítők pótléka</t>
  </si>
  <si>
    <t>ASP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</si>
</sst>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#,##0.0_ ;\-#,##0.0\ "/>
  </numFmts>
  <fonts count="9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b/>
      <sz val="9"/>
      <color indexed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indexed="10"/>
      <name val="MS Sans Serif"/>
      <family val="2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4"/>
      <name val="Times New Roman CE"/>
      <charset val="238"/>
    </font>
    <font>
      <b/>
      <u/>
      <sz val="10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theme="1"/>
      <name val="Times New Roman CE"/>
      <family val="1"/>
      <charset val="238"/>
    </font>
    <font>
      <b/>
      <u/>
      <sz val="10"/>
      <color rgb="FFFF0000"/>
      <name val="Times New Roman CE"/>
      <charset val="238"/>
    </font>
    <font>
      <b/>
      <u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1"/>
      <color rgb="FFFF0000"/>
      <name val="Times New Roman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6" borderId="0" applyNumberFormat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63" fillId="0" borderId="0"/>
    <xf numFmtId="0" fontId="42" fillId="0" borderId="0"/>
    <xf numFmtId="0" fontId="6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10" fillId="0" borderId="0"/>
    <xf numFmtId="0" fontId="47" fillId="0" borderId="0"/>
    <xf numFmtId="0" fontId="4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0"/>
  </cellStyleXfs>
  <cellXfs count="105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6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vertical="center" wrapText="1"/>
    </xf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0" fillId="0" borderId="5" xfId="21" applyFont="1" applyFill="1" applyBorder="1" applyAlignment="1" applyProtection="1">
      <alignment horizontal="left" vertical="center" wrapText="1" indent="1"/>
    </xf>
    <xf numFmtId="0" fontId="20" fillId="0" borderId="6" xfId="21" applyFont="1" applyFill="1" applyBorder="1" applyAlignment="1" applyProtection="1">
      <alignment horizontal="left" vertical="center" wrapText="1" indent="1"/>
    </xf>
    <xf numFmtId="49" fontId="20" fillId="0" borderId="7" xfId="21" applyNumberFormat="1" applyFont="1" applyFill="1" applyBorder="1" applyAlignment="1" applyProtection="1">
      <alignment horizontal="left" vertical="center" wrapText="1" indent="1"/>
    </xf>
    <xf numFmtId="49" fontId="20" fillId="0" borderId="8" xfId="21" applyNumberFormat="1" applyFont="1" applyFill="1" applyBorder="1" applyAlignment="1" applyProtection="1">
      <alignment horizontal="left" vertical="center" wrapText="1" indent="1"/>
    </xf>
    <xf numFmtId="49" fontId="20" fillId="0" borderId="9" xfId="21" applyNumberFormat="1" applyFont="1" applyFill="1" applyBorder="1" applyAlignment="1" applyProtection="1">
      <alignment horizontal="left" vertical="center" wrapText="1" indent="1"/>
    </xf>
    <xf numFmtId="49" fontId="20" fillId="0" borderId="10" xfId="21" applyNumberFormat="1" applyFont="1" applyFill="1" applyBorder="1" applyAlignment="1" applyProtection="1">
      <alignment horizontal="left" vertical="center" wrapText="1" indent="1"/>
    </xf>
    <xf numFmtId="49" fontId="20" fillId="0" borderId="11" xfId="21" applyNumberFormat="1" applyFont="1" applyFill="1" applyBorder="1" applyAlignment="1" applyProtection="1">
      <alignment horizontal="left" vertical="center" wrapText="1" indent="1"/>
    </xf>
    <xf numFmtId="49" fontId="20" fillId="0" borderId="12" xfId="21" applyNumberFormat="1" applyFont="1" applyFill="1" applyBorder="1" applyAlignment="1" applyProtection="1">
      <alignment horizontal="left" vertical="center" wrapText="1" indent="1"/>
    </xf>
    <xf numFmtId="0" fontId="20" fillId="0" borderId="0" xfId="21" applyFont="1" applyFill="1" applyBorder="1" applyAlignment="1" applyProtection="1">
      <alignment horizontal="left" vertical="center" wrapText="1" indent="1"/>
    </xf>
    <xf numFmtId="0" fontId="18" fillId="0" borderId="13" xfId="21" applyFont="1" applyFill="1" applyBorder="1" applyAlignment="1" applyProtection="1">
      <alignment horizontal="left" vertical="center" wrapText="1" indent="1"/>
    </xf>
    <xf numFmtId="0" fontId="18" fillId="0" borderId="14" xfId="21" applyFont="1" applyFill="1" applyBorder="1" applyAlignment="1" applyProtection="1">
      <alignment horizontal="left" vertical="center" wrapText="1" indent="1"/>
    </xf>
    <xf numFmtId="0" fontId="18" fillId="0" borderId="15" xfId="21" applyFont="1" applyFill="1" applyBorder="1" applyAlignment="1" applyProtection="1">
      <alignment horizontal="left" vertical="center" wrapText="1" indent="1"/>
    </xf>
    <xf numFmtId="0" fontId="7" fillId="0" borderId="13" xfId="21" applyFont="1" applyFill="1" applyBorder="1" applyAlignment="1" applyProtection="1">
      <alignment horizontal="center" vertical="center" wrapText="1"/>
    </xf>
    <xf numFmtId="0" fontId="7" fillId="0" borderId="14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vertical="center" wrapText="1"/>
    </xf>
    <xf numFmtId="0" fontId="18" fillId="0" borderId="16" xfId="21" applyFont="1" applyFill="1" applyBorder="1" applyAlignment="1" applyProtection="1">
      <alignment vertical="center" wrapText="1"/>
    </xf>
    <xf numFmtId="0" fontId="18" fillId="0" borderId="13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horizontal="center" vertical="center" wrapText="1"/>
    </xf>
    <xf numFmtId="0" fontId="18" fillId="0" borderId="19" xfId="21" applyFont="1" applyFill="1" applyBorder="1" applyAlignment="1" applyProtection="1">
      <alignment horizontal="center" vertical="center" wrapText="1"/>
    </xf>
    <xf numFmtId="0" fontId="7" fillId="0" borderId="14" xfId="23" applyFont="1" applyFill="1" applyBorder="1" applyAlignment="1" applyProtection="1">
      <alignment horizontal="left" vertical="center" indent="1"/>
    </xf>
    <xf numFmtId="0" fontId="7" fillId="0" borderId="19" xfId="2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4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3" fontId="26" fillId="0" borderId="2" xfId="0" applyNumberFormat="1" applyFont="1" applyFill="1" applyBorder="1" applyAlignment="1" applyProtection="1">
      <alignment vertical="center"/>
      <protection locked="0"/>
    </xf>
    <xf numFmtId="49" fontId="26" fillId="0" borderId="10" xfId="0" applyNumberFormat="1" applyFont="1" applyFill="1" applyBorder="1" applyAlignment="1" applyProtection="1">
      <alignment vertical="center"/>
      <protection locked="0"/>
    </xf>
    <xf numFmtId="3" fontId="26" fillId="0" borderId="6" xfId="0" applyNumberFormat="1" applyFont="1" applyFill="1" applyBorder="1" applyAlignment="1" applyProtection="1">
      <alignment vertical="center"/>
      <protection locked="0"/>
    </xf>
    <xf numFmtId="49" fontId="26" fillId="0" borderId="8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3" applyFill="1" applyProtection="1"/>
    <xf numFmtId="0" fontId="20" fillId="0" borderId="13" xfId="23" applyFont="1" applyFill="1" applyBorder="1" applyAlignment="1" applyProtection="1">
      <alignment horizontal="left" vertical="center" indent="1"/>
    </xf>
    <xf numFmtId="0" fontId="10" fillId="0" borderId="0" xfId="23" applyFill="1" applyAlignment="1" applyProtection="1">
      <alignment vertical="center"/>
    </xf>
    <xf numFmtId="0" fontId="20" fillId="0" borderId="7" xfId="23" applyFont="1" applyFill="1" applyBorder="1" applyAlignment="1" applyProtection="1">
      <alignment horizontal="left" vertical="center" indent="1"/>
    </xf>
    <xf numFmtId="0" fontId="20" fillId="0" borderId="8" xfId="23" applyFont="1" applyFill="1" applyBorder="1" applyAlignment="1" applyProtection="1">
      <alignment horizontal="left" vertical="center" indent="1"/>
    </xf>
    <xf numFmtId="164" fontId="20" fillId="0" borderId="2" xfId="23" applyNumberFormat="1" applyFont="1" applyFill="1" applyBorder="1" applyAlignment="1" applyProtection="1">
      <alignment vertical="center"/>
      <protection locked="0"/>
    </xf>
    <xf numFmtId="0" fontId="10" fillId="0" borderId="0" xfId="23" applyFill="1" applyAlignment="1" applyProtection="1">
      <alignment vertical="center"/>
      <protection locked="0"/>
    </xf>
    <xf numFmtId="164" fontId="18" fillId="0" borderId="14" xfId="23" applyNumberFormat="1" applyFont="1" applyFill="1" applyBorder="1" applyAlignment="1" applyProtection="1">
      <alignment vertical="center"/>
    </xf>
    <xf numFmtId="164" fontId="18" fillId="0" borderId="19" xfId="23" applyNumberFormat="1" applyFont="1" applyFill="1" applyBorder="1" applyAlignment="1" applyProtection="1">
      <alignment vertical="center"/>
    </xf>
    <xf numFmtId="0" fontId="18" fillId="0" borderId="13" xfId="23" applyFont="1" applyFill="1" applyBorder="1" applyAlignment="1" applyProtection="1">
      <alignment horizontal="left" vertical="center" indent="1"/>
    </xf>
    <xf numFmtId="164" fontId="18" fillId="0" borderId="14" xfId="23" applyNumberFormat="1" applyFont="1" applyFill="1" applyBorder="1" applyProtection="1"/>
    <xf numFmtId="164" fontId="18" fillId="0" borderId="19" xfId="23" applyNumberFormat="1" applyFont="1" applyFill="1" applyBorder="1" applyProtection="1"/>
    <xf numFmtId="0" fontId="10" fillId="0" borderId="0" xfId="23" applyFill="1" applyProtection="1">
      <protection locked="0"/>
    </xf>
    <xf numFmtId="0" fontId="13" fillId="0" borderId="0" xfId="23" applyFont="1" applyFill="1" applyProtection="1"/>
    <xf numFmtId="0" fontId="31" fillId="0" borderId="0" xfId="23" applyFont="1" applyFill="1" applyProtection="1">
      <protection locked="0"/>
    </xf>
    <xf numFmtId="0" fontId="21" fillId="0" borderId="0" xfId="23" applyFont="1" applyFill="1" applyProtection="1">
      <protection locked="0"/>
    </xf>
    <xf numFmtId="164" fontId="7" fillId="7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21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6" fillId="0" borderId="25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indent="6"/>
    </xf>
    <xf numFmtId="0" fontId="20" fillId="0" borderId="2" xfId="21" applyFont="1" applyFill="1" applyBorder="1" applyAlignment="1" applyProtection="1">
      <alignment horizontal="left" vertical="center" wrapText="1" indent="6"/>
    </xf>
    <xf numFmtId="0" fontId="20" fillId="0" borderId="6" xfId="21" applyFont="1" applyFill="1" applyBorder="1" applyAlignment="1" applyProtection="1">
      <alignment horizontal="left" vertical="center" wrapText="1" indent="6"/>
    </xf>
    <xf numFmtId="0" fontId="20" fillId="0" borderId="21" xfId="21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7" fillId="0" borderId="15" xfId="0" applyFont="1" applyFill="1" applyBorder="1" applyAlignment="1" applyProtection="1">
      <alignment vertical="center"/>
    </xf>
    <xf numFmtId="0" fontId="27" fillId="0" borderId="16" xfId="0" applyFont="1" applyFill="1" applyBorder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vertical="center"/>
    </xf>
    <xf numFmtId="3" fontId="26" fillId="0" borderId="17" xfId="0" applyNumberFormat="1" applyFont="1" applyFill="1" applyBorder="1" applyAlignment="1" applyProtection="1">
      <alignment vertical="center"/>
    </xf>
    <xf numFmtId="49" fontId="30" fillId="0" borderId="8" xfId="0" quotePrefix="1" applyNumberFormat="1" applyFont="1" applyFill="1" applyBorder="1" applyAlignment="1" applyProtection="1">
      <alignment horizontal="left" vertical="center" indent="1"/>
    </xf>
    <xf numFmtId="3" fontId="30" fillId="0" borderId="18" xfId="0" applyNumberFormat="1" applyFont="1" applyFill="1" applyBorder="1" applyAlignment="1" applyProtection="1">
      <alignment vertical="center"/>
    </xf>
    <xf numFmtId="49" fontId="26" fillId="0" borderId="8" xfId="0" applyNumberFormat="1" applyFont="1" applyFill="1" applyBorder="1" applyAlignment="1" applyProtection="1">
      <alignment vertical="center"/>
    </xf>
    <xf numFmtId="3" fontId="26" fillId="0" borderId="18" xfId="0" applyNumberFormat="1" applyFont="1" applyFill="1" applyBorder="1" applyAlignment="1" applyProtection="1">
      <alignment vertical="center"/>
    </xf>
    <xf numFmtId="49" fontId="27" fillId="0" borderId="13" xfId="0" applyNumberFormat="1" applyFont="1" applyFill="1" applyBorder="1" applyAlignment="1" applyProtection="1">
      <alignment vertical="center"/>
    </xf>
    <xf numFmtId="3" fontId="26" fillId="0" borderId="14" xfId="0" applyNumberFormat="1" applyFont="1" applyFill="1" applyBorder="1" applyAlignment="1" applyProtection="1">
      <alignment vertical="center"/>
    </xf>
    <xf numFmtId="3" fontId="26" fillId="0" borderId="19" xfId="0" applyNumberFormat="1" applyFont="1" applyFill="1" applyBorder="1" applyAlignment="1" applyProtection="1">
      <alignment vertical="center"/>
    </xf>
    <xf numFmtId="49" fontId="26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0" fontId="20" fillId="0" borderId="2" xfId="23" applyFont="1" applyFill="1" applyBorder="1" applyAlignment="1" applyProtection="1">
      <alignment horizontal="left" vertical="center" indent="1"/>
    </xf>
    <xf numFmtId="0" fontId="20" fillId="0" borderId="3" xfId="23" applyFont="1" applyFill="1" applyBorder="1" applyAlignment="1" applyProtection="1">
      <alignment horizontal="left" vertical="center" wrapText="1" indent="1"/>
    </xf>
    <xf numFmtId="0" fontId="20" fillId="0" borderId="2" xfId="23" applyFont="1" applyFill="1" applyBorder="1" applyAlignment="1" applyProtection="1">
      <alignment horizontal="left" vertical="center" wrapText="1" indent="1"/>
    </xf>
    <xf numFmtId="0" fontId="7" fillId="0" borderId="14" xfId="23" applyFont="1" applyFill="1" applyBorder="1" applyAlignment="1" applyProtection="1">
      <alignment horizontal="left" indent="1"/>
    </xf>
    <xf numFmtId="0" fontId="22" fillId="0" borderId="15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39" xfId="0" applyFont="1" applyBorder="1" applyAlignment="1" applyProtection="1">
      <alignment horizontal="left" vertical="center" wrapText="1" indent="1"/>
    </xf>
    <xf numFmtId="164" fontId="18" fillId="0" borderId="28" xfId="21" applyNumberFormat="1" applyFont="1" applyFill="1" applyBorder="1" applyAlignment="1" applyProtection="1">
      <alignment horizontal="right" vertical="center" wrapText="1" indent="1"/>
    </xf>
    <xf numFmtId="164" fontId="18" fillId="0" borderId="19" xfId="21" applyNumberFormat="1" applyFont="1" applyFill="1" applyBorder="1" applyAlignment="1" applyProtection="1">
      <alignment horizontal="right" vertical="center" wrapText="1" indent="1"/>
    </xf>
    <xf numFmtId="164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21" applyNumberFormat="1" applyFont="1" applyFill="1" applyBorder="1" applyAlignment="1" applyProtection="1">
      <alignment horizontal="right" vertical="center" wrapText="1" indent="1"/>
    </xf>
    <xf numFmtId="164" fontId="6" fillId="0" borderId="0" xfId="21" applyNumberFormat="1" applyFont="1" applyFill="1" applyBorder="1" applyAlignment="1" applyProtection="1">
      <alignment horizontal="right" vertical="center" wrapText="1" indent="1"/>
    </xf>
    <xf numFmtId="164" fontId="20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horizontal="center" vertical="center" wrapText="1"/>
    </xf>
    <xf numFmtId="164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3" xfId="0" applyNumberFormat="1" applyFont="1" applyFill="1" applyBorder="1" applyAlignment="1" applyProtection="1">
      <alignment horizontal="left" vertical="center" wrapText="1" indent="1"/>
    </xf>
    <xf numFmtId="164" fontId="28" fillId="0" borderId="27" xfId="0" applyNumberFormat="1" applyFont="1" applyFill="1" applyBorder="1" applyAlignment="1" applyProtection="1">
      <alignment horizontal="left" vertical="center" wrapText="1" indent="1"/>
    </xf>
    <xf numFmtId="164" fontId="26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0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4" fontId="7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38" fillId="0" borderId="0" xfId="0" applyFont="1" applyFill="1" applyBorder="1" applyAlignment="1" applyProtection="1">
      <alignment horizontal="right"/>
    </xf>
    <xf numFmtId="0" fontId="22" fillId="0" borderId="25" xfId="0" applyFont="1" applyBorder="1" applyAlignment="1" applyProtection="1">
      <alignment horizontal="left" vertical="center" wrapText="1" indent="1"/>
    </xf>
    <xf numFmtId="0" fontId="10" fillId="0" borderId="0" xfId="21" applyFont="1" applyFill="1" applyProtection="1"/>
    <xf numFmtId="0" fontId="10" fillId="0" borderId="0" xfId="21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8" fillId="0" borderId="15" xfId="21" applyFont="1" applyFill="1" applyBorder="1" applyAlignment="1" applyProtection="1">
      <alignment horizontal="center" vertical="center" wrapText="1"/>
    </xf>
    <xf numFmtId="0" fontId="18" fillId="0" borderId="16" xfId="21" applyFont="1" applyFill="1" applyBorder="1" applyAlignment="1" applyProtection="1">
      <alignment horizontal="center" vertical="center" wrapText="1"/>
    </xf>
    <xf numFmtId="0" fontId="18" fillId="0" borderId="28" xfId="21" applyFont="1" applyFill="1" applyBorder="1" applyAlignment="1" applyProtection="1">
      <alignment horizontal="center" vertical="center" wrapText="1"/>
    </xf>
    <xf numFmtId="164" fontId="20" fillId="0" borderId="20" xfId="21" applyNumberFormat="1" applyFont="1" applyFill="1" applyBorder="1" applyAlignment="1" applyProtection="1">
      <alignment horizontal="righ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6"/>
    </xf>
    <xf numFmtId="0" fontId="10" fillId="0" borderId="0" xfId="21" applyFill="1" applyProtection="1"/>
    <xf numFmtId="0" fontId="20" fillId="0" borderId="0" xfId="21" applyFont="1" applyFill="1" applyProtection="1"/>
    <xf numFmtId="0" fontId="13" fillId="0" borderId="0" xfId="21" applyFont="1" applyFill="1" applyProtection="1"/>
    <xf numFmtId="0" fontId="23" fillId="0" borderId="3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wrapText="1"/>
    </xf>
    <xf numFmtId="0" fontId="23" fillId="0" borderId="9" xfId="0" applyFont="1" applyBorder="1" applyAlignment="1" applyProtection="1">
      <alignment wrapText="1"/>
    </xf>
    <xf numFmtId="0" fontId="23" fillId="0" borderId="8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25" xfId="0" applyFont="1" applyBorder="1" applyAlignment="1" applyProtection="1">
      <alignment wrapText="1"/>
    </xf>
    <xf numFmtId="0" fontId="10" fillId="0" borderId="0" xfId="21" applyFill="1" applyAlignment="1" applyProtection="1"/>
    <xf numFmtId="164" fontId="22" fillId="0" borderId="19" xfId="0" quotePrefix="1" applyNumberFormat="1" applyFont="1" applyBorder="1" applyAlignment="1" applyProtection="1">
      <alignment horizontal="right" vertical="center" wrapText="1" indent="1"/>
    </xf>
    <xf numFmtId="0" fontId="21" fillId="0" borderId="0" xfId="21" applyFont="1" applyFill="1" applyProtection="1"/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1" applyNumberFormat="1" applyFont="1" applyFill="1" applyBorder="1" applyAlignment="1" applyProtection="1">
      <alignment horizontal="center" vertical="center" wrapText="1"/>
    </xf>
    <xf numFmtId="49" fontId="20" fillId="0" borderId="8" xfId="21" applyNumberFormat="1" applyFont="1" applyFill="1" applyBorder="1" applyAlignment="1" applyProtection="1">
      <alignment horizontal="center" vertical="center" wrapText="1"/>
    </xf>
    <xf numFmtId="49" fontId="20" fillId="0" borderId="10" xfId="21" applyNumberFormat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4" fillId="0" borderId="39" xfId="0" applyFont="1" applyBorder="1" applyAlignment="1" applyProtection="1">
      <alignment horizontal="center" wrapText="1"/>
    </xf>
    <xf numFmtId="49" fontId="20" fillId="0" borderId="11" xfId="21" applyNumberFormat="1" applyFont="1" applyFill="1" applyBorder="1" applyAlignment="1" applyProtection="1">
      <alignment horizontal="center" vertical="center" wrapText="1"/>
    </xf>
    <xf numFmtId="49" fontId="20" fillId="0" borderId="7" xfId="21" applyNumberFormat="1" applyFont="1" applyFill="1" applyBorder="1" applyAlignment="1" applyProtection="1">
      <alignment horizontal="center" vertical="center" wrapText="1"/>
    </xf>
    <xf numFmtId="49" fontId="20" fillId="0" borderId="12" xfId="21" applyNumberFormat="1" applyFont="1" applyFill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3" applyFont="1" applyFill="1" applyBorder="1" applyAlignment="1" applyProtection="1">
      <alignment horizontal="lef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0" fontId="42" fillId="0" borderId="0" xfId="18"/>
    <xf numFmtId="0" fontId="13" fillId="0" borderId="0" xfId="18" applyFont="1"/>
    <xf numFmtId="0" fontId="50" fillId="0" borderId="0" xfId="18" applyFont="1" applyAlignment="1">
      <alignment horizontal="centerContinuous"/>
    </xf>
    <xf numFmtId="0" fontId="28" fillId="0" borderId="48" xfId="18" applyFont="1" applyBorder="1" applyAlignment="1">
      <alignment horizontal="center" vertical="center" wrapText="1"/>
    </xf>
    <xf numFmtId="0" fontId="42" fillId="0" borderId="0" xfId="18" applyFont="1"/>
    <xf numFmtId="3" fontId="57" fillId="0" borderId="2" xfId="0" applyNumberFormat="1" applyFont="1" applyFill="1" applyBorder="1" applyAlignment="1" applyProtection="1">
      <alignment vertical="center"/>
      <protection locked="0"/>
    </xf>
    <xf numFmtId="164" fontId="34" fillId="0" borderId="2" xfId="0" applyNumberFormat="1" applyFont="1" applyFill="1" applyBorder="1" applyAlignment="1" applyProtection="1">
      <alignment vertical="center" wrapText="1"/>
      <protection locked="0"/>
    </xf>
    <xf numFmtId="49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6" xfId="0" applyNumberFormat="1" applyFont="1" applyFill="1" applyBorder="1" applyAlignment="1" applyProtection="1">
      <alignment vertical="center" wrapText="1"/>
      <protection locked="0"/>
    </xf>
    <xf numFmtId="49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" xfId="23" applyNumberFormat="1" applyFont="1" applyFill="1" applyBorder="1" applyAlignment="1" applyProtection="1">
      <alignment vertical="center"/>
      <protection locked="0"/>
    </xf>
    <xf numFmtId="164" fontId="26" fillId="0" borderId="3" xfId="23" applyNumberFormat="1" applyFont="1" applyFill="1" applyBorder="1" applyAlignment="1" applyProtection="1">
      <alignment vertical="center"/>
      <protection locked="0"/>
    </xf>
    <xf numFmtId="0" fontId="23" fillId="0" borderId="2" xfId="0" quotePrefix="1" applyFont="1" applyBorder="1" applyAlignment="1" applyProtection="1">
      <alignment horizontal="left" wrapText="1" indent="1"/>
    </xf>
    <xf numFmtId="0" fontId="18" fillId="0" borderId="13" xfId="21" applyFont="1" applyFill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vertical="center" wrapText="1"/>
    </xf>
    <xf numFmtId="0" fontId="23" fillId="0" borderId="6" xfId="0" applyFont="1" applyBorder="1" applyAlignment="1" applyProtection="1">
      <alignment vertical="center" wrapText="1"/>
    </xf>
    <xf numFmtId="0" fontId="24" fillId="0" borderId="39" xfId="0" applyFont="1" applyBorder="1" applyAlignment="1" applyProtection="1">
      <alignment vertical="center" wrapText="1"/>
    </xf>
    <xf numFmtId="0" fontId="20" fillId="0" borderId="21" xfId="21" applyFont="1" applyFill="1" applyBorder="1" applyAlignment="1" applyProtection="1">
      <alignment horizontal="left" vertical="center" wrapText="1" indent="7"/>
    </xf>
    <xf numFmtId="0" fontId="18" fillId="0" borderId="39" xfId="21" applyFont="1" applyFill="1" applyBorder="1" applyAlignment="1" applyProtection="1">
      <alignment horizontal="left" vertical="center" wrapText="1" indent="1"/>
    </xf>
    <xf numFmtId="0" fontId="18" fillId="0" borderId="25" xfId="21" applyFont="1" applyFill="1" applyBorder="1" applyAlignment="1" applyProtection="1">
      <alignment vertical="center" wrapText="1"/>
    </xf>
    <xf numFmtId="164" fontId="18" fillId="0" borderId="26" xfId="21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5" fillId="0" borderId="13" xfId="21" applyNumberFormat="1" applyFont="1" applyFill="1" applyBorder="1" applyAlignment="1" applyProtection="1">
      <alignment horizontal="center" vertical="center" wrapText="1"/>
    </xf>
    <xf numFmtId="0" fontId="16" fillId="0" borderId="0" xfId="18" applyFont="1" applyAlignment="1">
      <alignment horizontal="center"/>
    </xf>
    <xf numFmtId="165" fontId="42" fillId="0" borderId="0" xfId="18" applyNumberFormat="1" applyFont="1"/>
    <xf numFmtId="164" fontId="5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21" applyNumberFormat="1" applyFont="1" applyFill="1" applyBorder="1" applyAlignment="1" applyProtection="1">
      <alignment horizontal="right" vertical="center" wrapText="1" indent="1"/>
    </xf>
    <xf numFmtId="164" fontId="6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23" applyNumberFormat="1" applyFont="1" applyFill="1" applyBorder="1" applyAlignment="1" applyProtection="1">
      <alignment vertical="center"/>
      <protection locked="0"/>
    </xf>
    <xf numFmtId="164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vertical="center" wrapText="1"/>
      <protection locked="0"/>
    </xf>
    <xf numFmtId="0" fontId="58" fillId="0" borderId="0" xfId="0" applyFont="1" applyFill="1" applyAlignment="1">
      <alignment vertical="center" wrapText="1"/>
    </xf>
    <xf numFmtId="164" fontId="2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0" xfId="0" applyFont="1" applyFill="1" applyAlignment="1" applyProtection="1">
      <alignment vertical="center" wrapText="1"/>
    </xf>
    <xf numFmtId="164" fontId="5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42" xfId="18" applyFont="1" applyBorder="1" applyAlignment="1">
      <alignment wrapText="1"/>
    </xf>
    <xf numFmtId="164" fontId="6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2" xfId="18" applyFont="1" applyBorder="1" applyAlignment="1">
      <alignment wrapText="1"/>
    </xf>
    <xf numFmtId="0" fontId="10" fillId="0" borderId="0" xfId="21" applyFill="1"/>
    <xf numFmtId="0" fontId="20" fillId="0" borderId="0" xfId="21" applyFont="1" applyFill="1"/>
    <xf numFmtId="164" fontId="18" fillId="0" borderId="44" xfId="21" applyNumberFormat="1" applyFont="1" applyFill="1" applyBorder="1" applyAlignment="1" applyProtection="1">
      <alignment horizontal="right" vertical="center" wrapText="1" indent="1"/>
    </xf>
    <xf numFmtId="0" fontId="13" fillId="0" borderId="0" xfId="21" applyFont="1" applyFill="1"/>
    <xf numFmtId="164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21" applyNumberFormat="1" applyFont="1" applyFill="1" applyBorder="1" applyAlignment="1" applyProtection="1">
      <alignment horizontal="right" vertical="center" wrapText="1" indent="1"/>
    </xf>
    <xf numFmtId="164" fontId="26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1" applyFont="1" applyFill="1" applyBorder="1" applyAlignment="1" applyProtection="1">
      <alignment horizontal="center" vertical="center" wrapText="1"/>
    </xf>
    <xf numFmtId="0" fontId="6" fillId="0" borderId="51" xfId="21" applyFont="1" applyFill="1" applyBorder="1" applyAlignment="1" applyProtection="1">
      <alignment vertical="center" wrapText="1"/>
    </xf>
    <xf numFmtId="164" fontId="18" fillId="0" borderId="52" xfId="21" applyNumberFormat="1" applyFont="1" applyFill="1" applyBorder="1" applyAlignment="1" applyProtection="1">
      <alignment horizontal="right" vertical="center" wrapText="1" indent="1"/>
    </xf>
    <xf numFmtId="164" fontId="20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Border="1" applyAlignment="1" applyProtection="1">
      <alignment horizontal="right" vertical="center" wrapText="1" indent="1"/>
    </xf>
    <xf numFmtId="164" fontId="22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1" applyFont="1" applyFill="1"/>
    <xf numFmtId="164" fontId="26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34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4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58" fillId="0" borderId="0" xfId="0" applyNumberFormat="1" applyFont="1" applyFill="1" applyAlignment="1">
      <alignment horizontal="center" vertical="center" wrapText="1"/>
    </xf>
    <xf numFmtId="164" fontId="62" fillId="0" borderId="0" xfId="0" applyNumberFormat="1" applyFont="1" applyFill="1" applyAlignment="1">
      <alignment horizontal="center" vertical="center" wrapText="1"/>
    </xf>
    <xf numFmtId="0" fontId="13" fillId="0" borderId="41" xfId="18" applyFont="1" applyBorder="1" applyAlignment="1">
      <alignment wrapText="1"/>
    </xf>
    <xf numFmtId="0" fontId="42" fillId="0" borderId="56" xfId="18" applyFont="1" applyBorder="1"/>
    <xf numFmtId="3" fontId="28" fillId="0" borderId="57" xfId="18" applyNumberFormat="1" applyFont="1" applyBorder="1" applyAlignment="1">
      <alignment horizontal="center" vertical="center" wrapText="1"/>
    </xf>
    <xf numFmtId="3" fontId="37" fillId="0" borderId="50" xfId="18" applyNumberFormat="1" applyFont="1" applyBorder="1" applyAlignment="1">
      <alignment horizontal="right" indent="2"/>
    </xf>
    <xf numFmtId="3" fontId="42" fillId="0" borderId="32" xfId="18" applyNumberFormat="1" applyBorder="1" applyAlignment="1">
      <alignment horizontal="right" indent="2"/>
    </xf>
    <xf numFmtId="0" fontId="28" fillId="0" borderId="58" xfId="18" applyFont="1" applyBorder="1" applyAlignment="1">
      <alignment horizontal="left" vertical="center" wrapText="1"/>
    </xf>
    <xf numFmtId="0" fontId="21" fillId="0" borderId="41" xfId="18" applyFont="1" applyBorder="1" applyAlignment="1">
      <alignment wrapText="1"/>
    </xf>
    <xf numFmtId="0" fontId="10" fillId="0" borderId="42" xfId="18" applyFont="1" applyBorder="1" applyAlignment="1">
      <alignment wrapText="1"/>
    </xf>
    <xf numFmtId="0" fontId="13" fillId="0" borderId="42" xfId="18" applyFont="1" applyBorder="1"/>
    <xf numFmtId="164" fontId="18" fillId="0" borderId="27" xfId="21" applyNumberFormat="1" applyFont="1" applyFill="1" applyBorder="1" applyAlignment="1" applyProtection="1">
      <alignment horizontal="right" vertical="center" wrapText="1" indent="1"/>
    </xf>
    <xf numFmtId="0" fontId="23" fillId="0" borderId="64" xfId="0" applyFont="1" applyBorder="1" applyAlignment="1" applyProtection="1">
      <alignment horizontal="left" wrapText="1" indent="1"/>
    </xf>
    <xf numFmtId="0" fontId="23" fillId="0" borderId="49" xfId="0" applyFont="1" applyBorder="1" applyAlignment="1" applyProtection="1">
      <alignment horizontal="left" wrapText="1" indent="1"/>
    </xf>
    <xf numFmtId="0" fontId="23" fillId="0" borderId="65" xfId="0" applyFont="1" applyBorder="1" applyAlignment="1" applyProtection="1">
      <alignment horizontal="left" wrapText="1" indent="1"/>
    </xf>
    <xf numFmtId="164" fontId="5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0" xfId="21" applyNumberFormat="1" applyFont="1" applyFill="1" applyBorder="1" applyAlignment="1" applyProtection="1">
      <alignment horizontal="right" vertical="center" wrapText="1" indent="1"/>
    </xf>
    <xf numFmtId="164" fontId="2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center" vertical="center" wrapText="1"/>
    </xf>
    <xf numFmtId="164" fontId="18" fillId="0" borderId="40" xfId="0" applyNumberFormat="1" applyFont="1" applyFill="1" applyBorder="1" applyAlignment="1" applyProtection="1">
      <alignment horizontal="center" vertical="center" wrapText="1"/>
    </xf>
    <xf numFmtId="49" fontId="3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21" applyNumberFormat="1" applyFont="1" applyFill="1" applyBorder="1" applyAlignment="1" applyProtection="1">
      <alignment horizontal="right" vertical="center" wrapText="1" indent="1"/>
    </xf>
    <xf numFmtId="164" fontId="26" fillId="0" borderId="18" xfId="21" applyNumberFormat="1" applyFont="1" applyFill="1" applyBorder="1" applyAlignment="1" applyProtection="1">
      <alignment horizontal="right" vertical="center" wrapText="1" indent="1"/>
    </xf>
    <xf numFmtId="164" fontId="26" fillId="0" borderId="23" xfId="21" applyNumberFormat="1" applyFont="1" applyFill="1" applyBorder="1" applyAlignment="1" applyProtection="1">
      <alignment horizontal="right" vertical="center" wrapText="1" indent="1"/>
    </xf>
    <xf numFmtId="0" fontId="26" fillId="0" borderId="8" xfId="24" applyFont="1" applyBorder="1" applyAlignment="1">
      <alignment horizontal="left"/>
    </xf>
    <xf numFmtId="0" fontId="18" fillId="0" borderId="67" xfId="21" applyFont="1" applyFill="1" applyBorder="1" applyAlignment="1" applyProtection="1">
      <alignment horizontal="center" vertical="center" wrapText="1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18" xfId="21" applyNumberFormat="1" applyFont="1" applyFill="1" applyBorder="1" applyAlignment="1" applyProtection="1">
      <alignment horizontal="right" vertical="center" wrapText="1" indent="1"/>
    </xf>
    <xf numFmtId="164" fontId="20" fillId="0" borderId="23" xfId="21" applyNumberFormat="1" applyFont="1" applyFill="1" applyBorder="1" applyAlignment="1" applyProtection="1">
      <alignment horizontal="right" vertical="center" wrapText="1" indent="1"/>
    </xf>
    <xf numFmtId="164" fontId="20" fillId="0" borderId="19" xfId="21" applyNumberFormat="1" applyFont="1" applyFill="1" applyBorder="1" applyAlignment="1" applyProtection="1">
      <alignment horizontal="right" vertical="center" wrapText="1" indent="1"/>
    </xf>
    <xf numFmtId="164" fontId="18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4" fontId="10" fillId="0" borderId="0" xfId="21" applyNumberFormat="1" applyFill="1" applyProtection="1"/>
    <xf numFmtId="49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65" fillId="0" borderId="2" xfId="0" applyNumberFormat="1" applyFont="1" applyFill="1" applyBorder="1" applyAlignment="1" applyProtection="1">
      <alignment vertical="center"/>
      <protection locked="0"/>
    </xf>
    <xf numFmtId="0" fontId="13" fillId="0" borderId="0" xfId="25" applyFont="1"/>
    <xf numFmtId="0" fontId="42" fillId="0" borderId="0" xfId="25"/>
    <xf numFmtId="0" fontId="49" fillId="0" borderId="0" xfId="25" applyFont="1" applyAlignment="1">
      <alignment horizontal="centerContinuous"/>
    </xf>
    <xf numFmtId="0" fontId="49" fillId="0" borderId="0" xfId="22" applyFont="1" applyAlignment="1">
      <alignment horizontal="centerContinuous"/>
    </xf>
    <xf numFmtId="0" fontId="48" fillId="0" borderId="0" xfId="25" applyFont="1" applyAlignment="1">
      <alignment horizontal="centerContinuous"/>
    </xf>
    <xf numFmtId="0" fontId="48" fillId="0" borderId="0" xfId="22" applyFont="1" applyFill="1" applyAlignment="1">
      <alignment horizontal="centerContinuous"/>
    </xf>
    <xf numFmtId="0" fontId="44" fillId="0" borderId="0" xfId="25" applyFont="1" applyAlignment="1">
      <alignment horizontal="centerContinuous"/>
    </xf>
    <xf numFmtId="0" fontId="56" fillId="0" borderId="0" xfId="25" applyFont="1" applyAlignment="1">
      <alignment horizontal="right"/>
    </xf>
    <xf numFmtId="0" fontId="18" fillId="0" borderId="2" xfId="25" applyFont="1" applyBorder="1" applyAlignment="1">
      <alignment horizontal="center"/>
    </xf>
    <xf numFmtId="0" fontId="18" fillId="0" borderId="18" xfId="25" applyFont="1" applyBorder="1" applyAlignment="1">
      <alignment horizontal="center"/>
    </xf>
    <xf numFmtId="0" fontId="26" fillId="0" borderId="8" xfId="25" applyFont="1" applyBorder="1" applyAlignment="1">
      <alignment horizontal="left"/>
    </xf>
    <xf numFmtId="0" fontId="42" fillId="0" borderId="0" xfId="25" applyFont="1"/>
    <xf numFmtId="3" fontId="42" fillId="0" borderId="0" xfId="25" applyNumberFormat="1"/>
    <xf numFmtId="0" fontId="59" fillId="0" borderId="0" xfId="25" applyFont="1"/>
    <xf numFmtId="0" fontId="3" fillId="0" borderId="0" xfId="20" applyFont="1"/>
    <xf numFmtId="0" fontId="42" fillId="0" borderId="0" xfId="20"/>
    <xf numFmtId="0" fontId="8" fillId="0" borderId="0" xfId="20" applyFont="1" applyAlignment="1">
      <alignment horizontal="center"/>
    </xf>
    <xf numFmtId="0" fontId="44" fillId="0" borderId="0" xfId="20" applyFont="1" applyAlignment="1">
      <alignment horizontal="centerContinuous"/>
    </xf>
    <xf numFmtId="0" fontId="6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2" fillId="0" borderId="0" xfId="20" applyAlignment="1">
      <alignment vertical="center"/>
    </xf>
    <xf numFmtId="0" fontId="42" fillId="0" borderId="0" xfId="20" applyFill="1" applyBorder="1"/>
    <xf numFmtId="0" fontId="42" fillId="0" borderId="0" xfId="20" applyBorder="1"/>
    <xf numFmtId="0" fontId="42" fillId="0" borderId="0" xfId="19"/>
    <xf numFmtId="0" fontId="20" fillId="0" borderId="0" xfId="19" applyFont="1"/>
    <xf numFmtId="0" fontId="18" fillId="0" borderId="0" xfId="19" applyFont="1"/>
    <xf numFmtId="0" fontId="64" fillId="0" borderId="0" xfId="19" applyFont="1"/>
    <xf numFmtId="0" fontId="13" fillId="0" borderId="0" xfId="19" applyFont="1"/>
    <xf numFmtId="0" fontId="26" fillId="0" borderId="0" xfId="19" applyFont="1"/>
    <xf numFmtId="0" fontId="19" fillId="0" borderId="0" xfId="19" applyFont="1" applyAlignment="1">
      <alignment horizontal="right"/>
    </xf>
    <xf numFmtId="49" fontId="44" fillId="0" borderId="0" xfId="19" applyNumberFormat="1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13" fillId="0" borderId="0" xfId="19" applyFont="1" applyAlignment="1">
      <alignment horizontal="centerContinuous"/>
    </xf>
    <xf numFmtId="0" fontId="4" fillId="0" borderId="0" xfId="19" applyFont="1" applyAlignment="1">
      <alignment horizontal="centerContinuous"/>
    </xf>
    <xf numFmtId="0" fontId="44" fillId="0" borderId="0" xfId="19" applyFont="1" applyAlignment="1">
      <alignment horizontal="centerContinuous"/>
    </xf>
    <xf numFmtId="0" fontId="52" fillId="0" borderId="0" xfId="19" applyFont="1" applyAlignment="1">
      <alignment horizontal="centerContinuous"/>
    </xf>
    <xf numFmtId="0" fontId="6" fillId="0" borderId="63" xfId="19" applyFont="1" applyBorder="1"/>
    <xf numFmtId="0" fontId="6" fillId="0" borderId="51" xfId="19" applyFont="1" applyBorder="1" applyAlignment="1">
      <alignment horizontal="center"/>
    </xf>
    <xf numFmtId="0" fontId="32" fillId="0" borderId="43" xfId="19" applyFont="1" applyBorder="1" applyAlignment="1">
      <alignment horizontal="center"/>
    </xf>
    <xf numFmtId="0" fontId="7" fillId="0" borderId="10" xfId="19" applyFont="1" applyBorder="1" applyAlignment="1">
      <alignment horizontal="center"/>
    </xf>
    <xf numFmtId="0" fontId="7" fillId="0" borderId="6" xfId="19" applyFont="1" applyBorder="1" applyAlignment="1">
      <alignment horizontal="center"/>
    </xf>
    <xf numFmtId="0" fontId="7" fillId="0" borderId="23" xfId="19" applyFont="1" applyBorder="1" applyAlignment="1">
      <alignment horizontal="center"/>
    </xf>
    <xf numFmtId="0" fontId="7" fillId="0" borderId="38" xfId="19" applyFont="1" applyBorder="1" applyAlignment="1">
      <alignment horizontal="center"/>
    </xf>
    <xf numFmtId="0" fontId="17" fillId="0" borderId="60" xfId="19" applyFont="1" applyBorder="1"/>
    <xf numFmtId="0" fontId="7" fillId="0" borderId="7" xfId="19" applyFont="1" applyBorder="1" applyAlignment="1">
      <alignment horizontal="center"/>
    </xf>
    <xf numFmtId="0" fontId="7" fillId="0" borderId="1" xfId="19" applyFont="1" applyBorder="1" applyAlignment="1">
      <alignment horizontal="center"/>
    </xf>
    <xf numFmtId="0" fontId="7" fillId="0" borderId="40" xfId="19" applyFont="1" applyBorder="1" applyAlignment="1">
      <alignment horizontal="center"/>
    </xf>
    <xf numFmtId="0" fontId="7" fillId="0" borderId="0" xfId="19" applyFont="1" applyBorder="1" applyAlignment="1">
      <alignment horizontal="center"/>
    </xf>
    <xf numFmtId="3" fontId="34" fillId="0" borderId="55" xfId="19" applyNumberFormat="1" applyFont="1" applyBorder="1" applyAlignment="1">
      <alignment horizontal="center"/>
    </xf>
    <xf numFmtId="3" fontId="34" fillId="0" borderId="4" xfId="19" applyNumberFormat="1" applyFont="1" applyBorder="1" applyAlignment="1">
      <alignment horizontal="center"/>
    </xf>
    <xf numFmtId="3" fontId="34" fillId="0" borderId="4" xfId="19" applyNumberFormat="1" applyFont="1" applyBorder="1" applyAlignment="1">
      <alignment horizontal="right"/>
    </xf>
    <xf numFmtId="3" fontId="7" fillId="0" borderId="17" xfId="19" applyNumberFormat="1" applyFont="1" applyBorder="1"/>
    <xf numFmtId="3" fontId="7" fillId="0" borderId="51" xfId="19" applyNumberFormat="1" applyFont="1" applyBorder="1"/>
    <xf numFmtId="3" fontId="34" fillId="0" borderId="11" xfId="19" applyNumberFormat="1" applyFont="1" applyBorder="1" applyAlignment="1">
      <alignment horizontal="right"/>
    </xf>
    <xf numFmtId="3" fontId="34" fillId="0" borderId="4" xfId="19" applyNumberFormat="1" applyFont="1" applyBorder="1" applyAlignment="1"/>
    <xf numFmtId="3" fontId="27" fillId="0" borderId="17" xfId="19" applyNumberFormat="1" applyFont="1" applyBorder="1"/>
    <xf numFmtId="0" fontId="43" fillId="0" borderId="0" xfId="19" applyFont="1"/>
    <xf numFmtId="3" fontId="34" fillId="0" borderId="5" xfId="19" applyNumberFormat="1" applyFont="1" applyBorder="1"/>
    <xf numFmtId="3" fontId="34" fillId="0" borderId="2" xfId="19" applyNumberFormat="1" applyFont="1" applyBorder="1"/>
    <xf numFmtId="3" fontId="7" fillId="0" borderId="18" xfId="19" applyNumberFormat="1" applyFont="1" applyBorder="1"/>
    <xf numFmtId="3" fontId="7" fillId="0" borderId="38" xfId="19" applyNumberFormat="1" applyFont="1" applyBorder="1"/>
    <xf numFmtId="3" fontId="34" fillId="0" borderId="8" xfId="19" applyNumberFormat="1" applyFont="1" applyBorder="1"/>
    <xf numFmtId="3" fontId="27" fillId="0" borderId="18" xfId="19" applyNumberFormat="1" applyFont="1" applyBorder="1"/>
    <xf numFmtId="0" fontId="34" fillId="0" borderId="42" xfId="19" applyFont="1" applyBorder="1"/>
    <xf numFmtId="3" fontId="7" fillId="0" borderId="0" xfId="19" applyNumberFormat="1" applyFont="1" applyBorder="1"/>
    <xf numFmtId="3" fontId="34" fillId="0" borderId="2" xfId="19" applyNumberFormat="1" applyFont="1" applyFill="1" applyBorder="1"/>
    <xf numFmtId="3" fontId="7" fillId="0" borderId="49" xfId="19" applyNumberFormat="1" applyFont="1" applyBorder="1"/>
    <xf numFmtId="49" fontId="34" fillId="0" borderId="42" xfId="19" applyNumberFormat="1" applyFont="1" applyBorder="1"/>
    <xf numFmtId="3" fontId="56" fillId="0" borderId="2" xfId="19" applyNumberFormat="1" applyFont="1" applyBorder="1"/>
    <xf numFmtId="3" fontId="56" fillId="0" borderId="5" xfId="19" applyNumberFormat="1" applyFont="1" applyBorder="1"/>
    <xf numFmtId="3" fontId="19" fillId="0" borderId="38" xfId="19" applyNumberFormat="1" applyFont="1" applyBorder="1"/>
    <xf numFmtId="3" fontId="56" fillId="0" borderId="8" xfId="19" applyNumberFormat="1" applyFont="1" applyBorder="1"/>
    <xf numFmtId="49" fontId="56" fillId="0" borderId="42" xfId="19" applyNumberFormat="1" applyFont="1" applyBorder="1"/>
    <xf numFmtId="3" fontId="19" fillId="0" borderId="18" xfId="19" applyNumberFormat="1" applyFont="1" applyBorder="1"/>
    <xf numFmtId="3" fontId="32" fillId="0" borderId="18" xfId="19" applyNumberFormat="1" applyFont="1" applyBorder="1"/>
    <xf numFmtId="3" fontId="34" fillId="0" borderId="73" xfId="19" applyNumberFormat="1" applyFont="1" applyBorder="1"/>
    <xf numFmtId="3" fontId="34" fillId="0" borderId="6" xfId="19" applyNumberFormat="1" applyFont="1" applyBorder="1"/>
    <xf numFmtId="3" fontId="56" fillId="0" borderId="6" xfId="19" applyNumberFormat="1" applyFont="1" applyBorder="1"/>
    <xf numFmtId="3" fontId="27" fillId="0" borderId="23" xfId="19" applyNumberFormat="1" applyFont="1" applyBorder="1"/>
    <xf numFmtId="3" fontId="19" fillId="0" borderId="56" xfId="19" applyNumberFormat="1" applyFont="1" applyBorder="1"/>
    <xf numFmtId="3" fontId="34" fillId="0" borderId="10" xfId="19" applyNumberFormat="1" applyFont="1" applyBorder="1"/>
    <xf numFmtId="3" fontId="34" fillId="0" borderId="73" xfId="19" applyNumberFormat="1" applyFont="1" applyFill="1" applyBorder="1"/>
    <xf numFmtId="3" fontId="34" fillId="0" borderId="6" xfId="19" applyNumberFormat="1" applyFont="1" applyFill="1" applyBorder="1"/>
    <xf numFmtId="0" fontId="7" fillId="0" borderId="41" xfId="19" applyFont="1" applyBorder="1"/>
    <xf numFmtId="3" fontId="7" fillId="0" borderId="55" xfId="19" applyNumberFormat="1" applyFont="1" applyBorder="1"/>
    <xf numFmtId="3" fontId="7" fillId="0" borderId="11" xfId="19" applyNumberFormat="1" applyFont="1" applyBorder="1"/>
    <xf numFmtId="3" fontId="7" fillId="0" borderId="58" xfId="19" applyNumberFormat="1" applyFont="1" applyBorder="1"/>
    <xf numFmtId="3" fontId="42" fillId="0" borderId="0" xfId="19" applyNumberFormat="1"/>
    <xf numFmtId="0" fontId="17" fillId="0" borderId="42" xfId="19" quotePrefix="1" applyFont="1" applyBorder="1"/>
    <xf numFmtId="3" fontId="17" fillId="0" borderId="5" xfId="19" applyNumberFormat="1" applyFont="1" applyBorder="1"/>
    <xf numFmtId="3" fontId="17" fillId="0" borderId="2" xfId="19" applyNumberFormat="1" applyFont="1" applyBorder="1"/>
    <xf numFmtId="3" fontId="7" fillId="0" borderId="8" xfId="19" applyNumberFormat="1" applyFont="1" applyBorder="1"/>
    <xf numFmtId="3" fontId="27" fillId="0" borderId="2" xfId="19" applyNumberFormat="1" applyFont="1" applyBorder="1"/>
    <xf numFmtId="3" fontId="17" fillId="0" borderId="18" xfId="19" applyNumberFormat="1" applyFont="1" applyBorder="1"/>
    <xf numFmtId="0" fontId="7" fillId="0" borderId="74" xfId="19" applyFont="1" applyBorder="1"/>
    <xf numFmtId="3" fontId="7" fillId="0" borderId="54" xfId="19" applyNumberFormat="1" applyFont="1" applyBorder="1"/>
    <xf numFmtId="3" fontId="7" fillId="0" borderId="21" xfId="19" applyNumberFormat="1" applyFont="1" applyBorder="1"/>
    <xf numFmtId="3" fontId="7" fillId="0" borderId="74" xfId="19" applyNumberFormat="1" applyFont="1" applyBorder="1"/>
    <xf numFmtId="3" fontId="7" fillId="0" borderId="22" xfId="19" applyNumberFormat="1" applyFont="1" applyBorder="1"/>
    <xf numFmtId="0" fontId="54" fillId="0" borderId="0" xfId="19" quotePrefix="1" applyFont="1" applyBorder="1"/>
    <xf numFmtId="3" fontId="17" fillId="0" borderId="0" xfId="19" applyNumberFormat="1" applyFont="1" applyBorder="1"/>
    <xf numFmtId="3" fontId="19" fillId="0" borderId="0" xfId="19" applyNumberFormat="1" applyFont="1" applyBorder="1"/>
    <xf numFmtId="3" fontId="17" fillId="0" borderId="0" xfId="19" applyNumberFormat="1" applyFont="1" applyFill="1" applyBorder="1"/>
    <xf numFmtId="3" fontId="54" fillId="0" borderId="0" xfId="19" applyNumberFormat="1" applyFont="1" applyFill="1" applyBorder="1"/>
    <xf numFmtId="3" fontId="54" fillId="0" borderId="0" xfId="19" applyNumberFormat="1" applyFont="1" applyBorder="1"/>
    <xf numFmtId="3" fontId="55" fillId="0" borderId="0" xfId="19" applyNumberFormat="1" applyFont="1" applyBorder="1"/>
    <xf numFmtId="0" fontId="26" fillId="0" borderId="8" xfId="21" applyFont="1" applyFill="1" applyBorder="1" applyAlignment="1" applyProtection="1">
      <alignment horizontal="left"/>
      <protection locked="0"/>
    </xf>
    <xf numFmtId="164" fontId="58" fillId="0" borderId="0" xfId="0" applyNumberFormat="1" applyFont="1" applyFill="1" applyAlignment="1">
      <alignment vertical="center" wrapText="1"/>
    </xf>
    <xf numFmtId="164" fontId="53" fillId="0" borderId="17" xfId="0" applyNumberFormat="1" applyFont="1" applyFill="1" applyBorder="1" applyAlignment="1" applyProtection="1">
      <alignment vertical="center" wrapText="1"/>
    </xf>
    <xf numFmtId="164" fontId="53" fillId="0" borderId="18" xfId="0" applyNumberFormat="1" applyFont="1" applyFill="1" applyBorder="1" applyAlignment="1" applyProtection="1">
      <alignment vertical="center" wrapText="1"/>
    </xf>
    <xf numFmtId="164" fontId="26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4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4" fillId="0" borderId="3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46" fillId="0" borderId="0" xfId="0" applyFont="1" applyFill="1" applyAlignment="1" applyProtection="1">
      <alignment vertical="center" wrapText="1"/>
    </xf>
    <xf numFmtId="0" fontId="27" fillId="0" borderId="15" xfId="23" applyFont="1" applyFill="1" applyBorder="1" applyAlignment="1" applyProtection="1">
      <alignment horizontal="center" vertical="center" wrapText="1"/>
      <protection locked="0"/>
    </xf>
    <xf numFmtId="0" fontId="27" fillId="0" borderId="16" xfId="23" applyFont="1" applyFill="1" applyBorder="1" applyAlignment="1" applyProtection="1">
      <alignment horizontal="center" vertical="center"/>
      <protection locked="0"/>
    </xf>
    <xf numFmtId="0" fontId="27" fillId="0" borderId="28" xfId="23" applyFont="1" applyFill="1" applyBorder="1" applyAlignment="1" applyProtection="1">
      <alignment horizontal="center" vertical="center"/>
      <protection locked="0"/>
    </xf>
    <xf numFmtId="164" fontId="26" fillId="0" borderId="18" xfId="23" applyNumberFormat="1" applyFont="1" applyFill="1" applyBorder="1" applyAlignment="1" applyProtection="1">
      <alignment vertical="center"/>
    </xf>
    <xf numFmtId="0" fontId="7" fillId="0" borderId="39" xfId="19" applyFont="1" applyBorder="1" applyAlignment="1">
      <alignment horizontal="center"/>
    </xf>
    <xf numFmtId="0" fontId="7" fillId="0" borderId="25" xfId="19" applyFont="1" applyBorder="1" applyAlignment="1">
      <alignment horizontal="center"/>
    </xf>
    <xf numFmtId="0" fontId="7" fillId="0" borderId="26" xfId="19" applyFont="1" applyBorder="1" applyAlignment="1">
      <alignment horizontal="center"/>
    </xf>
    <xf numFmtId="0" fontId="34" fillId="0" borderId="58" xfId="19" applyFont="1" applyBorder="1"/>
    <xf numFmtId="0" fontId="34" fillId="0" borderId="56" xfId="19" applyFont="1" applyBorder="1"/>
    <xf numFmtId="0" fontId="34" fillId="0" borderId="38" xfId="19" applyFont="1" applyBorder="1"/>
    <xf numFmtId="164" fontId="65" fillId="0" borderId="18" xfId="21" applyNumberFormat="1" applyFont="1" applyFill="1" applyBorder="1" applyAlignment="1" applyProtection="1">
      <alignment horizontal="right" vertical="center" wrapText="1" indent="1"/>
    </xf>
    <xf numFmtId="164" fontId="65" fillId="0" borderId="20" xfId="21" applyNumberFormat="1" applyFont="1" applyFill="1" applyBorder="1" applyAlignment="1" applyProtection="1">
      <alignment horizontal="right" vertical="center" wrapText="1" indent="1"/>
    </xf>
    <xf numFmtId="164" fontId="20" fillId="0" borderId="28" xfId="21" applyNumberFormat="1" applyFont="1" applyFill="1" applyBorder="1" applyAlignment="1" applyProtection="1">
      <alignment horizontal="right" vertical="center" wrapText="1" indent="1"/>
    </xf>
    <xf numFmtId="16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20" xfId="0" applyNumberFormat="1" applyFont="1" applyFill="1" applyBorder="1" applyAlignment="1" applyProtection="1">
      <alignment vertical="center" wrapText="1"/>
    </xf>
    <xf numFmtId="164" fontId="70" fillId="0" borderId="0" xfId="0" applyNumberFormat="1" applyFont="1" applyFill="1" applyAlignment="1">
      <alignment vertical="center" wrapText="1"/>
    </xf>
    <xf numFmtId="164" fontId="71" fillId="0" borderId="18" xfId="0" applyNumberFormat="1" applyFont="1" applyFill="1" applyBorder="1" applyAlignment="1" applyProtection="1">
      <alignment vertical="center" wrapText="1"/>
    </xf>
    <xf numFmtId="164" fontId="65" fillId="0" borderId="2" xfId="0" applyNumberFormat="1" applyFont="1" applyFill="1" applyBorder="1" applyAlignment="1" applyProtection="1">
      <alignment vertical="center" wrapText="1"/>
      <protection locked="0"/>
    </xf>
    <xf numFmtId="164" fontId="65" fillId="0" borderId="18" xfId="0" applyNumberFormat="1" applyFont="1" applyFill="1" applyBorder="1" applyAlignment="1" applyProtection="1">
      <alignment vertical="center" wrapText="1"/>
    </xf>
    <xf numFmtId="164" fontId="68" fillId="0" borderId="18" xfId="0" applyNumberFormat="1" applyFont="1" applyFill="1" applyBorder="1" applyAlignment="1" applyProtection="1">
      <alignment vertical="center" wrapText="1"/>
    </xf>
    <xf numFmtId="164" fontId="72" fillId="0" borderId="0" xfId="0" applyNumberFormat="1" applyFont="1" applyFill="1" applyAlignment="1">
      <alignment vertical="center" wrapText="1"/>
    </xf>
    <xf numFmtId="164" fontId="73" fillId="0" borderId="18" xfId="0" applyNumberFormat="1" applyFont="1" applyFill="1" applyBorder="1" applyAlignment="1" applyProtection="1">
      <alignment vertical="center" wrapText="1"/>
    </xf>
    <xf numFmtId="164" fontId="74" fillId="0" borderId="2" xfId="0" applyNumberFormat="1" applyFont="1" applyFill="1" applyBorder="1" applyAlignment="1" applyProtection="1">
      <alignment vertical="center" wrapText="1"/>
      <protection locked="0"/>
    </xf>
    <xf numFmtId="164" fontId="74" fillId="0" borderId="18" xfId="0" applyNumberFormat="1" applyFont="1" applyFill="1" applyBorder="1" applyAlignment="1" applyProtection="1">
      <alignment vertical="center" wrapText="1"/>
    </xf>
    <xf numFmtId="164" fontId="71" fillId="0" borderId="23" xfId="0" applyNumberFormat="1" applyFont="1" applyFill="1" applyBorder="1" applyAlignment="1" applyProtection="1">
      <alignment vertical="center" wrapText="1"/>
    </xf>
    <xf numFmtId="164" fontId="75" fillId="0" borderId="0" xfId="0" applyNumberFormat="1" applyFont="1" applyFill="1" applyAlignment="1">
      <alignment vertical="center" wrapText="1"/>
    </xf>
    <xf numFmtId="164" fontId="76" fillId="0" borderId="0" xfId="0" applyNumberFormat="1" applyFont="1" applyFill="1" applyAlignment="1">
      <alignment vertical="center" wrapText="1"/>
    </xf>
    <xf numFmtId="164" fontId="78" fillId="0" borderId="0" xfId="0" applyNumberFormat="1" applyFont="1" applyFill="1" applyAlignment="1">
      <alignment vertical="center" wrapText="1"/>
    </xf>
    <xf numFmtId="164" fontId="66" fillId="0" borderId="0" xfId="0" applyNumberFormat="1" applyFont="1" applyFill="1" applyAlignment="1">
      <alignment vertical="center" wrapText="1"/>
    </xf>
    <xf numFmtId="164" fontId="26" fillId="0" borderId="4" xfId="0" applyNumberFormat="1" applyFont="1" applyFill="1" applyBorder="1" applyAlignment="1" applyProtection="1">
      <alignment vertical="center" wrapText="1"/>
      <protection locked="0"/>
    </xf>
    <xf numFmtId="49" fontId="2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7" fillId="0" borderId="6" xfId="0" applyNumberFormat="1" applyFont="1" applyFill="1" applyBorder="1" applyAlignment="1" applyProtection="1">
      <alignment vertical="center" wrapText="1"/>
      <protection locked="0"/>
    </xf>
    <xf numFmtId="49" fontId="7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4" fillId="0" borderId="1" xfId="0" applyNumberFormat="1" applyFont="1" applyFill="1" applyBorder="1" applyAlignment="1" applyProtection="1">
      <alignment vertical="center" wrapText="1"/>
      <protection locked="0"/>
    </xf>
    <xf numFmtId="4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9" fillId="0" borderId="0" xfId="0" applyFont="1" applyAlignment="1" applyProtection="1">
      <alignment horizontal="right" vertical="top"/>
    </xf>
    <xf numFmtId="49" fontId="80" fillId="0" borderId="17" xfId="0" applyNumberFormat="1" applyFont="1" applyFill="1" applyBorder="1" applyAlignment="1" applyProtection="1">
      <alignment horizontal="right" vertical="center"/>
    </xf>
    <xf numFmtId="49" fontId="80" fillId="0" borderId="45" xfId="0" applyNumberFormat="1" applyFont="1" applyFill="1" applyBorder="1" applyAlignment="1" applyProtection="1">
      <alignment horizontal="right" vertical="center"/>
    </xf>
    <xf numFmtId="0" fontId="81" fillId="0" borderId="0" xfId="0" applyFont="1" applyFill="1" applyAlignment="1" applyProtection="1">
      <alignment horizontal="right"/>
    </xf>
    <xf numFmtId="0" fontId="80" fillId="0" borderId="28" xfId="0" applyFont="1" applyFill="1" applyBorder="1" applyAlignment="1" applyProtection="1">
      <alignment horizontal="center" vertical="center" wrapText="1"/>
    </xf>
    <xf numFmtId="0" fontId="73" fillId="0" borderId="19" xfId="0" applyFont="1" applyFill="1" applyBorder="1" applyAlignment="1" applyProtection="1">
      <alignment horizontal="center" vertical="center" wrapText="1"/>
    </xf>
    <xf numFmtId="164" fontId="80" fillId="0" borderId="32" xfId="0" applyNumberFormat="1" applyFont="1" applyFill="1" applyBorder="1" applyAlignment="1" applyProtection="1">
      <alignment horizontal="center" vertical="center" wrapText="1"/>
    </xf>
    <xf numFmtId="164" fontId="69" fillId="0" borderId="19" xfId="0" applyNumberFormat="1" applyFont="1" applyFill="1" applyBorder="1" applyAlignment="1" applyProtection="1">
      <alignment horizontal="right" vertical="center" wrapText="1" indent="1"/>
    </xf>
    <xf numFmtId="164" fontId="7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44" xfId="0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Fill="1" applyAlignment="1" applyProtection="1">
      <alignment horizontal="right" vertical="center" wrapText="1" indent="1"/>
    </xf>
    <xf numFmtId="3" fontId="8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0" fillId="0" borderId="0" xfId="0" applyFont="1" applyFill="1" applyAlignment="1" applyProtection="1">
      <alignment vertical="center" wrapText="1"/>
    </xf>
    <xf numFmtId="4" fontId="8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0" fillId="0" borderId="8" xfId="0" applyFont="1" applyFill="1" applyBorder="1" applyAlignment="1" applyProtection="1">
      <alignment horizontal="left" vertical="center"/>
    </xf>
    <xf numFmtId="0" fontId="70" fillId="0" borderId="2" xfId="0" applyFont="1" applyFill="1" applyBorder="1" applyAlignment="1" applyProtection="1">
      <alignment vertical="center" wrapText="1"/>
    </xf>
    <xf numFmtId="164" fontId="73" fillId="0" borderId="19" xfId="0" applyNumberFormat="1" applyFont="1" applyFill="1" applyBorder="1" applyAlignment="1" applyProtection="1">
      <alignment horizontal="right" vertical="center" wrapText="1" indent="1"/>
    </xf>
    <xf numFmtId="164" fontId="7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5" xfId="19" applyNumberFormat="1" applyFont="1" applyFill="1" applyBorder="1"/>
    <xf numFmtId="3" fontId="77" fillId="0" borderId="2" xfId="19" applyNumberFormat="1" applyFont="1" applyBorder="1"/>
    <xf numFmtId="3" fontId="26" fillId="0" borderId="0" xfId="21" applyNumberFormat="1" applyFont="1" applyFill="1" applyProtection="1"/>
    <xf numFmtId="0" fontId="26" fillId="0" borderId="0" xfId="21" applyFont="1" applyFill="1" applyProtection="1"/>
    <xf numFmtId="3" fontId="25" fillId="0" borderId="27" xfId="21" applyNumberFormat="1" applyFont="1" applyFill="1" applyBorder="1" applyProtection="1"/>
    <xf numFmtId="3" fontId="26" fillId="0" borderId="20" xfId="21" applyNumberFormat="1" applyFont="1" applyFill="1" applyBorder="1" applyProtection="1"/>
    <xf numFmtId="3" fontId="26" fillId="0" borderId="18" xfId="21" applyNumberFormat="1" applyFont="1" applyFill="1" applyBorder="1" applyProtection="1"/>
    <xf numFmtId="3" fontId="26" fillId="0" borderId="23" xfId="21" applyNumberFormat="1" applyFont="1" applyFill="1" applyBorder="1" applyProtection="1"/>
    <xf numFmtId="164" fontId="65" fillId="0" borderId="20" xfId="21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20" fillId="0" borderId="8" xfId="0" applyNumberFormat="1" applyFont="1" applyFill="1" applyBorder="1" applyAlignment="1" applyProtection="1">
      <alignment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8" fillId="0" borderId="2" xfId="0" applyNumberFormat="1" applyFont="1" applyFill="1" applyBorder="1" applyAlignment="1" applyProtection="1">
      <alignment vertical="center" wrapText="1"/>
    </xf>
    <xf numFmtId="3" fontId="48" fillId="0" borderId="0" xfId="0" applyNumberFormat="1" applyFont="1" applyFill="1" applyAlignment="1" applyProtection="1">
      <alignment vertical="center" wrapText="1"/>
    </xf>
    <xf numFmtId="3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22" xfId="26" applyNumberFormat="1" applyFont="1" applyFill="1" applyBorder="1" applyAlignment="1" applyProtection="1">
      <alignment horizontal="right" vertical="center" wrapText="1" indent="1"/>
    </xf>
    <xf numFmtId="3" fontId="69" fillId="0" borderId="21" xfId="26" applyNumberFormat="1" applyFont="1" applyBorder="1" applyAlignment="1">
      <alignment horizontal="right"/>
    </xf>
    <xf numFmtId="165" fontId="8" fillId="0" borderId="0" xfId="26" applyNumberFormat="1" applyFont="1" applyAlignment="1">
      <alignment horizontal="center"/>
    </xf>
    <xf numFmtId="165" fontId="13" fillId="0" borderId="0" xfId="26" applyNumberFormat="1" applyFont="1"/>
    <xf numFmtId="165" fontId="3" fillId="0" borderId="0" xfId="26" applyNumberFormat="1" applyFont="1"/>
    <xf numFmtId="165" fontId="44" fillId="0" borderId="0" xfId="26" applyNumberFormat="1" applyFont="1" applyAlignment="1">
      <alignment horizontal="centerContinuous"/>
    </xf>
    <xf numFmtId="165" fontId="8" fillId="0" borderId="0" xfId="26" applyNumberFormat="1" applyFont="1" applyAlignment="1">
      <alignment horizontal="right"/>
    </xf>
    <xf numFmtId="165" fontId="6" fillId="0" borderId="27" xfId="26" applyNumberFormat="1" applyFont="1" applyBorder="1" applyAlignment="1">
      <alignment horizontal="center" vertical="center"/>
    </xf>
    <xf numFmtId="165" fontId="1" fillId="0" borderId="36" xfId="26" applyNumberFormat="1" applyFont="1" applyBorder="1" applyAlignment="1"/>
    <xf numFmtId="165" fontId="13" fillId="0" borderId="0" xfId="26" applyNumberFormat="1" applyFont="1" applyBorder="1" applyAlignment="1"/>
    <xf numFmtId="0" fontId="1" fillId="0" borderId="47" xfId="20" quotePrefix="1" applyFont="1" applyBorder="1"/>
    <xf numFmtId="0" fontId="1" fillId="0" borderId="71" xfId="20" applyFont="1" applyBorder="1"/>
    <xf numFmtId="165" fontId="13" fillId="0" borderId="0" xfId="26" applyNumberFormat="1" applyFont="1" applyBorder="1"/>
    <xf numFmtId="0" fontId="1" fillId="0" borderId="47" xfId="20" applyFont="1" applyBorder="1"/>
    <xf numFmtId="165" fontId="45" fillId="0" borderId="0" xfId="26" applyNumberFormat="1" applyFont="1" applyBorder="1" applyAlignment="1"/>
    <xf numFmtId="0" fontId="21" fillId="0" borderId="0" xfId="23" applyFont="1" applyFill="1" applyBorder="1" applyAlignment="1" applyProtection="1">
      <alignment horizontal="center"/>
    </xf>
    <xf numFmtId="3" fontId="26" fillId="0" borderId="0" xfId="23" applyNumberFormat="1" applyFont="1" applyFill="1" applyProtection="1">
      <protection locked="0"/>
    </xf>
    <xf numFmtId="0" fontId="5" fillId="0" borderId="0" xfId="0" applyFont="1" applyFill="1" applyBorder="1" applyAlignment="1">
      <alignment horizontal="right"/>
    </xf>
    <xf numFmtId="0" fontId="27" fillId="0" borderId="0" xfId="23" applyFont="1" applyFill="1" applyBorder="1" applyAlignment="1" applyProtection="1">
      <alignment horizontal="center" vertical="center"/>
      <protection locked="0"/>
    </xf>
    <xf numFmtId="0" fontId="19" fillId="0" borderId="0" xfId="23" applyFont="1" applyFill="1" applyBorder="1" applyAlignment="1" applyProtection="1">
      <alignment horizontal="left" vertical="center" indent="1"/>
    </xf>
    <xf numFmtId="3" fontId="26" fillId="0" borderId="0" xfId="23" applyNumberFormat="1" applyFont="1" applyFill="1" applyAlignment="1" applyProtection="1">
      <alignment vertical="center"/>
    </xf>
    <xf numFmtId="164" fontId="65" fillId="0" borderId="0" xfId="23" applyNumberFormat="1" applyFont="1" applyFill="1" applyBorder="1" applyAlignment="1" applyProtection="1">
      <alignment vertical="center"/>
    </xf>
    <xf numFmtId="3" fontId="26" fillId="0" borderId="11" xfId="23" applyNumberFormat="1" applyFont="1" applyFill="1" applyBorder="1" applyAlignment="1" applyProtection="1">
      <alignment vertical="center"/>
    </xf>
    <xf numFmtId="3" fontId="26" fillId="0" borderId="17" xfId="23" applyNumberFormat="1" applyFont="1" applyFill="1" applyBorder="1" applyAlignment="1" applyProtection="1">
      <alignment vertical="center"/>
      <protection locked="0"/>
    </xf>
    <xf numFmtId="164" fontId="25" fillId="0" borderId="18" xfId="23" applyNumberFormat="1" applyFont="1" applyFill="1" applyBorder="1" applyAlignment="1" applyProtection="1">
      <alignment vertical="center"/>
    </xf>
    <xf numFmtId="3" fontId="26" fillId="0" borderId="8" xfId="23" applyNumberFormat="1" applyFont="1" applyFill="1" applyBorder="1" applyAlignment="1" applyProtection="1">
      <alignment vertical="center"/>
      <protection locked="0"/>
    </xf>
    <xf numFmtId="3" fontId="26" fillId="0" borderId="18" xfId="23" applyNumberFormat="1" applyFont="1" applyFill="1" applyBorder="1" applyAlignment="1" applyProtection="1">
      <alignment vertical="center"/>
      <protection locked="0"/>
    </xf>
    <xf numFmtId="164" fontId="25" fillId="0" borderId="0" xfId="23" applyNumberFormat="1" applyFont="1" applyFill="1" applyBorder="1" applyAlignment="1" applyProtection="1">
      <alignment vertical="center"/>
    </xf>
    <xf numFmtId="164" fontId="26" fillId="0" borderId="0" xfId="23" applyNumberFormat="1" applyFont="1" applyFill="1" applyBorder="1" applyAlignment="1" applyProtection="1">
      <alignment vertical="center"/>
    </xf>
    <xf numFmtId="3" fontId="26" fillId="0" borderId="10" xfId="23" applyNumberFormat="1" applyFont="1" applyFill="1" applyBorder="1" applyAlignment="1" applyProtection="1">
      <alignment vertical="center"/>
      <protection locked="0"/>
    </xf>
    <xf numFmtId="3" fontId="26" fillId="0" borderId="23" xfId="23" applyNumberFormat="1" applyFont="1" applyFill="1" applyBorder="1" applyAlignment="1" applyProtection="1">
      <alignment vertical="center"/>
      <protection locked="0"/>
    </xf>
    <xf numFmtId="164" fontId="18" fillId="0" borderId="0" xfId="23" applyNumberFormat="1" applyFont="1" applyFill="1" applyBorder="1" applyAlignment="1" applyProtection="1">
      <alignment vertical="center"/>
    </xf>
    <xf numFmtId="3" fontId="26" fillId="0" borderId="27" xfId="23" applyNumberFormat="1" applyFont="1" applyFill="1" applyBorder="1" applyAlignment="1" applyProtection="1">
      <alignment vertical="center"/>
    </xf>
    <xf numFmtId="3" fontId="26" fillId="0" borderId="27" xfId="23" applyNumberFormat="1" applyFont="1" applyFill="1" applyBorder="1" applyAlignment="1" applyProtection="1">
      <alignment vertical="center"/>
      <protection locked="0"/>
    </xf>
    <xf numFmtId="3" fontId="26" fillId="0" borderId="0" xfId="23" applyNumberFormat="1" applyFont="1" applyFill="1" applyAlignment="1" applyProtection="1">
      <alignment vertical="center"/>
      <protection locked="0"/>
    </xf>
    <xf numFmtId="0" fontId="20" fillId="0" borderId="11" xfId="23" applyFont="1" applyFill="1" applyBorder="1" applyAlignment="1" applyProtection="1">
      <alignment horizontal="left" vertical="center" indent="1"/>
    </xf>
    <xf numFmtId="0" fontId="20" fillId="0" borderId="4" xfId="23" applyFont="1" applyFill="1" applyBorder="1" applyAlignment="1" applyProtection="1">
      <alignment horizontal="left" vertical="center" indent="1"/>
    </xf>
    <xf numFmtId="164" fontId="26" fillId="0" borderId="4" xfId="23" applyNumberFormat="1" applyFont="1" applyFill="1" applyBorder="1" applyAlignment="1" applyProtection="1">
      <alignment vertical="center"/>
      <protection locked="0"/>
    </xf>
    <xf numFmtId="3" fontId="26" fillId="0" borderId="11" xfId="23" applyNumberFormat="1" applyFont="1" applyFill="1" applyBorder="1" applyAlignment="1" applyProtection="1">
      <alignment vertical="center"/>
      <protection locked="0"/>
    </xf>
    <xf numFmtId="3" fontId="25" fillId="0" borderId="8" xfId="23" applyNumberFormat="1" applyFont="1" applyFill="1" applyBorder="1" applyAlignment="1" applyProtection="1">
      <alignment vertical="center"/>
      <protection locked="0"/>
    </xf>
    <xf numFmtId="164" fontId="18" fillId="0" borderId="0" xfId="23" applyNumberFormat="1" applyFont="1" applyFill="1" applyBorder="1" applyProtection="1"/>
    <xf numFmtId="0" fontId="10" fillId="0" borderId="0" xfId="23" applyFill="1" applyBorder="1" applyProtection="1"/>
    <xf numFmtId="0" fontId="10" fillId="0" borderId="0" xfId="23" applyFill="1" applyBorder="1" applyProtection="1">
      <protection locked="0"/>
    </xf>
    <xf numFmtId="0" fontId="1" fillId="0" borderId="41" xfId="18" applyFont="1" applyBorder="1" applyAlignment="1">
      <alignment wrapText="1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0" fontId="1" fillId="0" borderId="42" xfId="19" applyFont="1" applyBorder="1"/>
    <xf numFmtId="49" fontId="2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2" xfId="21" applyFont="1" applyFill="1" applyBorder="1" applyProtection="1">
      <protection locked="0"/>
    </xf>
    <xf numFmtId="164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9" xfId="26" applyNumberFormat="1" applyFont="1" applyFill="1" applyBorder="1" applyAlignment="1" applyProtection="1">
      <alignment horizontal="left"/>
      <protection locked="0"/>
    </xf>
    <xf numFmtId="3" fontId="1" fillId="8" borderId="49" xfId="26" applyNumberFormat="1" applyFont="1" applyFill="1" applyBorder="1" applyAlignment="1" applyProtection="1">
      <alignment horizontal="left"/>
      <protection locked="0"/>
    </xf>
    <xf numFmtId="164" fontId="77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53" fillId="0" borderId="23" xfId="0" applyNumberFormat="1" applyFont="1" applyFill="1" applyBorder="1" applyAlignment="1" applyProtection="1">
      <alignment vertical="center" wrapText="1"/>
    </xf>
    <xf numFmtId="164" fontId="77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77" fillId="0" borderId="21" xfId="0" applyNumberFormat="1" applyFont="1" applyFill="1" applyBorder="1" applyAlignment="1" applyProtection="1">
      <alignment vertical="center" wrapText="1"/>
      <protection locked="0"/>
    </xf>
    <xf numFmtId="49" fontId="7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3" fillId="0" borderId="22" xfId="0" applyNumberFormat="1" applyFont="1" applyFill="1" applyBorder="1" applyAlignment="1" applyProtection="1">
      <alignment vertical="center" wrapText="1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19" xfId="0" applyNumberFormat="1" applyFont="1" applyFill="1" applyBorder="1" applyAlignment="1" applyProtection="1">
      <alignment vertical="center"/>
    </xf>
    <xf numFmtId="164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85" fillId="0" borderId="0" xfId="0" applyFont="1" applyFill="1" applyAlignment="1" applyProtection="1">
      <alignment horizontal="right" vertical="center" wrapText="1" indent="1"/>
    </xf>
    <xf numFmtId="164" fontId="69" fillId="0" borderId="0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horizontal="right" vertical="center" wrapText="1" indent="1"/>
    </xf>
    <xf numFmtId="3" fontId="7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7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22" xfId="26" applyNumberFormat="1" applyFont="1" applyFill="1" applyBorder="1" applyAlignment="1" applyProtection="1">
      <alignment horizontal="right" vertical="center" wrapText="1" indent="1"/>
    </xf>
    <xf numFmtId="0" fontId="85" fillId="0" borderId="0" xfId="0" applyFont="1" applyFill="1" applyAlignment="1" applyProtection="1">
      <alignment vertical="center" wrapText="1"/>
    </xf>
    <xf numFmtId="3" fontId="23" fillId="0" borderId="0" xfId="25" applyNumberFormat="1" applyFont="1"/>
    <xf numFmtId="3" fontId="83" fillId="0" borderId="0" xfId="25" applyNumberFormat="1" applyFont="1"/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50" xfId="27" applyNumberFormat="1" applyFont="1" applyBorder="1" applyAlignment="1">
      <alignment horizontal="right" indent="2"/>
    </xf>
    <xf numFmtId="3" fontId="33" fillId="0" borderId="50" xfId="27" applyNumberFormat="1" applyFont="1" applyBorder="1" applyAlignment="1">
      <alignment horizontal="right" indent="2"/>
    </xf>
    <xf numFmtId="3" fontId="86" fillId="0" borderId="50" xfId="27" applyNumberFormat="1" applyFont="1" applyBorder="1" applyAlignment="1">
      <alignment horizontal="right" indent="2"/>
    </xf>
    <xf numFmtId="0" fontId="13" fillId="0" borderId="42" xfId="18" applyFont="1" applyBorder="1" applyAlignment="1">
      <alignment horizontal="left" wrapText="1"/>
    </xf>
    <xf numFmtId="3" fontId="33" fillId="0" borderId="32" xfId="27" applyNumberFormat="1" applyFont="1" applyBorder="1" applyAlignment="1">
      <alignment horizontal="right" indent="2"/>
    </xf>
    <xf numFmtId="3" fontId="37" fillId="0" borderId="36" xfId="27" applyNumberFormat="1" applyFont="1" applyBorder="1" applyAlignment="1">
      <alignment horizontal="right" indent="2"/>
    </xf>
    <xf numFmtId="0" fontId="42" fillId="0" borderId="74" xfId="18" applyFont="1" applyBorder="1"/>
    <xf numFmtId="0" fontId="14" fillId="0" borderId="59" xfId="18" applyFont="1" applyBorder="1" applyAlignment="1">
      <alignment horizontal="left"/>
    </xf>
    <xf numFmtId="164" fontId="1" fillId="0" borderId="11" xfId="14" applyNumberFormat="1" applyFont="1" applyFill="1" applyBorder="1" applyAlignment="1" applyProtection="1">
      <alignment horizontal="left" vertical="center" wrapText="1"/>
      <protection locked="0"/>
    </xf>
    <xf numFmtId="164" fontId="34" fillId="0" borderId="2" xfId="14" applyNumberFormat="1" applyFont="1" applyFill="1" applyBorder="1" applyAlignment="1" applyProtection="1">
      <alignment vertical="center" wrapText="1"/>
      <protection locked="0"/>
    </xf>
    <xf numFmtId="164" fontId="34" fillId="0" borderId="8" xfId="14" applyNumberFormat="1" applyFont="1" applyFill="1" applyBorder="1" applyAlignment="1" applyProtection="1">
      <alignment horizontal="left" vertical="center" wrapText="1"/>
      <protection locked="0"/>
    </xf>
    <xf numFmtId="164" fontId="1" fillId="0" borderId="8" xfId="14" applyNumberFormat="1" applyFont="1" applyFill="1" applyBorder="1" applyAlignment="1" applyProtection="1">
      <alignment horizontal="left" vertical="center" wrapText="1"/>
      <protection locked="0"/>
    </xf>
    <xf numFmtId="164" fontId="26" fillId="0" borderId="2" xfId="14" applyNumberFormat="1" applyFont="1" applyFill="1" applyBorder="1" applyAlignment="1" applyProtection="1">
      <alignment vertical="center" wrapText="1"/>
      <protection locked="0"/>
    </xf>
    <xf numFmtId="164" fontId="34" fillId="0" borderId="6" xfId="14" applyNumberFormat="1" applyFont="1" applyFill="1" applyBorder="1" applyAlignment="1" applyProtection="1">
      <alignment vertical="center" wrapText="1"/>
      <protection locked="0"/>
    </xf>
    <xf numFmtId="164" fontId="26" fillId="0" borderId="18" xfId="0" applyNumberFormat="1" applyFont="1" applyFill="1" applyBorder="1" applyAlignment="1" applyProtection="1">
      <alignment vertical="center" wrapText="1"/>
    </xf>
    <xf numFmtId="0" fontId="1" fillId="0" borderId="47" xfId="20" applyFont="1" applyBorder="1" applyAlignment="1">
      <alignment horizontal="left"/>
    </xf>
    <xf numFmtId="0" fontId="1" fillId="0" borderId="71" xfId="20" quotePrefix="1" applyFont="1" applyBorder="1" applyAlignment="1">
      <alignment horizontal="left"/>
    </xf>
    <xf numFmtId="0" fontId="78" fillId="0" borderId="0" xfId="0" applyFont="1" applyFill="1" applyAlignment="1" applyProtection="1">
      <alignment vertical="center" wrapText="1"/>
    </xf>
    <xf numFmtId="0" fontId="0" fillId="10" borderId="0" xfId="0" applyFill="1" applyAlignment="1" applyProtection="1">
      <alignment vertical="center" wrapText="1"/>
    </xf>
    <xf numFmtId="164" fontId="26" fillId="0" borderId="20" xfId="21" applyNumberFormat="1" applyFont="1" applyFill="1" applyBorder="1" applyAlignment="1" applyProtection="1">
      <alignment horizontal="center" vertical="center" wrapText="1"/>
    </xf>
    <xf numFmtId="164" fontId="26" fillId="9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9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21" applyNumberFormat="1" applyFont="1" applyFill="1" applyBorder="1" applyAlignment="1" applyProtection="1">
      <alignment horizontal="center" vertical="center" wrapText="1"/>
    </xf>
    <xf numFmtId="0" fontId="18" fillId="0" borderId="69" xfId="21" applyFont="1" applyFill="1" applyBorder="1" applyAlignment="1" applyProtection="1">
      <alignment vertical="center" wrapText="1"/>
    </xf>
    <xf numFmtId="0" fontId="25" fillId="0" borderId="67" xfId="21" applyFont="1" applyFill="1" applyBorder="1" applyAlignment="1" applyProtection="1">
      <alignment horizontal="left" vertical="center" wrapText="1" indent="1"/>
    </xf>
    <xf numFmtId="164" fontId="26" fillId="0" borderId="40" xfId="21" applyNumberFormat="1" applyFont="1" applyFill="1" applyBorder="1" applyAlignment="1" applyProtection="1">
      <alignment horizontal="center" vertical="center" wrapText="1"/>
    </xf>
    <xf numFmtId="164" fontId="25" fillId="0" borderId="40" xfId="21" applyNumberFormat="1" applyFont="1" applyFill="1" applyBorder="1" applyAlignment="1" applyProtection="1">
      <alignment horizontal="center" vertical="center" wrapText="1"/>
    </xf>
    <xf numFmtId="164" fontId="25" fillId="0" borderId="27" xfId="21" applyNumberFormat="1" applyFont="1" applyFill="1" applyBorder="1" applyAlignment="1" applyProtection="1">
      <alignment horizontal="center" vertical="center" wrapText="1"/>
    </xf>
    <xf numFmtId="0" fontId="22" fillId="0" borderId="69" xfId="0" applyFont="1" applyBorder="1" applyAlignment="1" applyProtection="1">
      <alignment horizontal="left" vertical="center" wrapText="1" indent="1"/>
    </xf>
    <xf numFmtId="164" fontId="2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</xf>
    <xf numFmtId="164" fontId="70" fillId="0" borderId="11" xfId="0" applyNumberFormat="1" applyFont="1" applyFill="1" applyBorder="1" applyAlignment="1" applyProtection="1">
      <alignment vertical="center" wrapText="1"/>
      <protection locked="0"/>
    </xf>
    <xf numFmtId="49" fontId="7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0" fillId="0" borderId="4" xfId="0" applyNumberFormat="1" applyFont="1" applyFill="1" applyBorder="1" applyAlignment="1" applyProtection="1">
      <alignment vertical="center" wrapText="1"/>
      <protection locked="0"/>
    </xf>
    <xf numFmtId="164" fontId="69" fillId="0" borderId="17" xfId="0" applyNumberFormat="1" applyFont="1" applyFill="1" applyBorder="1" applyAlignment="1" applyProtection="1">
      <alignment vertical="center" wrapText="1"/>
    </xf>
    <xf numFmtId="164" fontId="70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70" fillId="0" borderId="8" xfId="0" applyNumberFormat="1" applyFont="1" applyFill="1" applyBorder="1" applyAlignment="1" applyProtection="1">
      <alignment vertical="center" wrapText="1"/>
      <protection locked="0"/>
    </xf>
    <xf numFmtId="49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85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4" fontId="85" fillId="0" borderId="8" xfId="0" applyNumberFormat="1" applyFont="1" applyFill="1" applyBorder="1" applyAlignment="1" applyProtection="1">
      <alignment vertical="center" wrapText="1"/>
      <protection locked="0"/>
    </xf>
    <xf numFmtId="49" fontId="8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5" fillId="0" borderId="2" xfId="0" applyNumberFormat="1" applyFont="1" applyFill="1" applyBorder="1" applyAlignment="1" applyProtection="1">
      <alignment vertical="center" wrapText="1"/>
      <protection locked="0"/>
    </xf>
    <xf numFmtId="164" fontId="70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85" fillId="0" borderId="42" xfId="21" quotePrefix="1" applyFont="1" applyFill="1" applyBorder="1" applyProtection="1">
      <protection locked="0"/>
    </xf>
    <xf numFmtId="164" fontId="87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85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8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42" xfId="0" quotePrefix="1" applyFont="1" applyFill="1" applyBorder="1" applyAlignment="1">
      <alignment vertical="center" wrapText="1"/>
    </xf>
    <xf numFmtId="0" fontId="88" fillId="0" borderId="42" xfId="0" quotePrefix="1" applyFont="1" applyFill="1" applyBorder="1" applyAlignment="1">
      <alignment vertical="center"/>
    </xf>
    <xf numFmtId="0" fontId="89" fillId="0" borderId="42" xfId="0" applyFont="1" applyFill="1" applyBorder="1" applyAlignment="1">
      <alignment vertical="center"/>
    </xf>
    <xf numFmtId="0" fontId="88" fillId="0" borderId="41" xfId="0" quotePrefix="1" applyFont="1" applyFill="1" applyBorder="1" applyAlignment="1">
      <alignment vertical="center"/>
    </xf>
    <xf numFmtId="0" fontId="90" fillId="0" borderId="41" xfId="0" applyFont="1" applyFill="1" applyBorder="1" applyAlignment="1">
      <alignment vertical="center"/>
    </xf>
    <xf numFmtId="0" fontId="91" fillId="0" borderId="42" xfId="0" applyFont="1" applyFill="1" applyBorder="1" applyAlignment="1">
      <alignment vertical="center"/>
    </xf>
    <xf numFmtId="0" fontId="92" fillId="0" borderId="42" xfId="0" quotePrefix="1" applyFont="1" applyFill="1" applyBorder="1" applyAlignment="1">
      <alignment vertical="center" wrapText="1"/>
    </xf>
    <xf numFmtId="3" fontId="92" fillId="0" borderId="8" xfId="27" applyNumberFormat="1" applyFont="1" applyFill="1" applyBorder="1" applyAlignment="1">
      <alignment vertical="center"/>
    </xf>
    <xf numFmtId="3" fontId="92" fillId="0" borderId="2" xfId="27" applyNumberFormat="1" applyFont="1" applyFill="1" applyBorder="1" applyAlignment="1">
      <alignment vertical="center"/>
    </xf>
    <xf numFmtId="0" fontId="92" fillId="0" borderId="42" xfId="0" quotePrefix="1" applyFont="1" applyFill="1" applyBorder="1" applyAlignment="1">
      <alignment vertical="center"/>
    </xf>
    <xf numFmtId="164" fontId="13" fillId="0" borderId="8" xfId="0" applyNumberFormat="1" applyFont="1" applyFill="1" applyBorder="1" applyAlignment="1" applyProtection="1">
      <alignment vertical="center" wrapText="1"/>
      <protection locked="0"/>
    </xf>
    <xf numFmtId="164" fontId="13" fillId="0" borderId="2" xfId="0" applyNumberFormat="1" applyFont="1" applyFill="1" applyBorder="1" applyAlignment="1" applyProtection="1">
      <alignment vertical="center" wrapText="1"/>
      <protection locked="0"/>
    </xf>
    <xf numFmtId="164" fontId="85" fillId="0" borderId="18" xfId="0" applyNumberFormat="1" applyFont="1" applyFill="1" applyBorder="1" applyAlignment="1" applyProtection="1">
      <alignment vertical="center" wrapText="1"/>
    </xf>
    <xf numFmtId="0" fontId="92" fillId="0" borderId="42" xfId="0" applyFont="1" applyFill="1" applyBorder="1" applyAlignment="1">
      <alignment vertical="center"/>
    </xf>
    <xf numFmtId="0" fontId="92" fillId="0" borderId="4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  <protection locked="0"/>
    </xf>
    <xf numFmtId="164" fontId="93" fillId="0" borderId="18" xfId="0" applyNumberFormat="1" applyFont="1" applyFill="1" applyBorder="1" applyAlignment="1" applyProtection="1">
      <alignment vertical="center" wrapText="1"/>
    </xf>
    <xf numFmtId="164" fontId="37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84" fillId="0" borderId="18" xfId="0" applyNumberFormat="1" applyFont="1" applyFill="1" applyBorder="1" applyAlignment="1" applyProtection="1">
      <alignment vertical="center" wrapText="1"/>
    </xf>
    <xf numFmtId="0" fontId="0" fillId="0" borderId="42" xfId="21" quotePrefix="1" applyFont="1" applyFill="1" applyBorder="1" applyProtection="1">
      <protection locked="0"/>
    </xf>
    <xf numFmtId="0" fontId="83" fillId="0" borderId="42" xfId="0" quotePrefix="1" applyFont="1" applyFill="1" applyBorder="1" applyAlignment="1">
      <alignment vertical="center"/>
    </xf>
    <xf numFmtId="164" fontId="7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6" xfId="26" applyNumberFormat="1" applyFont="1" applyBorder="1"/>
    <xf numFmtId="0" fontId="1" fillId="0" borderId="36" xfId="20" applyFont="1" applyBorder="1"/>
    <xf numFmtId="165" fontId="21" fillId="0" borderId="29" xfId="26" applyNumberFormat="1" applyFont="1" applyBorder="1"/>
    <xf numFmtId="165" fontId="21" fillId="0" borderId="72" xfId="26" applyNumberFormat="1" applyFont="1" applyBorder="1"/>
    <xf numFmtId="165" fontId="21" fillId="0" borderId="53" xfId="26" applyNumberFormat="1" applyFont="1" applyBorder="1"/>
    <xf numFmtId="165" fontId="28" fillId="0" borderId="53" xfId="26" applyNumberFormat="1" applyFont="1" applyBorder="1"/>
    <xf numFmtId="165" fontId="21" fillId="0" borderId="34" xfId="26" applyNumberFormat="1" applyFont="1" applyBorder="1"/>
    <xf numFmtId="165" fontId="21" fillId="0" borderId="35" xfId="26" applyNumberFormat="1" applyFont="1" applyBorder="1"/>
    <xf numFmtId="165" fontId="21" fillId="0" borderId="44" xfId="26" applyNumberFormat="1" applyFont="1" applyBorder="1"/>
    <xf numFmtId="165" fontId="28" fillId="0" borderId="44" xfId="26" applyNumberFormat="1" applyFont="1" applyBorder="1"/>
    <xf numFmtId="165" fontId="10" fillId="0" borderId="70" xfId="26" quotePrefix="1" applyNumberFormat="1" applyFont="1" applyBorder="1"/>
    <xf numFmtId="165" fontId="10" fillId="0" borderId="57" xfId="26" quotePrefix="1" applyNumberFormat="1" applyFont="1" applyBorder="1"/>
    <xf numFmtId="165" fontId="10" fillId="0" borderId="57" xfId="26" applyNumberFormat="1" applyFont="1" applyBorder="1"/>
    <xf numFmtId="165" fontId="21" fillId="0" borderId="43" xfId="26" applyNumberFormat="1" applyFont="1" applyBorder="1"/>
    <xf numFmtId="165" fontId="21" fillId="0" borderId="0" xfId="26" applyNumberFormat="1" applyFont="1" applyBorder="1"/>
    <xf numFmtId="165" fontId="21" fillId="0" borderId="48" xfId="26" applyNumberFormat="1" applyFont="1" applyBorder="1"/>
    <xf numFmtId="0" fontId="18" fillId="0" borderId="67" xfId="21" applyFont="1" applyFill="1" applyBorder="1" applyAlignment="1" applyProtection="1">
      <alignment horizontal="left" vertical="center" wrapText="1" indent="1"/>
    </xf>
    <xf numFmtId="0" fontId="23" fillId="0" borderId="49" xfId="0" applyFont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horizontal="left" vertical="center" wrapText="1" indent="1"/>
    </xf>
    <xf numFmtId="0" fontId="24" fillId="0" borderId="67" xfId="0" applyFont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vertical="center" wrapText="1"/>
    </xf>
    <xf numFmtId="0" fontId="24" fillId="0" borderId="67" xfId="0" applyFont="1" applyBorder="1" applyAlignment="1" applyProtection="1">
      <alignment wrapText="1"/>
    </xf>
    <xf numFmtId="0" fontId="24" fillId="0" borderId="69" xfId="0" applyFont="1" applyBorder="1" applyAlignment="1" applyProtection="1">
      <alignment wrapText="1"/>
    </xf>
    <xf numFmtId="0" fontId="18" fillId="0" borderId="62" xfId="21" applyFont="1" applyFill="1" applyBorder="1" applyAlignment="1" applyProtection="1">
      <alignment vertical="center" wrapText="1"/>
    </xf>
    <xf numFmtId="0" fontId="20" fillId="0" borderId="68" xfId="21" applyFont="1" applyFill="1" applyBorder="1" applyAlignment="1" applyProtection="1">
      <alignment horizontal="left" vertical="center" wrapText="1" indent="1"/>
    </xf>
    <xf numFmtId="0" fontId="20" fillId="0" borderId="49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6"/>
    </xf>
    <xf numFmtId="0" fontId="20" fillId="0" borderId="71" xfId="21" applyFont="1" applyFill="1" applyBorder="1" applyAlignment="1" applyProtection="1">
      <alignment horizontal="left" vertical="center" wrapText="1" indent="1"/>
    </xf>
    <xf numFmtId="0" fontId="20" fillId="0" borderId="37" xfId="21" applyFont="1" applyFill="1" applyBorder="1" applyAlignment="1" applyProtection="1">
      <alignment horizontal="left" vertical="center" wrapText="1" indent="7"/>
    </xf>
    <xf numFmtId="0" fontId="20" fillId="0" borderId="64" xfId="21" applyFont="1" applyFill="1" applyBorder="1" applyAlignment="1" applyProtection="1">
      <alignment horizontal="left" vertical="center" wrapText="1" indent="1"/>
    </xf>
    <xf numFmtId="0" fontId="20" fillId="0" borderId="66" xfId="21" applyFont="1" applyFill="1" applyBorder="1" applyAlignment="1" applyProtection="1">
      <alignment horizontal="left" vertical="center" wrapText="1" indent="1"/>
    </xf>
    <xf numFmtId="0" fontId="20" fillId="0" borderId="64" xfId="21" applyFont="1" applyFill="1" applyBorder="1" applyAlignment="1" applyProtection="1">
      <alignment horizontal="left" vertical="center" wrapText="1" indent="6"/>
    </xf>
    <xf numFmtId="0" fontId="20" fillId="0" borderId="49" xfId="21" applyFont="1" applyFill="1" applyBorder="1" applyAlignment="1" applyProtection="1">
      <alignment horizontal="left" vertical="center" wrapText="1" indent="6"/>
    </xf>
    <xf numFmtId="0" fontId="7" fillId="0" borderId="67" xfId="21" applyFont="1" applyFill="1" applyBorder="1" applyAlignment="1" applyProtection="1">
      <alignment horizontal="center" vertical="center" wrapText="1"/>
    </xf>
    <xf numFmtId="0" fontId="28" fillId="0" borderId="38" xfId="18" applyFont="1" applyBorder="1"/>
    <xf numFmtId="0" fontId="28" fillId="0" borderId="41" xfId="18" applyFont="1" applyBorder="1" applyAlignment="1">
      <alignment wrapText="1"/>
    </xf>
    <xf numFmtId="0" fontId="28" fillId="0" borderId="41" xfId="18" applyFont="1" applyBorder="1" applyAlignment="1">
      <alignment horizontal="left" vertical="center" wrapText="1"/>
    </xf>
    <xf numFmtId="0" fontId="0" fillId="0" borderId="42" xfId="18" applyFont="1" applyBorder="1"/>
    <xf numFmtId="165" fontId="51" fillId="0" borderId="27" xfId="18" applyNumberFormat="1" applyFont="1" applyBorder="1" applyAlignment="1">
      <alignment horizontal="center"/>
    </xf>
    <xf numFmtId="0" fontId="20" fillId="0" borderId="49" xfId="21" applyFont="1" applyFill="1" applyBorder="1" applyAlignment="1" applyProtection="1">
      <alignment horizontal="left" indent="6"/>
    </xf>
    <xf numFmtId="1" fontId="18" fillId="0" borderId="67" xfId="21" applyNumberFormat="1" applyFont="1" applyFill="1" applyBorder="1" applyAlignment="1" applyProtection="1">
      <alignment horizontal="right" vertical="center" wrapText="1" indent="1"/>
    </xf>
    <xf numFmtId="1" fontId="18" fillId="0" borderId="19" xfId="21" applyNumberFormat="1" applyFont="1" applyFill="1" applyBorder="1" applyAlignment="1" applyProtection="1">
      <alignment horizontal="right" vertical="center" wrapText="1" indent="1"/>
    </xf>
    <xf numFmtId="1" fontId="18" fillId="0" borderId="44" xfId="21" applyNumberFormat="1" applyFont="1" applyFill="1" applyBorder="1" applyAlignment="1" applyProtection="1">
      <alignment horizontal="right" vertical="center" wrapText="1" indent="1"/>
    </xf>
    <xf numFmtId="1" fontId="23" fillId="0" borderId="58" xfId="27" applyNumberFormat="1" applyFont="1" applyBorder="1" applyAlignment="1" applyProtection="1">
      <alignment horizontal="right" wrapText="1" indent="1"/>
    </xf>
    <xf numFmtId="1" fontId="20" fillId="0" borderId="50" xfId="21" applyNumberFormat="1" applyFont="1" applyFill="1" applyBorder="1" applyAlignment="1" applyProtection="1">
      <alignment horizontal="right" vertical="center" wrapText="1" indent="1"/>
    </xf>
    <xf numFmtId="1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41" xfId="27" applyNumberFormat="1" applyFont="1" applyBorder="1" applyAlignment="1" applyProtection="1">
      <alignment horizontal="right" wrapText="1" indent="1"/>
    </xf>
    <xf numFmtId="1" fontId="26" fillId="0" borderId="36" xfId="21" applyNumberFormat="1" applyFont="1" applyFill="1" applyBorder="1" applyAlignment="1" applyProtection="1">
      <alignment horizontal="right" vertical="center" wrapText="1" indent="1"/>
    </xf>
    <xf numFmtId="1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38" xfId="27" applyNumberFormat="1" applyFont="1" applyBorder="1" applyAlignment="1" applyProtection="1">
      <alignment horizontal="right" wrapText="1" indent="1"/>
    </xf>
    <xf numFmtId="1" fontId="26" fillId="0" borderId="32" xfId="21" applyNumberFormat="1" applyFont="1" applyFill="1" applyBorder="1" applyAlignment="1" applyProtection="1">
      <alignment horizontal="right" vertical="center" wrapText="1" indent="1"/>
    </xf>
    <xf numFmtId="1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7" xfId="27" applyNumberFormat="1" applyFont="1" applyBorder="1" applyAlignment="1" applyProtection="1">
      <alignment horizontal="right" wrapText="1" indent="1"/>
    </xf>
    <xf numFmtId="1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36" xfId="21" applyNumberFormat="1" applyFont="1" applyFill="1" applyBorder="1" applyAlignment="1" applyProtection="1">
      <alignment horizontal="right" vertical="center" wrapText="1" indent="1"/>
    </xf>
    <xf numFmtId="1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32" xfId="21" applyNumberFormat="1" applyFont="1" applyFill="1" applyBorder="1" applyAlignment="1" applyProtection="1">
      <alignment horizontal="right" vertical="center" wrapText="1" indent="1"/>
    </xf>
    <xf numFmtId="1" fontId="25" fillId="0" borderId="44" xfId="21" applyNumberFormat="1" applyFont="1" applyFill="1" applyBorder="1" applyAlignment="1" applyProtection="1">
      <alignment horizontal="right" vertical="center" wrapText="1" indent="1"/>
    </xf>
    <xf numFmtId="1" fontId="25" fillId="0" borderId="19" xfId="21" applyNumberFormat="1" applyFont="1" applyFill="1" applyBorder="1" applyAlignment="1" applyProtection="1">
      <alignment horizontal="right" vertical="center" wrapText="1" indent="1"/>
    </xf>
    <xf numFmtId="1" fontId="20" fillId="0" borderId="20" xfId="21" applyNumberFormat="1" applyFont="1" applyFill="1" applyBorder="1" applyAlignment="1" applyProtection="1">
      <alignment horizontal="right" vertical="center" wrapText="1" indent="1"/>
    </xf>
    <xf numFmtId="1" fontId="26" fillId="0" borderId="50" xfId="21" applyNumberFormat="1" applyFont="1" applyFill="1" applyBorder="1" applyAlignment="1" applyProtection="1">
      <alignment horizontal="right" vertical="center" wrapText="1" indent="1"/>
    </xf>
    <xf numFmtId="1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7" xfId="21" applyNumberFormat="1" applyFont="1" applyFill="1" applyBorder="1" applyAlignment="1" applyProtection="1">
      <alignment horizontal="right" vertical="center" wrapText="1" indent="1"/>
    </xf>
    <xf numFmtId="1" fontId="18" fillId="0" borderId="45" xfId="21" applyNumberFormat="1" applyFont="1" applyFill="1" applyBorder="1" applyAlignment="1" applyProtection="1">
      <alignment horizontal="right" vertical="center" wrapText="1" indent="1"/>
    </xf>
    <xf numFmtId="1" fontId="20" fillId="0" borderId="44" xfId="21" applyNumberFormat="1" applyFont="1" applyFill="1" applyBorder="1" applyAlignment="1" applyProtection="1">
      <alignment horizontal="right" vertical="center" wrapText="1" indent="1"/>
    </xf>
    <xf numFmtId="1" fontId="25" fillId="0" borderId="27" xfId="21" applyNumberFormat="1" applyFont="1" applyFill="1" applyBorder="1" applyAlignment="1" applyProtection="1">
      <alignment horizontal="right" vertical="center" wrapText="1" indent="1"/>
    </xf>
    <xf numFmtId="1" fontId="23" fillId="0" borderId="27" xfId="27" applyNumberFormat="1" applyFont="1" applyBorder="1" applyAlignment="1" applyProtection="1">
      <alignment horizontal="right" wrapText="1" indent="1"/>
    </xf>
    <xf numFmtId="1" fontId="18" fillId="0" borderId="52" xfId="21" applyNumberFormat="1" applyFont="1" applyFill="1" applyBorder="1" applyAlignment="1" applyProtection="1">
      <alignment horizontal="right" vertical="center" wrapText="1" indent="1"/>
    </xf>
    <xf numFmtId="1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8" xfId="21" applyNumberFormat="1" applyFont="1" applyFill="1" applyBorder="1" applyAlignment="1" applyProtection="1">
      <alignment horizontal="right" vertical="center" wrapText="1" indent="1"/>
    </xf>
    <xf numFmtId="1" fontId="20" fillId="0" borderId="58" xfId="27" applyNumberFormat="1" applyFont="1" applyFill="1" applyBorder="1" applyAlignment="1" applyProtection="1">
      <alignment horizontal="right" wrapText="1" indent="1"/>
    </xf>
    <xf numFmtId="1" fontId="2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42" xfId="27" applyNumberFormat="1" applyFont="1" applyFill="1" applyBorder="1" applyAlignment="1" applyProtection="1">
      <alignment horizontal="right" wrapText="1" indent="1"/>
    </xf>
    <xf numFmtId="1" fontId="20" fillId="0" borderId="56" xfId="27" applyNumberFormat="1" applyFont="1" applyFill="1" applyBorder="1" applyAlignment="1" applyProtection="1">
      <alignment horizontal="right" wrapText="1" indent="1"/>
    </xf>
    <xf numFmtId="1" fontId="20" fillId="0" borderId="56" xfId="27" applyNumberFormat="1" applyFont="1" applyFill="1" applyBorder="1" applyAlignment="1" applyProtection="1">
      <alignment horizontal="right" vertical="center" wrapText="1" indent="1"/>
    </xf>
    <xf numFmtId="1" fontId="20" fillId="0" borderId="42" xfId="27" applyNumberFormat="1" applyFont="1" applyFill="1" applyBorder="1" applyAlignment="1" applyProtection="1">
      <alignment horizontal="right" vertical="center" wrapText="1" indent="1"/>
    </xf>
    <xf numFmtId="1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6" xfId="21" applyNumberFormat="1" applyFont="1" applyFill="1" applyBorder="1" applyAlignment="1" applyProtection="1">
      <alignment horizontal="right" vertical="center" wrapText="1" indent="1"/>
    </xf>
    <xf numFmtId="1" fontId="20" fillId="0" borderId="41" xfId="27" applyNumberFormat="1" applyFont="1" applyFill="1" applyBorder="1" applyAlignment="1" applyProtection="1">
      <alignment horizontal="right" vertical="center" wrapText="1" indent="1"/>
    </xf>
    <xf numFmtId="1" fontId="20" fillId="0" borderId="38" xfId="27" applyNumberFormat="1" applyFont="1" applyFill="1" applyBorder="1" applyAlignment="1" applyProtection="1">
      <alignment horizontal="right" vertical="center" wrapText="1" indent="1"/>
    </xf>
    <xf numFmtId="1" fontId="20" fillId="0" borderId="56" xfId="21" applyNumberFormat="1" applyFont="1" applyFill="1" applyBorder="1" applyAlignment="1" applyProtection="1">
      <alignment horizontal="right" vertical="center" wrapText="1" indent="1"/>
    </xf>
    <xf numFmtId="1" fontId="2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56" xfId="0" applyNumberFormat="1" applyFont="1" applyBorder="1" applyAlignment="1" applyProtection="1">
      <alignment horizontal="right" vertical="center" wrapText="1" indent="1"/>
    </xf>
    <xf numFmtId="1" fontId="23" fillId="0" borderId="42" xfId="0" applyNumberFormat="1" applyFont="1" applyBorder="1" applyAlignment="1" applyProtection="1">
      <alignment horizontal="right" vertical="center" wrapText="1" indent="1"/>
    </xf>
    <xf numFmtId="1" fontId="20" fillId="0" borderId="41" xfId="21" applyNumberFormat="1" applyFont="1" applyFill="1" applyBorder="1" applyAlignment="1" applyProtection="1">
      <alignment horizontal="right" vertical="center" wrapText="1" indent="1"/>
    </xf>
    <xf numFmtId="1" fontId="20" fillId="0" borderId="38" xfId="21" applyNumberFormat="1" applyFont="1" applyFill="1" applyBorder="1" applyAlignment="1" applyProtection="1">
      <alignment horizontal="right" vertical="center" wrapText="1" indent="1"/>
    </xf>
    <xf numFmtId="1" fontId="24" fillId="0" borderId="44" xfId="0" applyNumberFormat="1" applyFont="1" applyBorder="1" applyAlignment="1" applyProtection="1">
      <alignment horizontal="right" vertical="center" wrapText="1" indent="1"/>
    </xf>
    <xf numFmtId="1" fontId="24" fillId="0" borderId="19" xfId="0" applyNumberFormat="1" applyFont="1" applyBorder="1" applyAlignment="1" applyProtection="1">
      <alignment horizontal="right" vertical="center" wrapText="1" indent="1"/>
    </xf>
    <xf numFmtId="1" fontId="24" fillId="0" borderId="19" xfId="0" applyNumberFormat="1" applyFont="1" applyBorder="1" applyAlignment="1" applyProtection="1">
      <alignment horizontal="right" vertical="center" wrapText="1" indent="1"/>
      <protection locked="0"/>
    </xf>
    <xf numFmtId="1" fontId="22" fillId="0" borderId="44" xfId="0" quotePrefix="1" applyNumberFormat="1" applyFont="1" applyBorder="1" applyAlignment="1" applyProtection="1">
      <alignment horizontal="right" vertical="center" wrapText="1" indent="1"/>
    </xf>
    <xf numFmtId="1" fontId="22" fillId="0" borderId="19" xfId="0" quotePrefix="1" applyNumberFormat="1" applyFont="1" applyBorder="1" applyAlignment="1" applyProtection="1">
      <alignment horizontal="right" vertical="center" wrapText="1" indent="1"/>
    </xf>
    <xf numFmtId="1" fontId="32" fillId="0" borderId="24" xfId="21" applyNumberFormat="1" applyFont="1" applyFill="1" applyBorder="1" applyAlignment="1" applyProtection="1">
      <alignment horizontal="right" vertical="center" indent="1"/>
    </xf>
    <xf numFmtId="1" fontId="32" fillId="0" borderId="0" xfId="21" applyNumberFormat="1" applyFont="1" applyFill="1" applyBorder="1" applyAlignment="1" applyProtection="1">
      <alignment horizontal="right" vertical="center" indent="1"/>
    </xf>
    <xf numFmtId="1" fontId="5" fillId="0" borderId="0" xfId="0" applyNumberFormat="1" applyFont="1" applyFill="1" applyBorder="1" applyAlignment="1" applyProtection="1">
      <alignment horizontal="right" vertical="center" indent="1"/>
    </xf>
    <xf numFmtId="1" fontId="7" fillId="0" borderId="14" xfId="21" applyNumberFormat="1" applyFont="1" applyFill="1" applyBorder="1" applyAlignment="1" applyProtection="1">
      <alignment horizontal="right" vertical="center" wrapText="1" indent="1"/>
    </xf>
    <xf numFmtId="1" fontId="7" fillId="0" borderId="67" xfId="21" applyNumberFormat="1" applyFont="1" applyFill="1" applyBorder="1" applyAlignment="1" applyProtection="1">
      <alignment horizontal="right" vertical="center" wrapText="1" indent="1"/>
    </xf>
    <xf numFmtId="1" fontId="7" fillId="0" borderId="19" xfId="21" applyNumberFormat="1" applyFont="1" applyFill="1" applyBorder="1" applyAlignment="1" applyProtection="1">
      <alignment horizontal="right" vertical="center" wrapText="1" indent="1"/>
    </xf>
    <xf numFmtId="1" fontId="18" fillId="0" borderId="62" xfId="21" applyNumberFormat="1" applyFont="1" applyFill="1" applyBorder="1" applyAlignment="1" applyProtection="1">
      <alignment horizontal="right" vertical="center" wrapText="1" indent="1"/>
    </xf>
    <xf numFmtId="1" fontId="6" fillId="0" borderId="51" xfId="21" applyNumberFormat="1" applyFont="1" applyFill="1" applyBorder="1" applyAlignment="1" applyProtection="1">
      <alignment horizontal="right" vertical="center" wrapText="1" indent="1"/>
    </xf>
    <xf numFmtId="1" fontId="32" fillId="0" borderId="24" xfId="21" applyNumberFormat="1" applyFont="1" applyFill="1" applyBorder="1" applyAlignment="1" applyProtection="1">
      <alignment horizontal="right" indent="1"/>
    </xf>
    <xf numFmtId="1" fontId="5" fillId="0" borderId="24" xfId="0" applyNumberFormat="1" applyFont="1" applyFill="1" applyBorder="1" applyAlignment="1" applyProtection="1">
      <alignment horizontal="right" vertical="center" indent="1"/>
    </xf>
    <xf numFmtId="1" fontId="7" fillId="0" borderId="27" xfId="21" applyNumberFormat="1" applyFont="1" applyFill="1" applyBorder="1" applyAlignment="1" applyProtection="1">
      <alignment horizontal="right" vertical="center" wrapText="1" indent="1"/>
    </xf>
    <xf numFmtId="1" fontId="7" fillId="0" borderId="33" xfId="21" applyNumberFormat="1" applyFont="1" applyFill="1" applyBorder="1" applyAlignment="1" applyProtection="1">
      <alignment horizontal="right" vertical="center" wrapText="1" indent="1"/>
    </xf>
    <xf numFmtId="1" fontId="18" fillId="0" borderId="33" xfId="21" applyNumberFormat="1" applyFont="1" applyFill="1" applyBorder="1" applyAlignment="1" applyProtection="1">
      <alignment horizontal="right" vertical="center" wrapText="1" indent="1"/>
    </xf>
    <xf numFmtId="1" fontId="20" fillId="0" borderId="56" xfId="27" applyNumberFormat="1" applyFont="1" applyFill="1" applyBorder="1" applyAlignment="1" applyProtection="1">
      <alignment horizontal="right" indent="1"/>
    </xf>
    <xf numFmtId="1" fontId="26" fillId="0" borderId="42" xfId="27" applyNumberFormat="1" applyFont="1" applyFill="1" applyBorder="1" applyAlignment="1" applyProtection="1">
      <alignment horizontal="right" vertical="center" wrapText="1" indent="1"/>
    </xf>
    <xf numFmtId="1" fontId="20" fillId="0" borderId="74" xfId="27" applyNumberFormat="1" applyFont="1" applyFill="1" applyBorder="1" applyAlignment="1" applyProtection="1">
      <alignment horizontal="right" vertical="center" wrapText="1" indent="1"/>
    </xf>
    <xf numFmtId="1" fontId="20" fillId="0" borderId="42" xfId="21" applyNumberFormat="1" applyFont="1" applyFill="1" applyBorder="1" applyAlignment="1" applyProtection="1">
      <alignment horizontal="right" vertical="center" wrapText="1" indent="1"/>
    </xf>
    <xf numFmtId="1" fontId="10" fillId="0" borderId="0" xfId="21" applyNumberFormat="1" applyFont="1" applyFill="1" applyAlignment="1">
      <alignment horizontal="right" indent="1"/>
    </xf>
    <xf numFmtId="1" fontId="20" fillId="0" borderId="27" xfId="21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0" fontId="21" fillId="0" borderId="0" xfId="23" applyFont="1" applyFill="1" applyAlignment="1" applyProtection="1">
      <alignment horizontal="center"/>
    </xf>
    <xf numFmtId="164" fontId="26" fillId="0" borderId="17" xfId="21" applyNumberFormat="1" applyFont="1" applyFill="1" applyBorder="1" applyAlignment="1" applyProtection="1">
      <alignment horizontal="right" vertical="center" wrapText="1" indent="1"/>
    </xf>
    <xf numFmtId="164" fontId="26" fillId="0" borderId="22" xfId="21" applyNumberFormat="1" applyFont="1" applyFill="1" applyBorder="1" applyAlignment="1" applyProtection="1">
      <alignment horizontal="right" vertical="center" wrapText="1" indent="1"/>
    </xf>
    <xf numFmtId="164" fontId="18" fillId="0" borderId="17" xfId="21" applyNumberFormat="1" applyFont="1" applyFill="1" applyBorder="1" applyAlignment="1" applyProtection="1">
      <alignment horizontal="right" vertical="center" wrapText="1" indent="1"/>
    </xf>
    <xf numFmtId="164" fontId="18" fillId="0" borderId="18" xfId="21" applyNumberFormat="1" applyFont="1" applyFill="1" applyBorder="1" applyAlignment="1" applyProtection="1">
      <alignment horizontal="right" vertical="center" wrapText="1" indent="1"/>
    </xf>
    <xf numFmtId="164" fontId="18" fillId="0" borderId="22" xfId="21" applyNumberFormat="1" applyFont="1" applyFill="1" applyBorder="1" applyAlignment="1" applyProtection="1">
      <alignment horizontal="right" vertical="center" wrapText="1" indent="1"/>
    </xf>
    <xf numFmtId="164" fontId="18" fillId="0" borderId="20" xfId="21" applyNumberFormat="1" applyFont="1" applyFill="1" applyBorder="1" applyAlignment="1" applyProtection="1">
      <alignment horizontal="right" vertical="center" wrapText="1" indent="1"/>
    </xf>
    <xf numFmtId="164" fontId="65" fillId="0" borderId="17" xfId="21" applyNumberFormat="1" applyFont="1" applyFill="1" applyBorder="1" applyAlignment="1" applyProtection="1">
      <alignment horizontal="right" vertical="center" wrapText="1" indent="1"/>
    </xf>
    <xf numFmtId="164" fontId="6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1" xfId="28" applyNumberFormat="1" applyFont="1" applyFill="1" applyBorder="1" applyAlignment="1" applyProtection="1">
      <alignment horizontal="left" vertical="center" wrapText="1"/>
      <protection locked="0"/>
    </xf>
    <xf numFmtId="164" fontId="26" fillId="0" borderId="9" xfId="28" applyNumberFormat="1" applyFont="1" applyFill="1" applyBorder="1" applyAlignment="1" applyProtection="1">
      <alignment vertical="center" wrapText="1"/>
      <protection locked="0"/>
    </xf>
    <xf numFmtId="164" fontId="26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26" fillId="0" borderId="8" xfId="28" applyNumberFormat="1" applyFont="1" applyFill="1" applyBorder="1" applyAlignment="1" applyProtection="1">
      <alignment vertical="center" wrapText="1"/>
      <protection locked="0"/>
    </xf>
    <xf numFmtId="164" fontId="26" fillId="0" borderId="38" xfId="28" applyNumberFormat="1" applyFont="1" applyFill="1" applyBorder="1" applyAlignment="1" applyProtection="1">
      <alignment horizontal="left" vertical="center" wrapText="1"/>
      <protection locked="0"/>
    </xf>
    <xf numFmtId="164" fontId="20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20" fillId="0" borderId="8" xfId="28" applyNumberFormat="1" applyFont="1" applyFill="1" applyBorder="1" applyAlignment="1" applyProtection="1">
      <alignment vertical="center" wrapText="1"/>
      <protection locked="0"/>
    </xf>
    <xf numFmtId="0" fontId="23" fillId="0" borderId="42" xfId="28" applyFont="1" applyFill="1" applyBorder="1" applyAlignment="1">
      <alignment vertical="center"/>
    </xf>
    <xf numFmtId="164" fontId="20" fillId="0" borderId="5" xfId="28" applyNumberFormat="1" applyFont="1" applyFill="1" applyBorder="1" applyAlignment="1" applyProtection="1">
      <alignment vertical="center" wrapText="1"/>
      <protection locked="0"/>
    </xf>
    <xf numFmtId="0" fontId="38" fillId="0" borderId="41" xfId="28" applyFont="1" applyFill="1" applyBorder="1" applyAlignment="1">
      <alignment vertical="center"/>
    </xf>
    <xf numFmtId="0" fontId="83" fillId="0" borderId="41" xfId="28" applyFont="1" applyFill="1" applyBorder="1" applyAlignment="1">
      <alignment vertical="center"/>
    </xf>
    <xf numFmtId="164" fontId="20" fillId="0" borderId="76" xfId="28" applyNumberFormat="1" applyFont="1" applyFill="1" applyBorder="1" applyAlignment="1" applyProtection="1">
      <alignment vertical="center" wrapText="1"/>
      <protection locked="0"/>
    </xf>
    <xf numFmtId="49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7" fillId="0" borderId="34" xfId="0" applyNumberFormat="1" applyFont="1" applyFill="1" applyBorder="1" applyAlignment="1" applyProtection="1">
      <alignment horizontal="left" vertical="center" wrapText="1"/>
    </xf>
    <xf numFmtId="164" fontId="65" fillId="0" borderId="27" xfId="0" applyNumberFormat="1" applyFont="1" applyFill="1" applyBorder="1" applyAlignment="1" applyProtection="1">
      <alignment vertical="center" wrapText="1"/>
    </xf>
    <xf numFmtId="164" fontId="65" fillId="7" borderId="33" xfId="0" applyNumberFormat="1" applyFont="1" applyFill="1" applyBorder="1" applyAlignment="1" applyProtection="1">
      <alignment vertical="center" wrapText="1"/>
    </xf>
    <xf numFmtId="164" fontId="65" fillId="0" borderId="14" xfId="0" applyNumberFormat="1" applyFont="1" applyFill="1" applyBorder="1" applyAlignment="1" applyProtection="1">
      <alignment vertical="center" wrapText="1"/>
    </xf>
    <xf numFmtId="164" fontId="65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4" xfId="0" applyNumberFormat="1" applyFont="1" applyFill="1" applyBorder="1" applyAlignment="1" applyProtection="1">
      <alignment horizontal="right" vertical="center" wrapText="1" indent="1"/>
    </xf>
    <xf numFmtId="164" fontId="65" fillId="0" borderId="19" xfId="0" applyNumberFormat="1" applyFont="1" applyFill="1" applyBorder="1" applyAlignment="1" applyProtection="1">
      <alignment horizontal="right" vertical="center" wrapText="1" indent="1"/>
    </xf>
    <xf numFmtId="164" fontId="74" fillId="0" borderId="19" xfId="0" applyNumberFormat="1" applyFont="1" applyFill="1" applyBorder="1" applyAlignment="1" applyProtection="1">
      <alignment horizontal="right" vertical="center" wrapText="1" indent="1"/>
    </xf>
    <xf numFmtId="3" fontId="65" fillId="0" borderId="18" xfId="25" applyNumberFormat="1" applyFont="1" applyBorder="1" applyAlignment="1">
      <alignment horizontal="right"/>
    </xf>
    <xf numFmtId="165" fontId="66" fillId="0" borderId="44" xfId="26" applyNumberFormat="1" applyFont="1" applyBorder="1"/>
    <xf numFmtId="3" fontId="77" fillId="0" borderId="8" xfId="19" applyNumberFormat="1" applyFont="1" applyBorder="1"/>
    <xf numFmtId="3" fontId="77" fillId="0" borderId="5" xfId="19" applyNumberFormat="1" applyFont="1" applyFill="1" applyBorder="1"/>
    <xf numFmtId="3" fontId="77" fillId="0" borderId="10" xfId="19" applyNumberFormat="1" applyFont="1" applyBorder="1"/>
    <xf numFmtId="164" fontId="6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21" applyNumberFormat="1" applyFont="1" applyFill="1" applyBorder="1" applyAlignment="1" applyProtection="1">
      <alignment horizontal="right" vertical="center" wrapText="1" indent="1"/>
    </xf>
    <xf numFmtId="164" fontId="65" fillId="0" borderId="23" xfId="21" applyNumberFormat="1" applyFont="1" applyFill="1" applyBorder="1" applyAlignment="1" applyProtection="1">
      <alignment horizontal="right" vertical="center" wrapText="1" indent="1"/>
    </xf>
    <xf numFmtId="164" fontId="94" fillId="0" borderId="58" xfId="0" applyNumberFormat="1" applyFont="1" applyFill="1" applyBorder="1" applyAlignment="1" applyProtection="1">
      <alignment horizontal="left" vertical="center" wrapText="1"/>
      <protection locked="0"/>
    </xf>
    <xf numFmtId="0" fontId="66" fillId="0" borderId="42" xfId="21" quotePrefix="1" applyFont="1" applyFill="1" applyBorder="1" applyAlignment="1" applyProtection="1">
      <alignment horizontal="left"/>
      <protection locked="0"/>
    </xf>
    <xf numFmtId="164" fontId="66" fillId="0" borderId="8" xfId="0" applyNumberFormat="1" applyFont="1" applyFill="1" applyBorder="1" applyAlignment="1" applyProtection="1">
      <alignment vertical="center" wrapText="1"/>
      <protection locked="0"/>
    </xf>
    <xf numFmtId="164" fontId="66" fillId="0" borderId="2" xfId="0" applyNumberFormat="1" applyFont="1" applyFill="1" applyBorder="1" applyAlignment="1" applyProtection="1">
      <alignment vertical="center" wrapText="1"/>
      <protection locked="0"/>
    </xf>
    <xf numFmtId="164" fontId="69" fillId="0" borderId="18" xfId="0" applyNumberFormat="1" applyFont="1" applyFill="1" applyBorder="1" applyAlignment="1" applyProtection="1">
      <alignment vertical="center" wrapText="1"/>
    </xf>
    <xf numFmtId="0" fontId="95" fillId="0" borderId="42" xfId="0" applyFont="1" applyFill="1" applyBorder="1" applyAlignment="1">
      <alignment vertical="center"/>
    </xf>
    <xf numFmtId="0" fontId="96" fillId="0" borderId="42" xfId="0" quotePrefix="1" applyFont="1" applyFill="1" applyBorder="1" applyAlignment="1">
      <alignment vertical="center"/>
    </xf>
    <xf numFmtId="3" fontId="96" fillId="0" borderId="8" xfId="27" applyNumberFormat="1" applyFont="1" applyFill="1" applyBorder="1" applyAlignment="1">
      <alignment vertical="center"/>
    </xf>
    <xf numFmtId="49" fontId="8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96" fillId="0" borderId="2" xfId="27" applyNumberFormat="1" applyFont="1" applyFill="1" applyBorder="1" applyAlignment="1">
      <alignment vertical="center"/>
    </xf>
    <xf numFmtId="164" fontId="84" fillId="0" borderId="8" xfId="0" applyNumberFormat="1" applyFont="1" applyFill="1" applyBorder="1" applyAlignment="1" applyProtection="1">
      <alignment vertical="center" wrapText="1"/>
      <protection locked="0"/>
    </xf>
    <xf numFmtId="164" fontId="84" fillId="0" borderId="2" xfId="0" applyNumberFormat="1" applyFont="1" applyFill="1" applyBorder="1" applyAlignment="1" applyProtection="1">
      <alignment vertical="center" wrapText="1"/>
      <protection locked="0"/>
    </xf>
    <xf numFmtId="0" fontId="96" fillId="0" borderId="42" xfId="0" applyFont="1" applyFill="1" applyBorder="1" applyAlignment="1">
      <alignment vertical="center"/>
    </xf>
    <xf numFmtId="164" fontId="84" fillId="0" borderId="0" xfId="0" applyNumberFormat="1" applyFont="1" applyFill="1" applyAlignment="1">
      <alignment vertical="center" wrapText="1"/>
    </xf>
    <xf numFmtId="0" fontId="94" fillId="0" borderId="42" xfId="21" applyFont="1" applyFill="1" applyBorder="1" applyProtection="1">
      <protection locked="0"/>
    </xf>
    <xf numFmtId="0" fontId="78" fillId="0" borderId="42" xfId="21" quotePrefix="1" applyFont="1" applyFill="1" applyBorder="1" applyProtection="1">
      <protection locked="0"/>
    </xf>
    <xf numFmtId="164" fontId="78" fillId="0" borderId="8" xfId="0" applyNumberFormat="1" applyFont="1" applyFill="1" applyBorder="1" applyAlignment="1" applyProtection="1">
      <alignment vertical="center" wrapText="1"/>
      <protection locked="0"/>
    </xf>
    <xf numFmtId="49" fontId="7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8" fillId="0" borderId="2" xfId="0" applyNumberFormat="1" applyFont="1" applyFill="1" applyBorder="1" applyAlignment="1" applyProtection="1">
      <alignment vertical="center" wrapText="1"/>
      <protection locked="0"/>
    </xf>
    <xf numFmtId="164" fontId="67" fillId="0" borderId="18" xfId="0" applyNumberFormat="1" applyFont="1" applyFill="1" applyBorder="1" applyAlignment="1" applyProtection="1">
      <alignment vertical="center" wrapText="1"/>
    </xf>
    <xf numFmtId="164" fontId="65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65" fillId="0" borderId="8" xfId="28" applyNumberFormat="1" applyFont="1" applyFill="1" applyBorder="1" applyAlignment="1" applyProtection="1">
      <alignment vertical="center" wrapText="1"/>
      <protection locked="0"/>
    </xf>
    <xf numFmtId="49" fontId="6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41" xfId="28" applyFont="1" applyFill="1" applyBorder="1" applyAlignment="1">
      <alignment vertical="center"/>
    </xf>
    <xf numFmtId="164" fontId="65" fillId="0" borderId="5" xfId="28" applyNumberFormat="1" applyFont="1" applyFill="1" applyBorder="1" applyAlignment="1" applyProtection="1">
      <alignment vertical="center" wrapText="1"/>
      <protection locked="0"/>
    </xf>
    <xf numFmtId="164" fontId="6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5" fillId="10" borderId="4" xfId="14" applyNumberFormat="1" applyFont="1" applyFill="1" applyBorder="1" applyAlignment="1" applyProtection="1">
      <alignment vertical="center" wrapText="1"/>
      <protection locked="0"/>
    </xf>
    <xf numFmtId="164" fontId="6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6" fontId="8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66" fillId="10" borderId="17" xfId="0" applyNumberFormat="1" applyFont="1" applyFill="1" applyBorder="1" applyAlignment="1" applyProtection="1">
      <alignment horizontal="right" vertical="center" wrapText="1" indent="1"/>
      <protection locked="0"/>
    </xf>
    <xf numFmtId="167" fontId="78" fillId="10" borderId="22" xfId="26" applyNumberFormat="1" applyFont="1" applyFill="1" applyBorder="1" applyAlignment="1" applyProtection="1">
      <alignment horizontal="right" vertical="center" wrapText="1" indent="1"/>
    </xf>
    <xf numFmtId="164" fontId="6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66" fillId="1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25" applyFont="1"/>
    <xf numFmtId="0" fontId="28" fillId="0" borderId="12" xfId="24" applyFont="1" applyBorder="1"/>
    <xf numFmtId="3" fontId="65" fillId="0" borderId="21" xfId="26" applyNumberFormat="1" applyFont="1" applyBorder="1" applyAlignment="1">
      <alignment horizontal="right"/>
    </xf>
    <xf numFmtId="3" fontId="65" fillId="0" borderId="22" xfId="26" applyNumberFormat="1" applyFont="1" applyBorder="1" applyAlignment="1">
      <alignment horizontal="right"/>
    </xf>
    <xf numFmtId="0" fontId="64" fillId="0" borderId="0" xfId="25" applyFont="1"/>
    <xf numFmtId="3" fontId="24" fillId="0" borderId="0" xfId="25" applyNumberFormat="1" applyFont="1"/>
    <xf numFmtId="3" fontId="38" fillId="0" borderId="0" xfId="25" applyNumberFormat="1" applyFont="1"/>
    <xf numFmtId="3" fontId="26" fillId="0" borderId="2" xfId="25" applyNumberFormat="1" applyFont="1" applyBorder="1" applyAlignment="1">
      <alignment horizontal="right"/>
    </xf>
    <xf numFmtId="3" fontId="25" fillId="0" borderId="2" xfId="25" applyNumberFormat="1" applyFont="1" applyBorder="1" applyAlignment="1">
      <alignment horizontal="right"/>
    </xf>
    <xf numFmtId="3" fontId="26" fillId="0" borderId="2" xfId="26" quotePrefix="1" applyNumberFormat="1" applyFont="1" applyBorder="1" applyAlignment="1">
      <alignment horizontal="right"/>
    </xf>
    <xf numFmtId="3" fontId="26" fillId="0" borderId="2" xfId="26" applyNumberFormat="1" applyFont="1" applyBorder="1" applyAlignment="1">
      <alignment horizontal="right"/>
    </xf>
    <xf numFmtId="164" fontId="65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65" fillId="9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65" fillId="9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36" xfId="26" applyNumberFormat="1" applyFont="1" applyBorder="1" applyAlignment="1"/>
    <xf numFmtId="164" fontId="65" fillId="0" borderId="40" xfId="23" applyNumberFormat="1" applyFont="1" applyFill="1" applyBorder="1" applyAlignment="1" applyProtection="1">
      <alignment vertical="center"/>
    </xf>
    <xf numFmtId="164" fontId="65" fillId="0" borderId="18" xfId="23" applyNumberFormat="1" applyFont="1" applyFill="1" applyBorder="1" applyAlignment="1" applyProtection="1">
      <alignment vertical="center"/>
    </xf>
    <xf numFmtId="164" fontId="65" fillId="0" borderId="17" xfId="23" applyNumberFormat="1" applyFont="1" applyFill="1" applyBorder="1" applyAlignment="1" applyProtection="1">
      <alignment vertical="center"/>
    </xf>
    <xf numFmtId="3" fontId="98" fillId="0" borderId="36" xfId="27" applyNumberFormat="1" applyFont="1" applyBorder="1" applyAlignment="1">
      <alignment horizontal="right" indent="2"/>
    </xf>
    <xf numFmtId="3" fontId="98" fillId="0" borderId="50" xfId="27" applyNumberFormat="1" applyFont="1" applyBorder="1" applyAlignment="1">
      <alignment horizontal="right" indent="2"/>
    </xf>
    <xf numFmtId="0" fontId="13" fillId="0" borderId="56" xfId="18" applyFont="1" applyBorder="1" applyAlignment="1">
      <alignment wrapText="1"/>
    </xf>
    <xf numFmtId="3" fontId="98" fillId="0" borderId="32" xfId="27" applyNumberFormat="1" applyFont="1" applyBorder="1" applyAlignment="1">
      <alignment horizontal="right" indent="2"/>
    </xf>
    <xf numFmtId="3" fontId="34" fillId="0" borderId="10" xfId="19" applyNumberFormat="1" applyFont="1" applyFill="1" applyBorder="1"/>
    <xf numFmtId="3" fontId="77" fillId="0" borderId="6" xfId="19" applyNumberFormat="1" applyFont="1" applyBorder="1"/>
    <xf numFmtId="3" fontId="77" fillId="0" borderId="73" xfId="19" applyNumberFormat="1" applyFont="1" applyBorder="1"/>
    <xf numFmtId="164" fontId="32" fillId="0" borderId="24" xfId="21" applyNumberFormat="1" applyFont="1" applyFill="1" applyBorder="1" applyAlignment="1" applyProtection="1">
      <alignment horizontal="left" vertical="center"/>
    </xf>
    <xf numFmtId="164" fontId="6" fillId="0" borderId="0" xfId="21" applyNumberFormat="1" applyFont="1" applyFill="1" applyBorder="1" applyAlignment="1" applyProtection="1">
      <alignment horizontal="center" vertical="center"/>
    </xf>
    <xf numFmtId="164" fontId="32" fillId="0" borderId="24" xfId="21" applyNumberFormat="1" applyFont="1" applyFill="1" applyBorder="1" applyAlignment="1" applyProtection="1">
      <alignment horizontal="left"/>
    </xf>
    <xf numFmtId="0" fontId="21" fillId="0" borderId="0" xfId="21" applyFont="1" applyFill="1" applyAlignment="1" applyProtection="1">
      <alignment horizontal="center"/>
    </xf>
    <xf numFmtId="164" fontId="27" fillId="0" borderId="24" xfId="21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7" fillId="0" borderId="61" xfId="0" applyNumberFormat="1" applyFont="1" applyFill="1" applyBorder="1" applyAlignment="1" applyProtection="1">
      <alignment horizontal="center" vertical="center" wrapText="1"/>
    </xf>
    <xf numFmtId="164" fontId="27" fillId="0" borderId="59" xfId="0" applyNumberFormat="1" applyFont="1" applyFill="1" applyBorder="1" applyAlignment="1" applyProtection="1">
      <alignment horizontal="center" vertical="center" wrapText="1"/>
    </xf>
    <xf numFmtId="164" fontId="40" fillId="0" borderId="51" xfId="0" applyNumberFormat="1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center" vertical="center" wrapText="1"/>
    </xf>
    <xf numFmtId="164" fontId="27" fillId="0" borderId="7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0" fontId="26" fillId="0" borderId="46" xfId="0" applyFont="1" applyFill="1" applyBorder="1" applyAlignment="1" applyProtection="1">
      <alignment horizontal="left" indent="1"/>
      <protection locked="0"/>
    </xf>
    <xf numFmtId="0" fontId="26" fillId="0" borderId="70" xfId="0" applyFont="1" applyFill="1" applyBorder="1" applyAlignment="1" applyProtection="1">
      <alignment horizontal="left" indent="1"/>
      <protection locked="0"/>
    </xf>
    <xf numFmtId="0" fontId="26" fillId="0" borderId="55" xfId="0" applyFont="1" applyFill="1" applyBorder="1" applyAlignment="1" applyProtection="1">
      <alignment horizontal="left" indent="1"/>
      <protection locked="0"/>
    </xf>
    <xf numFmtId="0" fontId="26" fillId="0" borderId="4" xfId="0" applyFont="1" applyFill="1" applyBorder="1" applyAlignment="1" applyProtection="1">
      <alignment horizontal="right" indent="1"/>
      <protection locked="0"/>
    </xf>
    <xf numFmtId="0" fontId="26" fillId="0" borderId="17" xfId="0" applyFont="1" applyFill="1" applyBorder="1" applyAlignment="1" applyProtection="1">
      <alignment horizontal="right" indent="1"/>
      <protection locked="0"/>
    </xf>
    <xf numFmtId="0" fontId="26" fillId="0" borderId="30" xfId="0" applyFont="1" applyFill="1" applyBorder="1" applyAlignment="1" applyProtection="1">
      <alignment horizontal="left" indent="1"/>
      <protection locked="0"/>
    </xf>
    <xf numFmtId="0" fontId="26" fillId="0" borderId="31" xfId="0" applyFont="1" applyFill="1" applyBorder="1" applyAlignment="1" applyProtection="1">
      <alignment horizontal="left" indent="1"/>
      <protection locked="0"/>
    </xf>
    <xf numFmtId="0" fontId="26" fillId="0" borderId="73" xfId="0" applyFont="1" applyFill="1" applyBorder="1" applyAlignment="1" applyProtection="1">
      <alignment horizontal="left" indent="1"/>
      <protection locked="0"/>
    </xf>
    <xf numFmtId="0" fontId="26" fillId="0" borderId="6" xfId="0" applyFont="1" applyFill="1" applyBorder="1" applyAlignment="1" applyProtection="1">
      <alignment horizontal="right" indent="1"/>
      <protection locked="0"/>
    </xf>
    <xf numFmtId="0" fontId="26" fillId="0" borderId="23" xfId="0" applyFont="1" applyFill="1" applyBorder="1" applyAlignment="1" applyProtection="1">
      <alignment horizontal="right" indent="1"/>
      <protection locked="0"/>
    </xf>
    <xf numFmtId="0" fontId="27" fillId="0" borderId="34" xfId="0" applyFont="1" applyFill="1" applyBorder="1" applyAlignment="1" applyProtection="1">
      <alignment horizontal="left" indent="1"/>
    </xf>
    <xf numFmtId="0" fontId="27" fillId="0" borderId="35" xfId="0" applyFont="1" applyFill="1" applyBorder="1" applyAlignment="1" applyProtection="1">
      <alignment horizontal="left" indent="1"/>
    </xf>
    <xf numFmtId="0" fontId="27" fillId="0" borderId="33" xfId="0" applyFont="1" applyFill="1" applyBorder="1" applyAlignment="1" applyProtection="1">
      <alignment horizontal="left" indent="1"/>
    </xf>
    <xf numFmtId="0" fontId="25" fillId="0" borderId="14" xfId="0" applyFont="1" applyFill="1" applyBorder="1" applyAlignment="1" applyProtection="1">
      <alignment horizontal="right" indent="1"/>
    </xf>
    <xf numFmtId="0" fontId="25" fillId="0" borderId="19" xfId="0" applyFont="1" applyFill="1" applyBorder="1" applyAlignment="1" applyProtection="1">
      <alignment horizontal="right" indent="1"/>
    </xf>
    <xf numFmtId="0" fontId="27" fillId="0" borderId="63" xfId="0" applyFont="1" applyFill="1" applyBorder="1" applyAlignment="1" applyProtection="1">
      <alignment horizontal="center"/>
    </xf>
    <xf numFmtId="0" fontId="27" fillId="0" borderId="51" xfId="0" applyFont="1" applyFill="1" applyBorder="1" applyAlignment="1" applyProtection="1">
      <alignment horizontal="center"/>
    </xf>
    <xf numFmtId="0" fontId="27" fillId="0" borderId="75" xfId="0" applyFont="1" applyFill="1" applyBorder="1" applyAlignment="1" applyProtection="1">
      <alignment horizontal="center"/>
    </xf>
    <xf numFmtId="0" fontId="27" fillId="0" borderId="16" xfId="0" applyFont="1" applyFill="1" applyBorder="1" applyAlignment="1" applyProtection="1">
      <alignment horizontal="center"/>
    </xf>
    <xf numFmtId="0" fontId="27" fillId="0" borderId="28" xfId="0" applyFont="1" applyFill="1" applyBorder="1" applyAlignment="1" applyProtection="1">
      <alignment horizontal="center"/>
    </xf>
    <xf numFmtId="0" fontId="21" fillId="0" borderId="0" xfId="0" applyFont="1" applyFill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right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70" fillId="0" borderId="12" xfId="0" applyFont="1" applyFill="1" applyBorder="1" applyAlignment="1" applyProtection="1">
      <alignment horizontal="left" vertical="center" wrapText="1"/>
    </xf>
    <xf numFmtId="0" fontId="70" fillId="0" borderId="21" xfId="0" applyFont="1" applyFill="1" applyBorder="1" applyAlignment="1" applyProtection="1">
      <alignment horizontal="left" vertical="center" wrapText="1"/>
    </xf>
    <xf numFmtId="0" fontId="78" fillId="10" borderId="12" xfId="0" applyFont="1" applyFill="1" applyBorder="1" applyAlignment="1" applyProtection="1">
      <alignment horizontal="left" vertical="center" wrapText="1"/>
    </xf>
    <xf numFmtId="0" fontId="78" fillId="10" borderId="21" xfId="0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 wrapText="1"/>
    </xf>
    <xf numFmtId="0" fontId="13" fillId="0" borderId="21" xfId="0" applyFont="1" applyFill="1" applyBorder="1" applyAlignment="1" applyProtection="1">
      <alignment horizontal="left" vertical="center" wrapText="1"/>
    </xf>
    <xf numFmtId="0" fontId="18" fillId="0" borderId="15" xfId="25" applyFont="1" applyBorder="1" applyAlignment="1">
      <alignment horizontal="center" vertical="center"/>
    </xf>
    <xf numFmtId="0" fontId="18" fillId="0" borderId="7" xfId="25" applyFont="1" applyBorder="1" applyAlignment="1">
      <alignment horizontal="center" vertical="center"/>
    </xf>
    <xf numFmtId="0" fontId="18" fillId="0" borderId="9" xfId="25" applyFont="1" applyBorder="1" applyAlignment="1">
      <alignment horizontal="center" vertical="center"/>
    </xf>
    <xf numFmtId="0" fontId="18" fillId="0" borderId="4" xfId="25" applyFont="1" applyBorder="1" applyAlignment="1">
      <alignment horizontal="left"/>
    </xf>
    <xf numFmtId="0" fontId="42" fillId="0" borderId="4" xfId="25" applyBorder="1" applyAlignment="1">
      <alignment horizontal="left"/>
    </xf>
    <xf numFmtId="0" fontId="18" fillId="0" borderId="4" xfId="25" applyFont="1" applyBorder="1" applyAlignment="1">
      <alignment horizontal="center"/>
    </xf>
    <xf numFmtId="0" fontId="42" fillId="0" borderId="4" xfId="25" applyBorder="1" applyAlignment="1">
      <alignment horizontal="center"/>
    </xf>
    <xf numFmtId="0" fontId="42" fillId="0" borderId="17" xfId="25" applyBorder="1" applyAlignment="1">
      <alignment horizontal="center"/>
    </xf>
    <xf numFmtId="0" fontId="21" fillId="0" borderId="0" xfId="21" applyFont="1" applyFill="1" applyAlignment="1">
      <alignment horizontal="center" wrapText="1"/>
    </xf>
    <xf numFmtId="0" fontId="21" fillId="0" borderId="0" xfId="21" applyFont="1" applyFill="1" applyAlignment="1">
      <alignment horizontal="center"/>
    </xf>
    <xf numFmtId="0" fontId="21" fillId="0" borderId="0" xfId="23" applyFont="1" applyFill="1" applyAlignment="1" applyProtection="1">
      <alignment horizontal="center" wrapText="1"/>
    </xf>
    <xf numFmtId="0" fontId="21" fillId="0" borderId="0" xfId="23" applyFont="1" applyFill="1" applyAlignment="1" applyProtection="1">
      <alignment horizontal="center"/>
    </xf>
    <xf numFmtId="0" fontId="19" fillId="0" borderId="67" xfId="23" applyFont="1" applyFill="1" applyBorder="1" applyAlignment="1" applyProtection="1">
      <alignment horizontal="left" vertical="center" indent="1"/>
    </xf>
    <xf numFmtId="0" fontId="19" fillId="0" borderId="35" xfId="23" applyFont="1" applyFill="1" applyBorder="1" applyAlignment="1" applyProtection="1">
      <alignment horizontal="left" vertical="center" indent="1"/>
    </xf>
    <xf numFmtId="0" fontId="19" fillId="0" borderId="44" xfId="23" applyFont="1" applyFill="1" applyBorder="1" applyAlignment="1" applyProtection="1">
      <alignment horizontal="left" vertical="center" indent="1"/>
    </xf>
    <xf numFmtId="0" fontId="16" fillId="0" borderId="0" xfId="18" applyFont="1" applyAlignment="1">
      <alignment horizontal="right"/>
    </xf>
    <xf numFmtId="0" fontId="14" fillId="0" borderId="0" xfId="0" applyFont="1" applyFill="1" applyBorder="1" applyAlignment="1" applyProtection="1">
      <alignment horizontal="center" vertical="center"/>
    </xf>
    <xf numFmtId="0" fontId="28" fillId="0" borderId="61" xfId="18" applyFont="1" applyBorder="1" applyAlignment="1">
      <alignment horizontal="center" vertical="center" wrapText="1"/>
    </xf>
    <xf numFmtId="0" fontId="28" fillId="0" borderId="38" xfId="18" applyFont="1" applyBorder="1" applyAlignment="1">
      <alignment horizontal="center" vertical="center" wrapText="1"/>
    </xf>
    <xf numFmtId="0" fontId="28" fillId="0" borderId="59" xfId="18" applyFont="1" applyBorder="1" applyAlignment="1">
      <alignment horizontal="center" vertical="center" wrapText="1"/>
    </xf>
    <xf numFmtId="0" fontId="8" fillId="0" borderId="0" xfId="19" applyFont="1" applyAlignment="1">
      <alignment horizontal="center"/>
    </xf>
    <xf numFmtId="0" fontId="13" fillId="0" borderId="0" xfId="19" applyFont="1" applyAlignment="1">
      <alignment horizontal="center"/>
    </xf>
    <xf numFmtId="0" fontId="6" fillId="0" borderId="11" xfId="19" applyFont="1" applyBorder="1" applyAlignment="1">
      <alignment horizontal="center"/>
    </xf>
    <xf numFmtId="0" fontId="6" fillId="0" borderId="4" xfId="19" applyFont="1" applyBorder="1" applyAlignment="1">
      <alignment horizontal="center"/>
    </xf>
    <xf numFmtId="0" fontId="6" fillId="0" borderId="17" xfId="19" applyFont="1" applyBorder="1" applyAlignment="1">
      <alignment horizontal="center"/>
    </xf>
  </cellXfs>
  <cellStyles count="2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tabSelected="1" topLeftCell="A70" zoomScaleNormal="100" zoomScaleSheetLayoutView="100" workbookViewId="0">
      <selection activeCell="J91" sqref="J91"/>
    </sheetView>
  </sheetViews>
  <sheetFormatPr defaultRowHeight="15.75" x14ac:dyDescent="0.25"/>
  <cols>
    <col min="1" max="1" width="9.5" style="218" customWidth="1"/>
    <col min="2" max="2" width="91.6640625" style="218" customWidth="1"/>
    <col min="3" max="3" width="21.6640625" style="382" customWidth="1"/>
    <col min="4" max="4" width="18" style="229" hidden="1" customWidth="1"/>
    <col min="5" max="5" width="14.5" style="229" hidden="1" customWidth="1"/>
    <col min="6" max="6" width="15.33203125" style="229" hidden="1" customWidth="1"/>
    <col min="7" max="7" width="11.1640625" style="229" hidden="1" customWidth="1"/>
    <col min="8" max="8" width="15.5" style="570" hidden="1" customWidth="1"/>
    <col min="9" max="9" width="17.83203125" style="571" hidden="1" customWidth="1"/>
    <col min="10" max="10" width="9.33203125" style="229" customWidth="1"/>
    <col min="11" max="16384" width="9.33203125" style="229"/>
  </cols>
  <sheetData>
    <row r="1" spans="1:9" ht="15.95" customHeight="1" x14ac:dyDescent="0.25">
      <c r="A1" s="987" t="s">
        <v>20</v>
      </c>
      <c r="B1" s="987"/>
      <c r="C1" s="987"/>
    </row>
    <row r="2" spans="1:9" ht="15.95" customHeight="1" thickBot="1" x14ac:dyDescent="0.3">
      <c r="A2" s="986" t="s">
        <v>139</v>
      </c>
      <c r="B2" s="986"/>
      <c r="C2" s="159" t="s">
        <v>596</v>
      </c>
    </row>
    <row r="3" spans="1:9" ht="38.1" customHeight="1" thickBot="1" x14ac:dyDescent="0.3">
      <c r="A3" s="22" t="s">
        <v>74</v>
      </c>
      <c r="B3" s="23" t="s">
        <v>22</v>
      </c>
      <c r="C3" s="30" t="s">
        <v>620</v>
      </c>
      <c r="D3" s="218" t="s">
        <v>603</v>
      </c>
      <c r="E3" s="218" t="s">
        <v>604</v>
      </c>
      <c r="F3" s="218" t="s">
        <v>605</v>
      </c>
      <c r="G3" s="218"/>
    </row>
    <row r="4" spans="1:9" s="230" customFormat="1" ht="12" customHeight="1" thickBot="1" x14ac:dyDescent="0.25">
      <c r="A4" s="224" t="s">
        <v>469</v>
      </c>
      <c r="B4" s="225" t="s">
        <v>470</v>
      </c>
      <c r="C4" s="226" t="s">
        <v>471</v>
      </c>
      <c r="H4" s="570"/>
      <c r="I4" s="571"/>
    </row>
    <row r="5" spans="1:9" s="231" customFormat="1" ht="12" customHeight="1" thickBot="1" x14ac:dyDescent="0.25">
      <c r="A5" s="19" t="s">
        <v>23</v>
      </c>
      <c r="B5" s="20" t="s">
        <v>200</v>
      </c>
      <c r="C5" s="150">
        <f>SUM(D5:F5)</f>
        <v>1319904176</v>
      </c>
      <c r="D5" s="326">
        <f>+D6+D7+D8+D9+D10+D11</f>
        <v>1319904176</v>
      </c>
      <c r="E5" s="150">
        <f>+E6+E7+E8+E9+E10+E11</f>
        <v>0</v>
      </c>
      <c r="F5" s="150">
        <f>+F6+F7+F8+F9+F10+F11</f>
        <v>0</v>
      </c>
      <c r="H5" s="572">
        <f>'1.2.sz.mell. '!C5+'1.3.sz.mell.'!C5+'1.4.sz.mell. '!C5</f>
        <v>1319904176</v>
      </c>
      <c r="I5" s="572">
        <f t="shared" ref="I5:I68" si="0">C5-H5</f>
        <v>0</v>
      </c>
    </row>
    <row r="6" spans="1:9" s="231" customFormat="1" ht="12" customHeight="1" thickBot="1" x14ac:dyDescent="0.25">
      <c r="A6" s="14" t="s">
        <v>99</v>
      </c>
      <c r="B6" s="232" t="s">
        <v>201</v>
      </c>
      <c r="C6" s="876">
        <f t="shared" ref="C6:C69" si="1">SUM(D6:F6)</f>
        <v>227855923</v>
      </c>
      <c r="D6" s="270">
        <v>227855923</v>
      </c>
      <c r="E6" s="270"/>
      <c r="F6" s="270"/>
      <c r="H6" s="572">
        <f>'1.2.sz.mell. '!C6+'1.3.sz.mell.'!C6+'1.4.sz.mell. '!C6</f>
        <v>227855923</v>
      </c>
      <c r="I6" s="573">
        <f t="shared" si="0"/>
        <v>0</v>
      </c>
    </row>
    <row r="7" spans="1:9" s="231" customFormat="1" ht="12" customHeight="1" thickBot="1" x14ac:dyDescent="0.25">
      <c r="A7" s="13" t="s">
        <v>100</v>
      </c>
      <c r="B7" s="233" t="s">
        <v>202</v>
      </c>
      <c r="C7" s="373">
        <f t="shared" si="1"/>
        <v>224734134</v>
      </c>
      <c r="D7" s="154">
        <v>224734134</v>
      </c>
      <c r="E7" s="154"/>
      <c r="F7" s="154"/>
      <c r="H7" s="572">
        <f>'1.2.sz.mell. '!C7+'1.3.sz.mell.'!C7+'1.4.sz.mell. '!C7</f>
        <v>224734134</v>
      </c>
      <c r="I7" s="574">
        <f t="shared" si="0"/>
        <v>0</v>
      </c>
    </row>
    <row r="8" spans="1:9" s="231" customFormat="1" ht="12" customHeight="1" thickBot="1" x14ac:dyDescent="0.25">
      <c r="A8" s="13" t="s">
        <v>101</v>
      </c>
      <c r="B8" s="233" t="s">
        <v>586</v>
      </c>
      <c r="C8" s="373">
        <f t="shared" si="1"/>
        <v>565964345</v>
      </c>
      <c r="D8" s="154">
        <f>126991000+65060600+119410000+192410145+62092600</f>
        <v>565964345</v>
      </c>
      <c r="E8" s="154"/>
      <c r="F8" s="154"/>
      <c r="H8" s="572">
        <f>'1.2.sz.mell. '!C8+'1.3.sz.mell.'!C8+'1.4.sz.mell. '!C8</f>
        <v>565964345</v>
      </c>
      <c r="I8" s="574">
        <f t="shared" si="0"/>
        <v>0</v>
      </c>
    </row>
    <row r="9" spans="1:9" s="231" customFormat="1" ht="12" customHeight="1" thickBot="1" x14ac:dyDescent="0.25">
      <c r="A9" s="13" t="s">
        <v>102</v>
      </c>
      <c r="B9" s="233" t="s">
        <v>204</v>
      </c>
      <c r="C9" s="373">
        <f t="shared" si="1"/>
        <v>28744040</v>
      </c>
      <c r="D9" s="154">
        <f>16122040+12622000</f>
        <v>28744040</v>
      </c>
      <c r="E9" s="154"/>
      <c r="F9" s="154"/>
      <c r="H9" s="572">
        <f>'1.2.sz.mell. '!C9+'1.3.sz.mell.'!C9+'1.4.sz.mell. '!C9</f>
        <v>28744040</v>
      </c>
      <c r="I9" s="574">
        <f t="shared" si="0"/>
        <v>0</v>
      </c>
    </row>
    <row r="10" spans="1:9" s="231" customFormat="1" ht="12" customHeight="1" thickBot="1" x14ac:dyDescent="0.25">
      <c r="A10" s="13" t="s">
        <v>136</v>
      </c>
      <c r="B10" s="146" t="s">
        <v>472</v>
      </c>
      <c r="C10" s="516">
        <f t="shared" si="1"/>
        <v>272605734</v>
      </c>
      <c r="D10" s="154">
        <f>16254886+63796813+190231327+1309600+1013108</f>
        <v>272605734</v>
      </c>
      <c r="E10" s="154"/>
      <c r="F10" s="154"/>
      <c r="H10" s="572">
        <f>'1.2.sz.mell. '!C10+'1.3.sz.mell.'!C10+'1.4.sz.mell. '!C10</f>
        <v>272605734</v>
      </c>
      <c r="I10" s="574">
        <f t="shared" si="0"/>
        <v>0</v>
      </c>
    </row>
    <row r="11" spans="1:9" s="231" customFormat="1" ht="12" customHeight="1" thickBot="1" x14ac:dyDescent="0.25">
      <c r="A11" s="15" t="s">
        <v>103</v>
      </c>
      <c r="B11" s="147" t="s">
        <v>473</v>
      </c>
      <c r="C11" s="877">
        <f t="shared" si="1"/>
        <v>0</v>
      </c>
      <c r="D11" s="137"/>
      <c r="E11" s="151"/>
      <c r="F11" s="151"/>
      <c r="H11" s="572">
        <f>'1.2.sz.mell. '!C11+'1.3.sz.mell.'!C11+'1.4.sz.mell. '!C11</f>
        <v>0</v>
      </c>
      <c r="I11" s="575">
        <f t="shared" si="0"/>
        <v>0</v>
      </c>
    </row>
    <row r="12" spans="1:9" s="231" customFormat="1" ht="12" customHeight="1" thickBot="1" x14ac:dyDescent="0.25">
      <c r="A12" s="19" t="s">
        <v>24</v>
      </c>
      <c r="B12" s="145" t="s">
        <v>205</v>
      </c>
      <c r="C12" s="150">
        <f t="shared" si="1"/>
        <v>180642060</v>
      </c>
      <c r="D12" s="326">
        <f>+D13+D14+D15+D16+D17</f>
        <v>158012668</v>
      </c>
      <c r="E12" s="150">
        <f>+E13+E14+E15+E16+E17</f>
        <v>3116857</v>
      </c>
      <c r="F12" s="150">
        <f>+F13+F14+F15+F16+F17</f>
        <v>19512535</v>
      </c>
      <c r="H12" s="572">
        <f>'1.2.sz.mell. '!C12+'1.3.sz.mell.'!C12+'1.4.sz.mell. '!C12</f>
        <v>180642060</v>
      </c>
      <c r="I12" s="572">
        <f t="shared" si="0"/>
        <v>0</v>
      </c>
    </row>
    <row r="13" spans="1:9" s="231" customFormat="1" ht="12" customHeight="1" thickBot="1" x14ac:dyDescent="0.25">
      <c r="A13" s="14" t="s">
        <v>105</v>
      </c>
      <c r="B13" s="232" t="s">
        <v>206</v>
      </c>
      <c r="C13" s="878">
        <f t="shared" si="1"/>
        <v>0</v>
      </c>
      <c r="D13" s="328"/>
      <c r="E13" s="152"/>
      <c r="F13" s="152"/>
      <c r="H13" s="572">
        <f>'1.2.sz.mell. '!C13+'1.3.sz.mell.'!C13+'1.4.sz.mell. '!C13</f>
        <v>0</v>
      </c>
      <c r="I13" s="573">
        <f t="shared" si="0"/>
        <v>0</v>
      </c>
    </row>
    <row r="14" spans="1:9" s="231" customFormat="1" ht="12" customHeight="1" thickBot="1" x14ac:dyDescent="0.25">
      <c r="A14" s="13" t="s">
        <v>106</v>
      </c>
      <c r="B14" s="233" t="s">
        <v>207</v>
      </c>
      <c r="C14" s="373">
        <f t="shared" si="1"/>
        <v>0</v>
      </c>
      <c r="D14" s="137"/>
      <c r="E14" s="151"/>
      <c r="F14" s="151"/>
      <c r="H14" s="572">
        <f>'1.2.sz.mell. '!C14+'1.3.sz.mell.'!C14+'1.4.sz.mell. '!C14</f>
        <v>0</v>
      </c>
      <c r="I14" s="574">
        <f t="shared" si="0"/>
        <v>0</v>
      </c>
    </row>
    <row r="15" spans="1:9" s="231" customFormat="1" ht="12" customHeight="1" thickBot="1" x14ac:dyDescent="0.25">
      <c r="A15" s="13" t="s">
        <v>107</v>
      </c>
      <c r="B15" s="233" t="s">
        <v>376</v>
      </c>
      <c r="C15" s="373">
        <f t="shared" si="1"/>
        <v>0</v>
      </c>
      <c r="D15" s="137"/>
      <c r="E15" s="151"/>
      <c r="F15" s="151"/>
      <c r="H15" s="572">
        <f>'1.2.sz.mell. '!C15+'1.3.sz.mell.'!C15+'1.4.sz.mell. '!C15</f>
        <v>0</v>
      </c>
      <c r="I15" s="574">
        <f t="shared" si="0"/>
        <v>0</v>
      </c>
    </row>
    <row r="16" spans="1:9" s="231" customFormat="1" ht="12" customHeight="1" thickBot="1" x14ac:dyDescent="0.25">
      <c r="A16" s="13" t="s">
        <v>108</v>
      </c>
      <c r="B16" s="233" t="s">
        <v>377</v>
      </c>
      <c r="C16" s="373">
        <f t="shared" si="1"/>
        <v>0</v>
      </c>
      <c r="D16" s="137"/>
      <c r="E16" s="151"/>
      <c r="F16" s="151"/>
      <c r="H16" s="572">
        <f>'1.2.sz.mell. '!C16+'1.3.sz.mell.'!C16+'1.4.sz.mell. '!C16</f>
        <v>0</v>
      </c>
      <c r="I16" s="574">
        <f t="shared" si="0"/>
        <v>0</v>
      </c>
    </row>
    <row r="17" spans="1:9" s="231" customFormat="1" ht="12" customHeight="1" thickBot="1" x14ac:dyDescent="0.25">
      <c r="A17" s="13" t="s">
        <v>109</v>
      </c>
      <c r="B17" s="233" t="s">
        <v>208</v>
      </c>
      <c r="C17" s="516">
        <f t="shared" si="1"/>
        <v>180642060</v>
      </c>
      <c r="D17" s="308">
        <f>3900000+4320000+125887110+24250000-344442</f>
        <v>158012668</v>
      </c>
      <c r="E17" s="305">
        <f>3096237+20620</f>
        <v>3116857</v>
      </c>
      <c r="F17" s="154">
        <v>19512535</v>
      </c>
      <c r="H17" s="572">
        <f>'1.2.sz.mell. '!C17+'1.3.sz.mell.'!C17+'1.4.sz.mell. '!C17</f>
        <v>180642060</v>
      </c>
      <c r="I17" s="574">
        <f t="shared" si="0"/>
        <v>0</v>
      </c>
    </row>
    <row r="18" spans="1:9" s="231" customFormat="1" ht="12" customHeight="1" thickBot="1" x14ac:dyDescent="0.25">
      <c r="A18" s="15" t="s">
        <v>118</v>
      </c>
      <c r="B18" s="147" t="s">
        <v>209</v>
      </c>
      <c r="C18" s="877">
        <f t="shared" si="1"/>
        <v>399535</v>
      </c>
      <c r="D18" s="307"/>
      <c r="E18" s="221"/>
      <c r="F18" s="221">
        <v>399535</v>
      </c>
      <c r="H18" s="572">
        <f>'1.2.sz.mell. '!C18+'1.3.sz.mell.'!C18+'1.4.sz.mell. '!C18</f>
        <v>399535</v>
      </c>
      <c r="I18" s="575">
        <f t="shared" si="0"/>
        <v>0</v>
      </c>
    </row>
    <row r="19" spans="1:9" s="231" customFormat="1" ht="12" customHeight="1" thickBot="1" x14ac:dyDescent="0.25">
      <c r="A19" s="19" t="s">
        <v>25</v>
      </c>
      <c r="B19" s="20" t="s">
        <v>210</v>
      </c>
      <c r="C19" s="150">
        <f t="shared" si="1"/>
        <v>13442271</v>
      </c>
      <c r="D19" s="326">
        <f>+D20+D21+D22+D23+D24</f>
        <v>13442271</v>
      </c>
      <c r="E19" s="150">
        <f>+E20+E21+E22+E23+E24</f>
        <v>0</v>
      </c>
      <c r="F19" s="150">
        <f>+F20+F21+F22+F23+F24</f>
        <v>0</v>
      </c>
      <c r="H19" s="572">
        <f>'1.2.sz.mell. '!C19+'1.3.sz.mell.'!C19+'1.4.sz.mell. '!C19</f>
        <v>13442271</v>
      </c>
      <c r="I19" s="572">
        <f t="shared" si="0"/>
        <v>0</v>
      </c>
    </row>
    <row r="20" spans="1:9" s="231" customFormat="1" ht="12" customHeight="1" thickBot="1" x14ac:dyDescent="0.25">
      <c r="A20" s="14" t="s">
        <v>88</v>
      </c>
      <c r="B20" s="232" t="s">
        <v>211</v>
      </c>
      <c r="C20" s="878">
        <f t="shared" si="1"/>
        <v>0</v>
      </c>
      <c r="D20" s="361"/>
      <c r="E20" s="302"/>
      <c r="F20" s="302"/>
      <c r="H20" s="572">
        <f>'1.2.sz.mell. '!C20+'1.3.sz.mell.'!C20+'1.4.sz.mell. '!C20</f>
        <v>0</v>
      </c>
      <c r="I20" s="573">
        <f t="shared" si="0"/>
        <v>0</v>
      </c>
    </row>
    <row r="21" spans="1:9" s="231" customFormat="1" ht="12" customHeight="1" thickBot="1" x14ac:dyDescent="0.25">
      <c r="A21" s="13" t="s">
        <v>89</v>
      </c>
      <c r="B21" s="233" t="s">
        <v>212</v>
      </c>
      <c r="C21" s="879">
        <f t="shared" si="1"/>
        <v>0</v>
      </c>
      <c r="D21" s="303"/>
      <c r="E21" s="154"/>
      <c r="F21" s="154"/>
      <c r="H21" s="572">
        <f>'1.2.sz.mell. '!C21+'1.3.sz.mell.'!C21+'1.4.sz.mell. '!C21</f>
        <v>0</v>
      </c>
      <c r="I21" s="574">
        <f t="shared" si="0"/>
        <v>0</v>
      </c>
    </row>
    <row r="22" spans="1:9" s="231" customFormat="1" ht="12" customHeight="1" thickBot="1" x14ac:dyDescent="0.25">
      <c r="A22" s="13" t="s">
        <v>90</v>
      </c>
      <c r="B22" s="233" t="s">
        <v>378</v>
      </c>
      <c r="C22" s="373">
        <f t="shared" si="1"/>
        <v>0</v>
      </c>
      <c r="D22" s="303"/>
      <c r="E22" s="154"/>
      <c r="F22" s="154"/>
      <c r="H22" s="572">
        <f>'1.2.sz.mell. '!C22+'1.3.sz.mell.'!C22+'1.4.sz.mell. '!C22</f>
        <v>0</v>
      </c>
      <c r="I22" s="574">
        <f t="shared" si="0"/>
        <v>0</v>
      </c>
    </row>
    <row r="23" spans="1:9" s="231" customFormat="1" ht="12" customHeight="1" thickBot="1" x14ac:dyDescent="0.25">
      <c r="A23" s="13" t="s">
        <v>91</v>
      </c>
      <c r="B23" s="233" t="s">
        <v>379</v>
      </c>
      <c r="C23" s="373">
        <f t="shared" si="1"/>
        <v>0</v>
      </c>
      <c r="D23" s="303"/>
      <c r="E23" s="154"/>
      <c r="F23" s="154"/>
      <c r="H23" s="572">
        <f>'1.2.sz.mell. '!C23+'1.3.sz.mell.'!C23+'1.4.sz.mell. '!C23</f>
        <v>0</v>
      </c>
      <c r="I23" s="574">
        <f t="shared" si="0"/>
        <v>0</v>
      </c>
    </row>
    <row r="24" spans="1:9" s="231" customFormat="1" ht="12" customHeight="1" thickBot="1" x14ac:dyDescent="0.25">
      <c r="A24" s="13" t="s">
        <v>147</v>
      </c>
      <c r="B24" s="233" t="s">
        <v>213</v>
      </c>
      <c r="C24" s="373">
        <f t="shared" si="1"/>
        <v>13442271</v>
      </c>
      <c r="D24" s="303">
        <f>5866130+3779393+3796748</f>
        <v>13442271</v>
      </c>
      <c r="E24" s="154"/>
      <c r="F24" s="154"/>
      <c r="H24" s="572">
        <f>'1.2.sz.mell. '!C24+'1.3.sz.mell.'!C24+'1.4.sz.mell. '!C24</f>
        <v>13442271</v>
      </c>
      <c r="I24" s="574">
        <f t="shared" si="0"/>
        <v>0</v>
      </c>
    </row>
    <row r="25" spans="1:9" s="231" customFormat="1" ht="12" customHeight="1" thickBot="1" x14ac:dyDescent="0.25">
      <c r="A25" s="15" t="s">
        <v>148</v>
      </c>
      <c r="B25" s="234" t="s">
        <v>214</v>
      </c>
      <c r="C25" s="877">
        <f t="shared" si="1"/>
        <v>13442271</v>
      </c>
      <c r="D25" s="307">
        <f>9645523+3796748</f>
        <v>13442271</v>
      </c>
      <c r="E25" s="221"/>
      <c r="F25" s="221"/>
      <c r="H25" s="572">
        <f>'1.2.sz.mell. '!C25+'1.3.sz.mell.'!C25+'1.4.sz.mell. '!C25</f>
        <v>13442271</v>
      </c>
      <c r="I25" s="575">
        <f t="shared" si="0"/>
        <v>0</v>
      </c>
    </row>
    <row r="26" spans="1:9" s="231" customFormat="1" ht="12" customHeight="1" thickBot="1" x14ac:dyDescent="0.25">
      <c r="A26" s="19" t="s">
        <v>149</v>
      </c>
      <c r="B26" s="20" t="s">
        <v>215</v>
      </c>
      <c r="C26" s="150">
        <f t="shared" si="1"/>
        <v>352658000</v>
      </c>
      <c r="D26" s="329">
        <f>+D27+D31+D32+D33</f>
        <v>352658000</v>
      </c>
      <c r="E26" s="155">
        <f>+E27+E31+E32+E33</f>
        <v>0</v>
      </c>
      <c r="F26" s="155">
        <f>+F27+F31+F32+F33</f>
        <v>0</v>
      </c>
      <c r="H26" s="572">
        <f>'1.2.sz.mell. '!C26+'1.3.sz.mell.'!C26+'1.4.sz.mell. '!C26</f>
        <v>352658000</v>
      </c>
      <c r="I26" s="572">
        <f t="shared" si="0"/>
        <v>0</v>
      </c>
    </row>
    <row r="27" spans="1:9" s="231" customFormat="1" ht="12" customHeight="1" thickBot="1" x14ac:dyDescent="0.25">
      <c r="A27" s="14" t="s">
        <v>216</v>
      </c>
      <c r="B27" s="232" t="s">
        <v>474</v>
      </c>
      <c r="C27" s="876">
        <f t="shared" si="1"/>
        <v>308654000</v>
      </c>
      <c r="D27" s="362">
        <f>SUM(D28:D30)</f>
        <v>308654000</v>
      </c>
      <c r="E27" s="227"/>
      <c r="F27" s="227"/>
      <c r="H27" s="572">
        <f>'1.2.sz.mell. '!C27+'1.3.sz.mell.'!C27+'1.4.sz.mell. '!C27</f>
        <v>308654000</v>
      </c>
      <c r="I27" s="573">
        <f t="shared" si="0"/>
        <v>0</v>
      </c>
    </row>
    <row r="28" spans="1:9" s="231" customFormat="1" ht="12" customHeight="1" thickBot="1" x14ac:dyDescent="0.25">
      <c r="A28" s="13" t="s">
        <v>217</v>
      </c>
      <c r="B28" s="233" t="s">
        <v>222</v>
      </c>
      <c r="C28" s="373">
        <f t="shared" si="1"/>
        <v>77500000</v>
      </c>
      <c r="D28" s="137">
        <f>7500000+70000000</f>
        <v>77500000</v>
      </c>
      <c r="E28" s="151"/>
      <c r="F28" s="151"/>
      <c r="H28" s="572">
        <f>'1.2.sz.mell. '!C28+'1.3.sz.mell.'!C28+'1.4.sz.mell. '!C28</f>
        <v>77500000</v>
      </c>
      <c r="I28" s="574">
        <f t="shared" si="0"/>
        <v>0</v>
      </c>
    </row>
    <row r="29" spans="1:9" s="231" customFormat="1" ht="12" customHeight="1" thickBot="1" x14ac:dyDescent="0.25">
      <c r="A29" s="13" t="s">
        <v>218</v>
      </c>
      <c r="B29" s="233" t="s">
        <v>572</v>
      </c>
      <c r="C29" s="373">
        <f t="shared" si="1"/>
        <v>231154000</v>
      </c>
      <c r="D29" s="137">
        <v>231154000</v>
      </c>
      <c r="E29" s="151"/>
      <c r="F29" s="151"/>
      <c r="H29" s="572">
        <f>'1.2.sz.mell. '!C29+'1.3.sz.mell.'!C29+'1.4.sz.mell. '!C29</f>
        <v>231154000</v>
      </c>
      <c r="I29" s="574">
        <f t="shared" si="0"/>
        <v>0</v>
      </c>
    </row>
    <row r="30" spans="1:9" s="231" customFormat="1" ht="12" customHeight="1" thickBot="1" x14ac:dyDescent="0.25">
      <c r="A30" s="13" t="s">
        <v>219</v>
      </c>
      <c r="B30" s="233" t="s">
        <v>573</v>
      </c>
      <c r="C30" s="373">
        <f t="shared" si="1"/>
        <v>0</v>
      </c>
      <c r="D30" s="303"/>
      <c r="E30" s="154"/>
      <c r="F30" s="154"/>
      <c r="H30" s="572">
        <f>'1.2.sz.mell. '!C30+'1.3.sz.mell.'!C30+'1.4.sz.mell. '!C30</f>
        <v>0</v>
      </c>
      <c r="I30" s="574">
        <f t="shared" si="0"/>
        <v>0</v>
      </c>
    </row>
    <row r="31" spans="1:9" s="231" customFormat="1" ht="12" customHeight="1" thickBot="1" x14ac:dyDescent="0.25">
      <c r="A31" s="13" t="s">
        <v>574</v>
      </c>
      <c r="B31" s="233" t="s">
        <v>224</v>
      </c>
      <c r="C31" s="373">
        <f t="shared" si="1"/>
        <v>28000000</v>
      </c>
      <c r="D31" s="137">
        <v>28000000</v>
      </c>
      <c r="E31" s="151"/>
      <c r="F31" s="151"/>
      <c r="H31" s="572">
        <f>'1.2.sz.mell. '!C31+'1.3.sz.mell.'!C31+'1.4.sz.mell. '!C31</f>
        <v>28000000</v>
      </c>
      <c r="I31" s="574">
        <f t="shared" si="0"/>
        <v>0</v>
      </c>
    </row>
    <row r="32" spans="1:9" s="231" customFormat="1" ht="12" customHeight="1" thickBot="1" x14ac:dyDescent="0.25">
      <c r="A32" s="13" t="s">
        <v>221</v>
      </c>
      <c r="B32" s="233" t="s">
        <v>225</v>
      </c>
      <c r="C32" s="373">
        <f t="shared" si="1"/>
        <v>4000</v>
      </c>
      <c r="D32" s="137">
        <f>4000+4500000-4500000</f>
        <v>4000</v>
      </c>
      <c r="E32" s="151"/>
      <c r="F32" s="151"/>
      <c r="H32" s="572">
        <f>'1.2.sz.mell. '!C32+'1.3.sz.mell.'!C32+'1.4.sz.mell. '!C32</f>
        <v>4000</v>
      </c>
      <c r="I32" s="574">
        <f t="shared" si="0"/>
        <v>0</v>
      </c>
    </row>
    <row r="33" spans="1:9" s="231" customFormat="1" ht="12" customHeight="1" thickBot="1" x14ac:dyDescent="0.25">
      <c r="A33" s="15" t="s">
        <v>575</v>
      </c>
      <c r="B33" s="234" t="s">
        <v>226</v>
      </c>
      <c r="C33" s="877">
        <f t="shared" si="1"/>
        <v>16000000</v>
      </c>
      <c r="D33" s="307">
        <f>1500000+2000000+1000000+7000000+4500000</f>
        <v>16000000</v>
      </c>
      <c r="E33" s="221"/>
      <c r="F33" s="221"/>
      <c r="H33" s="572">
        <f>'1.2.sz.mell. '!C33+'1.3.sz.mell.'!C33+'1.4.sz.mell. '!C33</f>
        <v>16000000</v>
      </c>
      <c r="I33" s="575">
        <f t="shared" si="0"/>
        <v>0</v>
      </c>
    </row>
    <row r="34" spans="1:9" s="231" customFormat="1" ht="12" customHeight="1" thickBot="1" x14ac:dyDescent="0.25">
      <c r="A34" s="19" t="s">
        <v>27</v>
      </c>
      <c r="B34" s="20" t="s">
        <v>477</v>
      </c>
      <c r="C34" s="150">
        <f t="shared" si="1"/>
        <v>434983575</v>
      </c>
      <c r="D34" s="326">
        <f>SUM(D35:D45)</f>
        <v>40932127</v>
      </c>
      <c r="E34" s="150">
        <f>SUM(E35:E45)</f>
        <v>8419440</v>
      </c>
      <c r="F34" s="150">
        <f>SUM(F35:F45)</f>
        <v>385632008</v>
      </c>
      <c r="H34" s="572">
        <f>'1.2.sz.mell. '!C34+'1.3.sz.mell.'!C34+'1.4.sz.mell. '!C34</f>
        <v>434983575</v>
      </c>
      <c r="I34" s="572">
        <f t="shared" si="0"/>
        <v>0</v>
      </c>
    </row>
    <row r="35" spans="1:9" s="231" customFormat="1" ht="12" customHeight="1" thickBot="1" x14ac:dyDescent="0.25">
      <c r="A35" s="14" t="s">
        <v>92</v>
      </c>
      <c r="B35" s="232" t="s">
        <v>229</v>
      </c>
      <c r="C35" s="876">
        <f t="shared" si="1"/>
        <v>12179000</v>
      </c>
      <c r="D35" s="332">
        <v>12159000</v>
      </c>
      <c r="E35" s="270"/>
      <c r="F35" s="270">
        <v>20000</v>
      </c>
      <c r="H35" s="572">
        <f>'1.2.sz.mell. '!C35+'1.3.sz.mell.'!C35+'1.4.sz.mell. '!C35</f>
        <v>12179000</v>
      </c>
      <c r="I35" s="573">
        <f t="shared" si="0"/>
        <v>0</v>
      </c>
    </row>
    <row r="36" spans="1:9" s="231" customFormat="1" ht="12.75" customHeight="1" thickBot="1" x14ac:dyDescent="0.25">
      <c r="A36" s="13" t="s">
        <v>93</v>
      </c>
      <c r="B36" s="233" t="s">
        <v>230</v>
      </c>
      <c r="C36" s="516">
        <f t="shared" si="1"/>
        <v>74735980</v>
      </c>
      <c r="D36" s="303">
        <f>13910169+100000+62992</f>
        <v>14073161</v>
      </c>
      <c r="E36" s="154">
        <f>500000+1198440+380000+4150000</f>
        <v>6228440</v>
      </c>
      <c r="F36" s="270">
        <f>52063316+2371063</f>
        <v>54434379</v>
      </c>
      <c r="H36" s="572">
        <f>'1.2.sz.mell. '!C36+'1.3.sz.mell.'!C36+'1.4.sz.mell. '!C36</f>
        <v>74735980</v>
      </c>
      <c r="I36" s="574">
        <f t="shared" si="0"/>
        <v>0</v>
      </c>
    </row>
    <row r="37" spans="1:9" s="231" customFormat="1" ht="12" customHeight="1" thickBot="1" x14ac:dyDescent="0.25">
      <c r="A37" s="13" t="s">
        <v>94</v>
      </c>
      <c r="B37" s="233" t="s">
        <v>231</v>
      </c>
      <c r="C37" s="373">
        <f t="shared" si="1"/>
        <v>103069200</v>
      </c>
      <c r="D37" s="303">
        <f>500000+300000+50000+1400000+947000+300000+52200</f>
        <v>3549200</v>
      </c>
      <c r="E37" s="154">
        <v>300000</v>
      </c>
      <c r="F37" s="270">
        <v>99220000</v>
      </c>
      <c r="H37" s="572">
        <f>'1.2.sz.mell. '!C37+'1.3.sz.mell.'!C37+'1.4.sz.mell. '!C37</f>
        <v>103069200</v>
      </c>
      <c r="I37" s="574">
        <f t="shared" si="0"/>
        <v>0</v>
      </c>
    </row>
    <row r="38" spans="1:9" s="231" customFormat="1" ht="12" customHeight="1" thickBot="1" x14ac:dyDescent="0.25">
      <c r="A38" s="13" t="s">
        <v>151</v>
      </c>
      <c r="B38" s="233" t="s">
        <v>232</v>
      </c>
      <c r="C38" s="373">
        <f t="shared" si="1"/>
        <v>430000</v>
      </c>
      <c r="D38" s="303">
        <v>430000</v>
      </c>
      <c r="E38" s="154"/>
      <c r="F38" s="270"/>
      <c r="H38" s="572">
        <f>'1.2.sz.mell. '!C38+'1.3.sz.mell.'!C38+'1.4.sz.mell. '!C38</f>
        <v>430000</v>
      </c>
      <c r="I38" s="574">
        <f t="shared" si="0"/>
        <v>0</v>
      </c>
    </row>
    <row r="39" spans="1:9" s="231" customFormat="1" ht="12" customHeight="1" thickBot="1" x14ac:dyDescent="0.25">
      <c r="A39" s="13" t="s">
        <v>152</v>
      </c>
      <c r="B39" s="233" t="s">
        <v>233</v>
      </c>
      <c r="C39" s="373">
        <f t="shared" si="1"/>
        <v>179085653</v>
      </c>
      <c r="D39" s="303"/>
      <c r="E39" s="154"/>
      <c r="F39" s="270">
        <v>179085653</v>
      </c>
      <c r="H39" s="572">
        <f>'1.2.sz.mell. '!C39+'1.3.sz.mell.'!C39+'1.4.sz.mell. '!C39</f>
        <v>179085653</v>
      </c>
      <c r="I39" s="574">
        <f t="shared" si="0"/>
        <v>0</v>
      </c>
    </row>
    <row r="40" spans="1:9" s="231" customFormat="1" ht="12" customHeight="1" thickBot="1" x14ac:dyDescent="0.25">
      <c r="A40" s="13" t="s">
        <v>153</v>
      </c>
      <c r="B40" s="233" t="s">
        <v>234</v>
      </c>
      <c r="C40" s="516">
        <f t="shared" si="1"/>
        <v>45481578</v>
      </c>
      <c r="D40" s="303">
        <f>3283000+5162000+81000+13500+378000+81000+14094+17008</f>
        <v>9029602</v>
      </c>
      <c r="E40" s="154">
        <f>135000+324000+103000+1229000</f>
        <v>1791000</v>
      </c>
      <c r="F40" s="270">
        <f>34020789+640187</f>
        <v>34660976</v>
      </c>
      <c r="H40" s="572">
        <f>'1.2.sz.mell. '!C40+'1.3.sz.mell.'!C40+'1.4.sz.mell. '!C40</f>
        <v>45481578</v>
      </c>
      <c r="I40" s="574">
        <f t="shared" si="0"/>
        <v>0</v>
      </c>
    </row>
    <row r="41" spans="1:9" s="231" customFormat="1" ht="12" customHeight="1" thickBot="1" x14ac:dyDescent="0.25">
      <c r="A41" s="13" t="s">
        <v>154</v>
      </c>
      <c r="B41" s="233" t="s">
        <v>235</v>
      </c>
      <c r="C41" s="373">
        <f t="shared" si="1"/>
        <v>18210000</v>
      </c>
      <c r="D41" s="303"/>
      <c r="E41" s="154"/>
      <c r="F41" s="270">
        <v>18210000</v>
      </c>
      <c r="H41" s="572">
        <f>'1.2.sz.mell. '!C41+'1.3.sz.mell.'!C41+'1.4.sz.mell. '!C41</f>
        <v>18210000</v>
      </c>
      <c r="I41" s="574">
        <f t="shared" si="0"/>
        <v>0</v>
      </c>
    </row>
    <row r="42" spans="1:9" s="231" customFormat="1" ht="12" customHeight="1" thickBot="1" x14ac:dyDescent="0.25">
      <c r="A42" s="13" t="s">
        <v>155</v>
      </c>
      <c r="B42" s="233" t="s">
        <v>583</v>
      </c>
      <c r="C42" s="373">
        <f t="shared" si="1"/>
        <v>31000</v>
      </c>
      <c r="D42" s="303">
        <v>30000</v>
      </c>
      <c r="E42" s="154"/>
      <c r="F42" s="270">
        <v>1000</v>
      </c>
      <c r="H42" s="572">
        <f>'1.2.sz.mell. '!C42+'1.3.sz.mell.'!C42+'1.4.sz.mell. '!C42</f>
        <v>31000</v>
      </c>
      <c r="I42" s="574">
        <f t="shared" si="0"/>
        <v>0</v>
      </c>
    </row>
    <row r="43" spans="1:9" s="231" customFormat="1" ht="12" customHeight="1" thickBot="1" x14ac:dyDescent="0.25">
      <c r="A43" s="13" t="s">
        <v>227</v>
      </c>
      <c r="B43" s="233" t="s">
        <v>237</v>
      </c>
      <c r="C43" s="373">
        <f t="shared" si="1"/>
        <v>0</v>
      </c>
      <c r="D43" s="303"/>
      <c r="E43" s="154"/>
      <c r="F43" s="270"/>
      <c r="H43" s="572">
        <f>'1.2.sz.mell. '!C43+'1.3.sz.mell.'!C43+'1.4.sz.mell. '!C43</f>
        <v>0</v>
      </c>
      <c r="I43" s="574">
        <f t="shared" si="0"/>
        <v>0</v>
      </c>
    </row>
    <row r="44" spans="1:9" s="231" customFormat="1" ht="12" customHeight="1" thickBot="1" x14ac:dyDescent="0.25">
      <c r="A44" s="15" t="s">
        <v>228</v>
      </c>
      <c r="B44" s="234" t="s">
        <v>478</v>
      </c>
      <c r="C44" s="373">
        <f t="shared" si="1"/>
        <v>500000</v>
      </c>
      <c r="D44" s="307">
        <v>500000</v>
      </c>
      <c r="E44" s="221"/>
      <c r="F44" s="270"/>
      <c r="H44" s="572">
        <f>'1.2.sz.mell. '!C44+'1.3.sz.mell.'!C44+'1.4.sz.mell. '!C44</f>
        <v>500000</v>
      </c>
      <c r="I44" s="574">
        <f t="shared" si="0"/>
        <v>0</v>
      </c>
    </row>
    <row r="45" spans="1:9" s="231" customFormat="1" ht="12" customHeight="1" thickBot="1" x14ac:dyDescent="0.25">
      <c r="A45" s="15" t="s">
        <v>479</v>
      </c>
      <c r="B45" s="147" t="s">
        <v>238</v>
      </c>
      <c r="C45" s="922">
        <f t="shared" si="1"/>
        <v>1261164</v>
      </c>
      <c r="D45" s="307">
        <f>60000+600000+501164</f>
        <v>1161164</v>
      </c>
      <c r="E45" s="221">
        <v>100000</v>
      </c>
      <c r="F45" s="270"/>
      <c r="H45" s="572">
        <f>'1.2.sz.mell. '!C45+'1.3.sz.mell.'!C45+'1.4.sz.mell. '!C45</f>
        <v>1261164</v>
      </c>
      <c r="I45" s="575">
        <f t="shared" si="0"/>
        <v>0</v>
      </c>
    </row>
    <row r="46" spans="1:9" s="231" customFormat="1" ht="12" customHeight="1" thickBot="1" x14ac:dyDescent="0.25">
      <c r="A46" s="19" t="s">
        <v>28</v>
      </c>
      <c r="B46" s="20" t="s">
        <v>239</v>
      </c>
      <c r="C46" s="150">
        <f t="shared" si="1"/>
        <v>30332500</v>
      </c>
      <c r="D46" s="326">
        <f>SUM(D47:D51)</f>
        <v>30332500</v>
      </c>
      <c r="E46" s="150">
        <f>SUM(E47:E51)</f>
        <v>0</v>
      </c>
      <c r="F46" s="150">
        <f>SUM(F47:F51)</f>
        <v>0</v>
      </c>
      <c r="H46" s="572">
        <f>'1.2.sz.mell. '!C46+'1.3.sz.mell.'!C46+'1.4.sz.mell. '!C46</f>
        <v>30332500</v>
      </c>
      <c r="I46" s="572">
        <f t="shared" si="0"/>
        <v>0</v>
      </c>
    </row>
    <row r="47" spans="1:9" s="231" customFormat="1" ht="12" customHeight="1" thickBot="1" x14ac:dyDescent="0.25">
      <c r="A47" s="14" t="s">
        <v>95</v>
      </c>
      <c r="B47" s="232" t="s">
        <v>243</v>
      </c>
      <c r="C47" s="878">
        <f t="shared" si="1"/>
        <v>0</v>
      </c>
      <c r="D47" s="332"/>
      <c r="E47" s="270"/>
      <c r="F47" s="270"/>
      <c r="H47" s="572">
        <f>'1.2.sz.mell. '!C47+'1.3.sz.mell.'!C47+'1.4.sz.mell. '!C47</f>
        <v>0</v>
      </c>
      <c r="I47" s="573">
        <f t="shared" si="0"/>
        <v>0</v>
      </c>
    </row>
    <row r="48" spans="1:9" s="231" customFormat="1" ht="12" customHeight="1" thickBot="1" x14ac:dyDescent="0.25">
      <c r="A48" s="13" t="s">
        <v>96</v>
      </c>
      <c r="B48" s="233" t="s">
        <v>244</v>
      </c>
      <c r="C48" s="373">
        <f t="shared" si="1"/>
        <v>30332500</v>
      </c>
      <c r="D48" s="303">
        <v>30332500</v>
      </c>
      <c r="E48" s="154"/>
      <c r="F48" s="154"/>
      <c r="H48" s="572">
        <f>'1.2.sz.mell. '!C48+'1.3.sz.mell.'!C48+'1.4.sz.mell. '!C48</f>
        <v>30332500</v>
      </c>
      <c r="I48" s="574">
        <f t="shared" si="0"/>
        <v>0</v>
      </c>
    </row>
    <row r="49" spans="1:9" s="231" customFormat="1" ht="12" customHeight="1" thickBot="1" x14ac:dyDescent="0.25">
      <c r="A49" s="13" t="s">
        <v>240</v>
      </c>
      <c r="B49" s="233" t="s">
        <v>245</v>
      </c>
      <c r="C49" s="373">
        <f t="shared" si="1"/>
        <v>0</v>
      </c>
      <c r="D49" s="303"/>
      <c r="E49" s="154"/>
      <c r="F49" s="154"/>
      <c r="H49" s="572">
        <f>'1.2.sz.mell. '!C49+'1.3.sz.mell.'!C49+'1.4.sz.mell. '!C49</f>
        <v>0</v>
      </c>
      <c r="I49" s="574">
        <f t="shared" si="0"/>
        <v>0</v>
      </c>
    </row>
    <row r="50" spans="1:9" s="231" customFormat="1" ht="12" customHeight="1" thickBot="1" x14ac:dyDescent="0.25">
      <c r="A50" s="13" t="s">
        <v>241</v>
      </c>
      <c r="B50" s="233" t="s">
        <v>246</v>
      </c>
      <c r="C50" s="373">
        <f t="shared" si="1"/>
        <v>0</v>
      </c>
      <c r="D50" s="303"/>
      <c r="E50" s="154"/>
      <c r="F50" s="154"/>
      <c r="H50" s="572">
        <f>'1.2.sz.mell. '!C50+'1.3.sz.mell.'!C50+'1.4.sz.mell. '!C50</f>
        <v>0</v>
      </c>
      <c r="I50" s="574">
        <f t="shared" si="0"/>
        <v>0</v>
      </c>
    </row>
    <row r="51" spans="1:9" s="231" customFormat="1" ht="12" customHeight="1" thickBot="1" x14ac:dyDescent="0.25">
      <c r="A51" s="15" t="s">
        <v>242</v>
      </c>
      <c r="B51" s="147" t="s">
        <v>247</v>
      </c>
      <c r="C51" s="880">
        <f t="shared" si="1"/>
        <v>0</v>
      </c>
      <c r="D51" s="307"/>
      <c r="E51" s="221"/>
      <c r="F51" s="221"/>
      <c r="H51" s="572">
        <f>'1.2.sz.mell. '!C51+'1.3.sz.mell.'!C51+'1.4.sz.mell. '!C51</f>
        <v>0</v>
      </c>
      <c r="I51" s="575">
        <f t="shared" si="0"/>
        <v>0</v>
      </c>
    </row>
    <row r="52" spans="1:9" s="231" customFormat="1" ht="12" customHeight="1" thickBot="1" x14ac:dyDescent="0.25">
      <c r="A52" s="19" t="s">
        <v>156</v>
      </c>
      <c r="B52" s="765" t="s">
        <v>248</v>
      </c>
      <c r="C52" s="357">
        <f t="shared" si="1"/>
        <v>4766000</v>
      </c>
      <c r="D52" s="326">
        <f>SUM(D53:D55)</f>
        <v>4766000</v>
      </c>
      <c r="E52" s="150">
        <f>SUM(E53:E55)</f>
        <v>0</v>
      </c>
      <c r="F52" s="150">
        <f>SUM(F53:F55)</f>
        <v>0</v>
      </c>
      <c r="H52" s="572">
        <f>'1.2.sz.mell. '!C52+'1.3.sz.mell.'!C52+'1.4.sz.mell. '!C52</f>
        <v>4766000</v>
      </c>
      <c r="I52" s="572">
        <f t="shared" si="0"/>
        <v>0</v>
      </c>
    </row>
    <row r="53" spans="1:9" s="231" customFormat="1" ht="12" customHeight="1" thickBot="1" x14ac:dyDescent="0.25">
      <c r="A53" s="14" t="s">
        <v>97</v>
      </c>
      <c r="B53" s="232" t="s">
        <v>249</v>
      </c>
      <c r="C53" s="881">
        <f t="shared" si="1"/>
        <v>0</v>
      </c>
      <c r="D53" s="328"/>
      <c r="E53" s="152"/>
      <c r="F53" s="152"/>
      <c r="H53" s="572">
        <f>'1.2.sz.mell. '!C53+'1.3.sz.mell.'!C53+'1.4.sz.mell. '!C53</f>
        <v>0</v>
      </c>
      <c r="I53" s="573">
        <f t="shared" si="0"/>
        <v>0</v>
      </c>
    </row>
    <row r="54" spans="1:9" s="231" customFormat="1" ht="12" customHeight="1" thickBot="1" x14ac:dyDescent="0.25">
      <c r="A54" s="13" t="s">
        <v>98</v>
      </c>
      <c r="B54" s="233" t="s">
        <v>380</v>
      </c>
      <c r="C54" s="373">
        <f t="shared" si="1"/>
        <v>1866000</v>
      </c>
      <c r="D54" s="303">
        <f>1566000+300000</f>
        <v>1866000</v>
      </c>
      <c r="E54" s="154"/>
      <c r="F54" s="154"/>
      <c r="H54" s="572">
        <f>'1.2.sz.mell. '!C54+'1.3.sz.mell.'!C54+'1.4.sz.mell. '!C54</f>
        <v>1866000</v>
      </c>
      <c r="I54" s="574">
        <f t="shared" si="0"/>
        <v>0</v>
      </c>
    </row>
    <row r="55" spans="1:9" s="231" customFormat="1" ht="12" customHeight="1" thickBot="1" x14ac:dyDescent="0.25">
      <c r="A55" s="13" t="s">
        <v>252</v>
      </c>
      <c r="B55" s="233" t="s">
        <v>250</v>
      </c>
      <c r="C55" s="373">
        <f t="shared" si="1"/>
        <v>2900000</v>
      </c>
      <c r="D55" s="303">
        <v>2900000</v>
      </c>
      <c r="E55" s="154"/>
      <c r="F55" s="154"/>
      <c r="H55" s="572">
        <f>'1.2.sz.mell. '!C55+'1.3.sz.mell.'!C55+'1.4.sz.mell. '!C55</f>
        <v>2900000</v>
      </c>
      <c r="I55" s="574">
        <f t="shared" si="0"/>
        <v>0</v>
      </c>
    </row>
    <row r="56" spans="1:9" s="231" customFormat="1" ht="12" customHeight="1" thickBot="1" x14ac:dyDescent="0.25">
      <c r="A56" s="15" t="s">
        <v>253</v>
      </c>
      <c r="B56" s="147" t="s">
        <v>251</v>
      </c>
      <c r="C56" s="877">
        <f t="shared" si="1"/>
        <v>0</v>
      </c>
      <c r="D56" s="138"/>
      <c r="E56" s="153"/>
      <c r="F56" s="153"/>
      <c r="H56" s="572">
        <f>'1.2.sz.mell. '!C56+'1.3.sz.mell.'!C56+'1.4.sz.mell. '!C56</f>
        <v>0</v>
      </c>
      <c r="I56" s="575">
        <f t="shared" si="0"/>
        <v>0</v>
      </c>
    </row>
    <row r="57" spans="1:9" s="231" customFormat="1" ht="12" customHeight="1" thickBot="1" x14ac:dyDescent="0.25">
      <c r="A57" s="19" t="s">
        <v>30</v>
      </c>
      <c r="B57" s="145" t="s">
        <v>254</v>
      </c>
      <c r="C57" s="150">
        <f t="shared" si="1"/>
        <v>0</v>
      </c>
      <c r="D57" s="326">
        <f>SUM(D58:D60)</f>
        <v>0</v>
      </c>
      <c r="E57" s="150">
        <f>SUM(E58:E60)</f>
        <v>0</v>
      </c>
      <c r="F57" s="150">
        <f>SUM(F58:F60)</f>
        <v>0</v>
      </c>
      <c r="H57" s="572">
        <f>'1.2.sz.mell. '!C57+'1.3.sz.mell.'!C57+'1.4.sz.mell. '!C57</f>
        <v>0</v>
      </c>
      <c r="I57" s="572">
        <f t="shared" si="0"/>
        <v>0</v>
      </c>
    </row>
    <row r="58" spans="1:9" s="231" customFormat="1" ht="12" customHeight="1" thickBot="1" x14ac:dyDescent="0.25">
      <c r="A58" s="14" t="s">
        <v>157</v>
      </c>
      <c r="B58" s="232" t="s">
        <v>256</v>
      </c>
      <c r="C58" s="878">
        <f t="shared" si="1"/>
        <v>0</v>
      </c>
      <c r="D58" s="303"/>
      <c r="E58" s="154"/>
      <c r="F58" s="154"/>
      <c r="H58" s="572">
        <f>'1.2.sz.mell. '!C58+'1.3.sz.mell.'!C58+'1.4.sz.mell. '!C58</f>
        <v>0</v>
      </c>
      <c r="I58" s="573">
        <f t="shared" si="0"/>
        <v>0</v>
      </c>
    </row>
    <row r="59" spans="1:9" s="231" customFormat="1" ht="12" customHeight="1" thickBot="1" x14ac:dyDescent="0.25">
      <c r="A59" s="13" t="s">
        <v>158</v>
      </c>
      <c r="B59" s="233" t="s">
        <v>381</v>
      </c>
      <c r="C59" s="879">
        <f t="shared" si="1"/>
        <v>0</v>
      </c>
      <c r="D59" s="303"/>
      <c r="E59" s="154"/>
      <c r="F59" s="154"/>
      <c r="H59" s="572">
        <f>'1.2.sz.mell. '!C59+'1.3.sz.mell.'!C59+'1.4.sz.mell. '!C59</f>
        <v>0</v>
      </c>
      <c r="I59" s="574">
        <f t="shared" si="0"/>
        <v>0</v>
      </c>
    </row>
    <row r="60" spans="1:9" s="231" customFormat="1" ht="12" customHeight="1" thickBot="1" x14ac:dyDescent="0.25">
      <c r="A60" s="13" t="s">
        <v>180</v>
      </c>
      <c r="B60" s="233" t="s">
        <v>257</v>
      </c>
      <c r="C60" s="879">
        <f t="shared" si="1"/>
        <v>0</v>
      </c>
      <c r="D60" s="303"/>
      <c r="E60" s="154"/>
      <c r="F60" s="154"/>
      <c r="H60" s="572">
        <f>'1.2.sz.mell. '!C60+'1.3.sz.mell.'!C60+'1.4.sz.mell. '!C60</f>
        <v>0</v>
      </c>
      <c r="I60" s="574">
        <f t="shared" si="0"/>
        <v>0</v>
      </c>
    </row>
    <row r="61" spans="1:9" s="231" customFormat="1" ht="12" customHeight="1" thickBot="1" x14ac:dyDescent="0.25">
      <c r="A61" s="15" t="s">
        <v>255</v>
      </c>
      <c r="B61" s="147" t="s">
        <v>258</v>
      </c>
      <c r="C61" s="880">
        <f t="shared" si="1"/>
        <v>0</v>
      </c>
      <c r="D61" s="303"/>
      <c r="E61" s="154"/>
      <c r="F61" s="154"/>
      <c r="H61" s="572">
        <f>'1.2.sz.mell. '!C61+'1.3.sz.mell.'!C61+'1.4.sz.mell. '!C61</f>
        <v>0</v>
      </c>
      <c r="I61" s="575">
        <f t="shared" si="0"/>
        <v>0</v>
      </c>
    </row>
    <row r="62" spans="1:9" s="231" customFormat="1" ht="12" customHeight="1" thickBot="1" x14ac:dyDescent="0.25">
      <c r="A62" s="287" t="s">
        <v>480</v>
      </c>
      <c r="B62" s="20" t="s">
        <v>259</v>
      </c>
      <c r="C62" s="150">
        <f t="shared" si="1"/>
        <v>2336728582</v>
      </c>
      <c r="D62" s="329">
        <f>+D5+D12+D19+D26+D34+D46+D52+D57</f>
        <v>1920047742</v>
      </c>
      <c r="E62" s="155">
        <f>+E5+E12+E19+E26+E34+E46+E52+E57</f>
        <v>11536297</v>
      </c>
      <c r="F62" s="155">
        <f>+F5+F12+F19+F26+F34+F46+F52+F57</f>
        <v>405144543</v>
      </c>
      <c r="H62" s="572">
        <f>'1.2.sz.mell. '!C62+'1.3.sz.mell.'!C62+'1.4.sz.mell. '!C62</f>
        <v>2336728582</v>
      </c>
      <c r="I62" s="572">
        <f t="shared" si="0"/>
        <v>0</v>
      </c>
    </row>
    <row r="63" spans="1:9" s="231" customFormat="1" ht="12" customHeight="1" thickBot="1" x14ac:dyDescent="0.25">
      <c r="A63" s="288" t="s">
        <v>260</v>
      </c>
      <c r="B63" s="145" t="s">
        <v>261</v>
      </c>
      <c r="C63" s="150">
        <f t="shared" si="1"/>
        <v>193478462</v>
      </c>
      <c r="D63" s="326">
        <f>SUM(D64:D66)</f>
        <v>193478462</v>
      </c>
      <c r="E63" s="150">
        <f>SUM(E64:E66)</f>
        <v>0</v>
      </c>
      <c r="F63" s="150">
        <f>SUM(F64:F66)</f>
        <v>0</v>
      </c>
      <c r="H63" s="572">
        <f>'1.2.sz.mell. '!C63+'1.3.sz.mell.'!C63+'1.4.sz.mell. '!C63</f>
        <v>193478462</v>
      </c>
      <c r="I63" s="572">
        <f t="shared" si="0"/>
        <v>0</v>
      </c>
    </row>
    <row r="64" spans="1:9" s="231" customFormat="1" ht="12" customHeight="1" thickBot="1" x14ac:dyDescent="0.25">
      <c r="A64" s="14" t="s">
        <v>292</v>
      </c>
      <c r="B64" s="232" t="s">
        <v>262</v>
      </c>
      <c r="C64" s="876">
        <f t="shared" si="1"/>
        <v>93478462</v>
      </c>
      <c r="D64" s="303">
        <v>93478462</v>
      </c>
      <c r="E64" s="154"/>
      <c r="F64" s="154"/>
      <c r="H64" s="572">
        <f>'1.2.sz.mell. '!C64+'1.3.sz.mell.'!C64+'1.4.sz.mell. '!C64</f>
        <v>93478462</v>
      </c>
      <c r="I64" s="573">
        <f t="shared" si="0"/>
        <v>0</v>
      </c>
    </row>
    <row r="65" spans="1:9" s="231" customFormat="1" ht="12" customHeight="1" thickBot="1" x14ac:dyDescent="0.25">
      <c r="A65" s="13" t="s">
        <v>301</v>
      </c>
      <c r="B65" s="233" t="s">
        <v>263</v>
      </c>
      <c r="C65" s="373">
        <f t="shared" si="1"/>
        <v>100000000</v>
      </c>
      <c r="D65" s="303">
        <v>100000000</v>
      </c>
      <c r="E65" s="154"/>
      <c r="F65" s="154"/>
      <c r="H65" s="572">
        <f>'1.2.sz.mell. '!C65+'1.3.sz.mell.'!C65+'1.4.sz.mell. '!C65</f>
        <v>100000000</v>
      </c>
      <c r="I65" s="574">
        <f t="shared" si="0"/>
        <v>0</v>
      </c>
    </row>
    <row r="66" spans="1:9" s="231" customFormat="1" ht="12" customHeight="1" thickBot="1" x14ac:dyDescent="0.25">
      <c r="A66" s="15" t="s">
        <v>302</v>
      </c>
      <c r="B66" s="289" t="s">
        <v>481</v>
      </c>
      <c r="C66" s="880">
        <f t="shared" si="1"/>
        <v>0</v>
      </c>
      <c r="D66" s="303"/>
      <c r="E66" s="154"/>
      <c r="F66" s="154"/>
      <c r="H66" s="572">
        <f>'1.2.sz.mell. '!C66+'1.3.sz.mell.'!C66+'1.4.sz.mell. '!C66</f>
        <v>0</v>
      </c>
      <c r="I66" s="575">
        <f t="shared" si="0"/>
        <v>0</v>
      </c>
    </row>
    <row r="67" spans="1:9" s="231" customFormat="1" ht="12" customHeight="1" thickBot="1" x14ac:dyDescent="0.25">
      <c r="A67" s="288" t="s">
        <v>265</v>
      </c>
      <c r="B67" s="145" t="s">
        <v>266</v>
      </c>
      <c r="C67" s="150">
        <f t="shared" si="1"/>
        <v>0</v>
      </c>
      <c r="D67" s="326">
        <f>SUM(D68:D71)</f>
        <v>0</v>
      </c>
      <c r="E67" s="150">
        <f>SUM(E68:E71)</f>
        <v>0</v>
      </c>
      <c r="F67" s="150">
        <f>SUM(F68:F71)</f>
        <v>0</v>
      </c>
      <c r="H67" s="572">
        <f>'1.2.sz.mell. '!C67+'1.3.sz.mell.'!C67+'1.4.sz.mell. '!C67</f>
        <v>0</v>
      </c>
      <c r="I67" s="572">
        <f t="shared" si="0"/>
        <v>0</v>
      </c>
    </row>
    <row r="68" spans="1:9" s="231" customFormat="1" ht="12" customHeight="1" thickBot="1" x14ac:dyDescent="0.25">
      <c r="A68" s="14" t="s">
        <v>137</v>
      </c>
      <c r="B68" s="232" t="s">
        <v>267</v>
      </c>
      <c r="C68" s="878">
        <f t="shared" si="1"/>
        <v>0</v>
      </c>
      <c r="D68" s="303"/>
      <c r="E68" s="154"/>
      <c r="F68" s="154"/>
      <c r="H68" s="572">
        <f>'1.2.sz.mell. '!C68+'1.3.sz.mell.'!C68+'1.4.sz.mell. '!C68</f>
        <v>0</v>
      </c>
      <c r="I68" s="573">
        <f t="shared" si="0"/>
        <v>0</v>
      </c>
    </row>
    <row r="69" spans="1:9" s="231" customFormat="1" ht="12" customHeight="1" thickBot="1" x14ac:dyDescent="0.25">
      <c r="A69" s="13" t="s">
        <v>138</v>
      </c>
      <c r="B69" s="233" t="s">
        <v>268</v>
      </c>
      <c r="C69" s="879">
        <f t="shared" si="1"/>
        <v>0</v>
      </c>
      <c r="D69" s="303"/>
      <c r="E69" s="154"/>
      <c r="F69" s="154"/>
      <c r="H69" s="572">
        <f>'1.2.sz.mell. '!C69+'1.3.sz.mell.'!C69+'1.4.sz.mell. '!C69</f>
        <v>0</v>
      </c>
      <c r="I69" s="574">
        <f t="shared" ref="I69:I87" si="2">C69-H69</f>
        <v>0</v>
      </c>
    </row>
    <row r="70" spans="1:9" s="231" customFormat="1" ht="12" customHeight="1" thickBot="1" x14ac:dyDescent="0.25">
      <c r="A70" s="13" t="s">
        <v>293</v>
      </c>
      <c r="B70" s="233" t="s">
        <v>269</v>
      </c>
      <c r="C70" s="879">
        <f t="shared" ref="C70:C87" si="3">SUM(D70:F70)</f>
        <v>0</v>
      </c>
      <c r="D70" s="303"/>
      <c r="E70" s="154"/>
      <c r="F70" s="154"/>
      <c r="H70" s="572">
        <f>'1.2.sz.mell. '!C70+'1.3.sz.mell.'!C70+'1.4.sz.mell. '!C70</f>
        <v>0</v>
      </c>
      <c r="I70" s="574">
        <f t="shared" si="2"/>
        <v>0</v>
      </c>
    </row>
    <row r="71" spans="1:9" s="231" customFormat="1" ht="12" customHeight="1" thickBot="1" x14ac:dyDescent="0.25">
      <c r="A71" s="15" t="s">
        <v>294</v>
      </c>
      <c r="B71" s="147" t="s">
        <v>270</v>
      </c>
      <c r="C71" s="880">
        <f t="shared" si="3"/>
        <v>0</v>
      </c>
      <c r="D71" s="303"/>
      <c r="E71" s="154"/>
      <c r="F71" s="154"/>
      <c r="H71" s="572">
        <f>'1.2.sz.mell. '!C71+'1.3.sz.mell.'!C71+'1.4.sz.mell. '!C71</f>
        <v>0</v>
      </c>
      <c r="I71" s="575">
        <f t="shared" si="2"/>
        <v>0</v>
      </c>
    </row>
    <row r="72" spans="1:9" s="231" customFormat="1" ht="12" customHeight="1" thickBot="1" x14ac:dyDescent="0.25">
      <c r="A72" s="288" t="s">
        <v>271</v>
      </c>
      <c r="B72" s="145" t="s">
        <v>272</v>
      </c>
      <c r="C72" s="150">
        <f t="shared" si="3"/>
        <v>620677200</v>
      </c>
      <c r="D72" s="326">
        <f>SUM(D73:D74)</f>
        <v>594503730</v>
      </c>
      <c r="E72" s="150">
        <f>SUM(E73:E74)</f>
        <v>3212174</v>
      </c>
      <c r="F72" s="150">
        <f>SUM(F73:F74)</f>
        <v>22961296</v>
      </c>
      <c r="H72" s="572">
        <f>'1.2.sz.mell. '!C72+'1.3.sz.mell.'!C72+'1.4.sz.mell. '!C72</f>
        <v>620677200</v>
      </c>
      <c r="I72" s="572">
        <f t="shared" si="2"/>
        <v>0</v>
      </c>
    </row>
    <row r="73" spans="1:9" s="231" customFormat="1" ht="12" customHeight="1" thickBot="1" x14ac:dyDescent="0.25">
      <c r="A73" s="14" t="s">
        <v>295</v>
      </c>
      <c r="B73" s="232" t="s">
        <v>273</v>
      </c>
      <c r="C73" s="882">
        <f t="shared" si="3"/>
        <v>620677200</v>
      </c>
      <c r="D73" s="303">
        <f>569119704-28+25384054</f>
        <v>594503730</v>
      </c>
      <c r="E73" s="154">
        <f>3148853+63321</f>
        <v>3212174</v>
      </c>
      <c r="F73" s="154">
        <f>22961296</f>
        <v>22961296</v>
      </c>
      <c r="H73" s="572">
        <f>'1.2.sz.mell. '!C73+'1.3.sz.mell.'!C73+'1.4.sz.mell. '!C73</f>
        <v>620677200</v>
      </c>
      <c r="I73" s="573">
        <f t="shared" si="2"/>
        <v>0</v>
      </c>
    </row>
    <row r="74" spans="1:9" s="231" customFormat="1" ht="12" customHeight="1" thickBot="1" x14ac:dyDescent="0.25">
      <c r="A74" s="15" t="s">
        <v>296</v>
      </c>
      <c r="B74" s="147" t="s">
        <v>274</v>
      </c>
      <c r="C74" s="880">
        <f t="shared" si="3"/>
        <v>0</v>
      </c>
      <c r="D74" s="303"/>
      <c r="E74" s="154"/>
      <c r="F74" s="154"/>
      <c r="H74" s="572">
        <f>'1.2.sz.mell. '!C74+'1.3.sz.mell.'!C74+'1.4.sz.mell. '!C74</f>
        <v>0</v>
      </c>
      <c r="I74" s="575">
        <f t="shared" si="2"/>
        <v>0</v>
      </c>
    </row>
    <row r="75" spans="1:9" s="231" customFormat="1" ht="12" customHeight="1" thickBot="1" x14ac:dyDescent="0.25">
      <c r="A75" s="288" t="s">
        <v>275</v>
      </c>
      <c r="B75" s="145" t="s">
        <v>276</v>
      </c>
      <c r="C75" s="150">
        <f t="shared" si="3"/>
        <v>0</v>
      </c>
      <c r="D75" s="326">
        <f>SUM(D76:D78)</f>
        <v>0</v>
      </c>
      <c r="E75" s="150">
        <f>SUM(E76:E78)</f>
        <v>0</v>
      </c>
      <c r="F75" s="150">
        <f>SUM(F76:F78)</f>
        <v>0</v>
      </c>
      <c r="H75" s="572">
        <f>'1.2.sz.mell. '!C75+'1.3.sz.mell.'!C75+'1.4.sz.mell. '!C75</f>
        <v>0</v>
      </c>
      <c r="I75" s="572">
        <f t="shared" si="2"/>
        <v>0</v>
      </c>
    </row>
    <row r="76" spans="1:9" s="231" customFormat="1" ht="12" customHeight="1" thickBot="1" x14ac:dyDescent="0.25">
      <c r="A76" s="14" t="s">
        <v>297</v>
      </c>
      <c r="B76" s="232" t="s">
        <v>277</v>
      </c>
      <c r="C76" s="878">
        <f t="shared" si="3"/>
        <v>0</v>
      </c>
      <c r="D76" s="303"/>
      <c r="E76" s="154"/>
      <c r="F76" s="154"/>
      <c r="H76" s="572">
        <f>'1.2.sz.mell. '!C76+'1.3.sz.mell.'!C76+'1.4.sz.mell. '!C76</f>
        <v>0</v>
      </c>
      <c r="I76" s="573">
        <f t="shared" si="2"/>
        <v>0</v>
      </c>
    </row>
    <row r="77" spans="1:9" s="231" customFormat="1" ht="12" customHeight="1" thickBot="1" x14ac:dyDescent="0.25">
      <c r="A77" s="13" t="s">
        <v>298</v>
      </c>
      <c r="B77" s="233" t="s">
        <v>278</v>
      </c>
      <c r="C77" s="879">
        <f t="shared" si="3"/>
        <v>0</v>
      </c>
      <c r="D77" s="303"/>
      <c r="E77" s="154"/>
      <c r="F77" s="154"/>
      <c r="H77" s="572">
        <f>'1.2.sz.mell. '!C77+'1.3.sz.mell.'!C77+'1.4.sz.mell. '!C77</f>
        <v>0</v>
      </c>
      <c r="I77" s="574">
        <f t="shared" si="2"/>
        <v>0</v>
      </c>
    </row>
    <row r="78" spans="1:9" s="231" customFormat="1" ht="12" customHeight="1" thickBot="1" x14ac:dyDescent="0.25">
      <c r="A78" s="15" t="s">
        <v>299</v>
      </c>
      <c r="B78" s="147" t="s">
        <v>279</v>
      </c>
      <c r="C78" s="880">
        <f t="shared" si="3"/>
        <v>0</v>
      </c>
      <c r="D78" s="303"/>
      <c r="E78" s="154"/>
      <c r="F78" s="154"/>
      <c r="H78" s="572">
        <f>'1.2.sz.mell. '!C78+'1.3.sz.mell.'!C78+'1.4.sz.mell. '!C78</f>
        <v>0</v>
      </c>
      <c r="I78" s="575">
        <f t="shared" si="2"/>
        <v>0</v>
      </c>
    </row>
    <row r="79" spans="1:9" s="231" customFormat="1" ht="12" customHeight="1" thickBot="1" x14ac:dyDescent="0.25">
      <c r="A79" s="288" t="s">
        <v>280</v>
      </c>
      <c r="B79" s="145" t="s">
        <v>300</v>
      </c>
      <c r="C79" s="150">
        <f t="shared" si="3"/>
        <v>0</v>
      </c>
      <c r="D79" s="326">
        <f>SUM(D80:D83)</f>
        <v>0</v>
      </c>
      <c r="E79" s="150">
        <f>SUM(E80:E83)</f>
        <v>0</v>
      </c>
      <c r="F79" s="150">
        <f>SUM(F80:F83)</f>
        <v>0</v>
      </c>
      <c r="H79" s="572">
        <f>'1.2.sz.mell. '!C79+'1.3.sz.mell.'!C79+'1.4.sz.mell. '!C79</f>
        <v>0</v>
      </c>
      <c r="I79" s="572">
        <f t="shared" si="2"/>
        <v>0</v>
      </c>
    </row>
    <row r="80" spans="1:9" s="231" customFormat="1" ht="12" customHeight="1" thickBot="1" x14ac:dyDescent="0.25">
      <c r="A80" s="236" t="s">
        <v>281</v>
      </c>
      <c r="B80" s="232" t="s">
        <v>282</v>
      </c>
      <c r="C80" s="878">
        <f t="shared" si="3"/>
        <v>0</v>
      </c>
      <c r="D80" s="303"/>
      <c r="E80" s="154"/>
      <c r="F80" s="154"/>
      <c r="H80" s="572">
        <f>'1.2.sz.mell. '!C80+'1.3.sz.mell.'!C80+'1.4.sz.mell. '!C80</f>
        <v>0</v>
      </c>
      <c r="I80" s="573">
        <f t="shared" si="2"/>
        <v>0</v>
      </c>
    </row>
    <row r="81" spans="1:9" s="231" customFormat="1" ht="12" customHeight="1" thickBot="1" x14ac:dyDescent="0.25">
      <c r="A81" s="237" t="s">
        <v>283</v>
      </c>
      <c r="B81" s="233" t="s">
        <v>284</v>
      </c>
      <c r="C81" s="879">
        <f t="shared" si="3"/>
        <v>0</v>
      </c>
      <c r="D81" s="303"/>
      <c r="E81" s="154"/>
      <c r="F81" s="154"/>
      <c r="H81" s="572">
        <f>'1.2.sz.mell. '!C81+'1.3.sz.mell.'!C81+'1.4.sz.mell. '!C81</f>
        <v>0</v>
      </c>
      <c r="I81" s="574">
        <f t="shared" si="2"/>
        <v>0</v>
      </c>
    </row>
    <row r="82" spans="1:9" s="231" customFormat="1" ht="12" customHeight="1" thickBot="1" x14ac:dyDescent="0.25">
      <c r="A82" s="237" t="s">
        <v>285</v>
      </c>
      <c r="B82" s="233" t="s">
        <v>286</v>
      </c>
      <c r="C82" s="879">
        <f t="shared" si="3"/>
        <v>0</v>
      </c>
      <c r="D82" s="303"/>
      <c r="E82" s="154"/>
      <c r="F82" s="154"/>
      <c r="H82" s="572">
        <f>'1.2.sz.mell. '!C82+'1.3.sz.mell.'!C82+'1.4.sz.mell. '!C82</f>
        <v>0</v>
      </c>
      <c r="I82" s="574">
        <f t="shared" si="2"/>
        <v>0</v>
      </c>
    </row>
    <row r="83" spans="1:9" s="231" customFormat="1" ht="12" customHeight="1" thickBot="1" x14ac:dyDescent="0.25">
      <c r="A83" s="238" t="s">
        <v>287</v>
      </c>
      <c r="B83" s="147" t="s">
        <v>288</v>
      </c>
      <c r="C83" s="880">
        <f t="shared" si="3"/>
        <v>0</v>
      </c>
      <c r="D83" s="303"/>
      <c r="E83" s="154"/>
      <c r="F83" s="154"/>
      <c r="H83" s="572">
        <f>'1.2.sz.mell. '!C83+'1.3.sz.mell.'!C83+'1.4.sz.mell. '!C83</f>
        <v>0</v>
      </c>
      <c r="I83" s="575">
        <f t="shared" si="2"/>
        <v>0</v>
      </c>
    </row>
    <row r="84" spans="1:9" s="231" customFormat="1" ht="12" customHeight="1" thickBot="1" x14ac:dyDescent="0.25">
      <c r="A84" s="288" t="s">
        <v>289</v>
      </c>
      <c r="B84" s="145" t="s">
        <v>482</v>
      </c>
      <c r="C84" s="150">
        <f t="shared" si="3"/>
        <v>0</v>
      </c>
      <c r="D84" s="333"/>
      <c r="E84" s="271"/>
      <c r="F84" s="271"/>
      <c r="H84" s="572">
        <f>'1.2.sz.mell. '!C84+'1.3.sz.mell.'!C84+'1.4.sz.mell. '!C84</f>
        <v>0</v>
      </c>
      <c r="I84" s="572">
        <f t="shared" si="2"/>
        <v>0</v>
      </c>
    </row>
    <row r="85" spans="1:9" s="231" customFormat="1" ht="13.5" customHeight="1" thickBot="1" x14ac:dyDescent="0.25">
      <c r="A85" s="288" t="s">
        <v>291</v>
      </c>
      <c r="B85" s="145" t="s">
        <v>290</v>
      </c>
      <c r="C85" s="150">
        <f t="shared" si="3"/>
        <v>0</v>
      </c>
      <c r="D85" s="333"/>
      <c r="E85" s="271"/>
      <c r="F85" s="271"/>
      <c r="H85" s="572">
        <f>'1.2.sz.mell. '!C85+'1.3.sz.mell.'!C85+'1.4.sz.mell. '!C85</f>
        <v>0</v>
      </c>
      <c r="I85" s="572">
        <f t="shared" si="2"/>
        <v>0</v>
      </c>
    </row>
    <row r="86" spans="1:9" s="231" customFormat="1" ht="15.75" customHeight="1" thickBot="1" x14ac:dyDescent="0.25">
      <c r="A86" s="288" t="s">
        <v>303</v>
      </c>
      <c r="B86" s="239" t="s">
        <v>483</v>
      </c>
      <c r="C86" s="150">
        <f t="shared" si="3"/>
        <v>814155662</v>
      </c>
      <c r="D86" s="329">
        <f>+D63+D67+D72+D75+D79+D85+D84</f>
        <v>787982192</v>
      </c>
      <c r="E86" s="155">
        <f>+E63+E67+E72+E75+E79+E85+E84</f>
        <v>3212174</v>
      </c>
      <c r="F86" s="155">
        <f>+F63+F67+F72+F75+F79+F85+F84</f>
        <v>22961296</v>
      </c>
      <c r="H86" s="572">
        <f>'1.2.sz.mell. '!C86+'1.3.sz.mell.'!C86+'1.4.sz.mell. '!C86</f>
        <v>814155662</v>
      </c>
      <c r="I86" s="572">
        <f t="shared" si="2"/>
        <v>0</v>
      </c>
    </row>
    <row r="87" spans="1:9" s="231" customFormat="1" ht="16.5" customHeight="1" thickBot="1" x14ac:dyDescent="0.25">
      <c r="A87" s="290" t="s">
        <v>484</v>
      </c>
      <c r="B87" s="240" t="s">
        <v>485</v>
      </c>
      <c r="C87" s="150">
        <f t="shared" si="3"/>
        <v>3150884244</v>
      </c>
      <c r="D87" s="329">
        <f>+D62+D86</f>
        <v>2708029934</v>
      </c>
      <c r="E87" s="155">
        <f>+E62+E86</f>
        <v>14748471</v>
      </c>
      <c r="F87" s="155">
        <f>+F62+F86</f>
        <v>428105839</v>
      </c>
      <c r="H87" s="572">
        <f>'1.2.sz.mell. '!C87+'1.3.sz.mell.'!C87+'1.4.sz.mell. '!C87</f>
        <v>3150884244</v>
      </c>
      <c r="I87" s="572">
        <f t="shared" si="2"/>
        <v>0</v>
      </c>
    </row>
    <row r="88" spans="1:9" s="231" customFormat="1" ht="83.25" customHeight="1" x14ac:dyDescent="0.2">
      <c r="A88" s="4"/>
      <c r="B88" s="5"/>
      <c r="C88" s="156"/>
      <c r="H88" s="570"/>
      <c r="I88" s="570"/>
    </row>
    <row r="89" spans="1:9" ht="16.5" customHeight="1" x14ac:dyDescent="0.25">
      <c r="A89" s="987" t="s">
        <v>51</v>
      </c>
      <c r="B89" s="987"/>
      <c r="C89" s="987"/>
      <c r="I89" s="570"/>
    </row>
    <row r="90" spans="1:9" s="241" customFormat="1" ht="16.5" customHeight="1" thickBot="1" x14ac:dyDescent="0.3">
      <c r="A90" s="988" t="s">
        <v>140</v>
      </c>
      <c r="B90" s="988"/>
      <c r="C90" s="81" t="s">
        <v>596</v>
      </c>
      <c r="H90" s="570"/>
      <c r="I90" s="570"/>
    </row>
    <row r="91" spans="1:9" ht="38.1" customHeight="1" thickBot="1" x14ac:dyDescent="0.3">
      <c r="A91" s="22" t="s">
        <v>74</v>
      </c>
      <c r="B91" s="23" t="s">
        <v>52</v>
      </c>
      <c r="C91" s="30" t="str">
        <f>+C3</f>
        <v>2018. évi előirányzat</v>
      </c>
      <c r="I91" s="570"/>
    </row>
    <row r="92" spans="1:9" s="230" customFormat="1" ht="12" customHeight="1" thickBot="1" x14ac:dyDescent="0.25">
      <c r="A92" s="26" t="s">
        <v>469</v>
      </c>
      <c r="B92" s="27" t="s">
        <v>470</v>
      </c>
      <c r="C92" s="226" t="s">
        <v>471</v>
      </c>
      <c r="H92" s="570"/>
      <c r="I92" s="570"/>
    </row>
    <row r="93" spans="1:9" ht="12" customHeight="1" thickBot="1" x14ac:dyDescent="0.3">
      <c r="A93" s="21" t="s">
        <v>23</v>
      </c>
      <c r="B93" s="25" t="s">
        <v>523</v>
      </c>
      <c r="C93" s="381">
        <f>SUM(D93:F93)</f>
        <v>2382507215</v>
      </c>
      <c r="D93" s="336">
        <f>+D94+D95+D96+D97+D98+D111</f>
        <v>635068251</v>
      </c>
      <c r="E93" s="149">
        <f>+E94+E95+E96+E97+E98+E111</f>
        <v>239430458</v>
      </c>
      <c r="F93" s="357">
        <f>F94+F95+F96+F97+F98+F111</f>
        <v>1508008506</v>
      </c>
      <c r="H93" s="572">
        <f>'1.2.sz.mell. '!C93+'1.3.sz.mell.'!C93+'1.4.sz.mell. '!C93</f>
        <v>2382507215</v>
      </c>
      <c r="I93" s="572">
        <f>C93-H93</f>
        <v>0</v>
      </c>
    </row>
    <row r="94" spans="1:9" ht="12" customHeight="1" thickBot="1" x14ac:dyDescent="0.3">
      <c r="A94" s="16" t="s">
        <v>99</v>
      </c>
      <c r="B94" s="9" t="s">
        <v>53</v>
      </c>
      <c r="C94" s="576">
        <f>SUM(D94:F94)</f>
        <v>981036950</v>
      </c>
      <c r="D94" s="363">
        <f>2854500+25097896+75000+16116992+1182990+2491000+1016699-198000</f>
        <v>48637077</v>
      </c>
      <c r="E94" s="312">
        <f>2528076+481000+134654515+2215000+152400</f>
        <v>140030991</v>
      </c>
      <c r="F94" s="319">
        <f>784492352+662383+6760147+80000+374000</f>
        <v>792368882</v>
      </c>
      <c r="H94" s="572">
        <f>'1.2.sz.mell. '!C94+'1.3.sz.mell.'!C94+'1.4.sz.mell. '!C94</f>
        <v>981036950</v>
      </c>
      <c r="I94" s="573">
        <f t="shared" ref="I94:I154" si="4">C94-H94</f>
        <v>0</v>
      </c>
    </row>
    <row r="95" spans="1:9" ht="12" customHeight="1" thickBot="1" x14ac:dyDescent="0.3">
      <c r="A95" s="13" t="s">
        <v>100</v>
      </c>
      <c r="B95" s="7" t="s">
        <v>159</v>
      </c>
      <c r="C95" s="576">
        <f t="shared" ref="C95:C154" si="5">SUM(D95:F95)</f>
        <v>206935735</v>
      </c>
      <c r="D95" s="303">
        <f>500965+4771305+13275+17258+2940000+14000+207615+1015000+283238-34749</f>
        <v>9727907</v>
      </c>
      <c r="E95" s="154">
        <f>443678+114000+28757160+461687+62043</f>
        <v>29838568</v>
      </c>
      <c r="F95" s="305">
        <f>165847404+144152+1290734+14040+72930</f>
        <v>167369260</v>
      </c>
      <c r="H95" s="572">
        <f>'1.2.sz.mell. '!C95+'1.3.sz.mell.'!C95+'1.4.sz.mell. '!C95</f>
        <v>206935735</v>
      </c>
      <c r="I95" s="574">
        <f t="shared" si="4"/>
        <v>0</v>
      </c>
    </row>
    <row r="96" spans="1:9" ht="12" customHeight="1" thickBot="1" x14ac:dyDescent="0.3">
      <c r="A96" s="13" t="s">
        <v>101</v>
      </c>
      <c r="B96" s="7" t="s">
        <v>129</v>
      </c>
      <c r="C96" s="576">
        <f t="shared" si="5"/>
        <v>879726149</v>
      </c>
      <c r="D96" s="307">
        <f>13447475+835000+16099000+50000+52909601+3082677+6787092+2456000+4504030+871220+397000+194467+34163000+50473064+34200000+3285067+156511+9000000+563000+17207888+2681000+3300000+17042731+48545760+500000+381000+314356+178500+77000-37621053+63500</f>
        <v>286144886</v>
      </c>
      <c r="E96" s="221">
        <f>4096000+324000+352000+40114003+137126+419550-152400+20620</f>
        <v>45310899</v>
      </c>
      <c r="F96" s="305">
        <f>545896186-624000+1605578+768600+624000</f>
        <v>548270364</v>
      </c>
      <c r="H96" s="572">
        <f>'1.2.sz.mell. '!C96+'1.3.sz.mell.'!C96+'1.4.sz.mell. '!C96</f>
        <v>879726149</v>
      </c>
      <c r="I96" s="574">
        <f t="shared" si="4"/>
        <v>0</v>
      </c>
    </row>
    <row r="97" spans="1:9" ht="12" customHeight="1" thickBot="1" x14ac:dyDescent="0.3">
      <c r="A97" s="13" t="s">
        <v>102</v>
      </c>
      <c r="B97" s="7" t="s">
        <v>160</v>
      </c>
      <c r="C97" s="693">
        <f t="shared" si="5"/>
        <v>97250000</v>
      </c>
      <c r="D97" s="307">
        <f>69500000+3500000</f>
        <v>73000000</v>
      </c>
      <c r="E97" s="221">
        <v>24250000</v>
      </c>
      <c r="F97" s="318"/>
      <c r="H97" s="572">
        <f>'1.2.sz.mell. '!C97+'1.3.sz.mell.'!C97+'1.4.sz.mell. '!C97</f>
        <v>97250000</v>
      </c>
      <c r="I97" s="574">
        <f t="shared" si="4"/>
        <v>0</v>
      </c>
    </row>
    <row r="98" spans="1:9" ht="12" customHeight="1" thickBot="1" x14ac:dyDescent="0.3">
      <c r="A98" s="13" t="s">
        <v>113</v>
      </c>
      <c r="B98" s="6" t="s">
        <v>161</v>
      </c>
      <c r="C98" s="693">
        <f t="shared" si="5"/>
        <v>152130903</v>
      </c>
      <c r="D98" s="307">
        <f>45183973+52959801+660000+100000+49357310+3869819</f>
        <v>152130903</v>
      </c>
      <c r="E98" s="221"/>
      <c r="F98" s="318"/>
      <c r="H98" s="572">
        <f>'1.2.sz.mell. '!C98+'1.3.sz.mell.'!C98+'1.4.sz.mell. '!C98</f>
        <v>152130903</v>
      </c>
      <c r="I98" s="574">
        <f t="shared" si="4"/>
        <v>0</v>
      </c>
    </row>
    <row r="99" spans="1:9" ht="12" customHeight="1" thickBot="1" x14ac:dyDescent="0.3">
      <c r="A99" s="13" t="s">
        <v>103</v>
      </c>
      <c r="B99" s="7" t="s">
        <v>486</v>
      </c>
      <c r="C99" s="576">
        <f t="shared" si="5"/>
        <v>3969819</v>
      </c>
      <c r="D99" s="307">
        <f>100000+3869819</f>
        <v>3969819</v>
      </c>
      <c r="E99" s="221"/>
      <c r="F99" s="318"/>
      <c r="H99" s="572">
        <f>'1.2.sz.mell. '!C99+'1.3.sz.mell.'!C99+'1.4.sz.mell. '!C99</f>
        <v>3969819</v>
      </c>
      <c r="I99" s="574">
        <f t="shared" si="4"/>
        <v>0</v>
      </c>
    </row>
    <row r="100" spans="1:9" ht="12" customHeight="1" thickBot="1" x14ac:dyDescent="0.3">
      <c r="A100" s="13" t="s">
        <v>104</v>
      </c>
      <c r="B100" s="85" t="s">
        <v>487</v>
      </c>
      <c r="C100" s="576">
        <f t="shared" si="5"/>
        <v>0</v>
      </c>
      <c r="D100" s="307"/>
      <c r="E100" s="221"/>
      <c r="F100" s="318"/>
      <c r="H100" s="572">
        <f>'1.2.sz.mell. '!C100+'1.3.sz.mell.'!C100+'1.4.sz.mell. '!C100</f>
        <v>0</v>
      </c>
      <c r="I100" s="574">
        <f t="shared" si="4"/>
        <v>0</v>
      </c>
    </row>
    <row r="101" spans="1:9" ht="12" customHeight="1" thickBot="1" x14ac:dyDescent="0.3">
      <c r="A101" s="13" t="s">
        <v>114</v>
      </c>
      <c r="B101" s="85" t="s">
        <v>488</v>
      </c>
      <c r="C101" s="576">
        <f t="shared" si="5"/>
        <v>0</v>
      </c>
      <c r="D101" s="307"/>
      <c r="E101" s="221"/>
      <c r="F101" s="318"/>
      <c r="H101" s="572">
        <f>'1.2.sz.mell. '!C101+'1.3.sz.mell.'!C101+'1.4.sz.mell. '!C101</f>
        <v>0</v>
      </c>
      <c r="I101" s="574">
        <f t="shared" si="4"/>
        <v>0</v>
      </c>
    </row>
    <row r="102" spans="1:9" ht="12" customHeight="1" thickBot="1" x14ac:dyDescent="0.3">
      <c r="A102" s="13" t="s">
        <v>115</v>
      </c>
      <c r="B102" s="83" t="s">
        <v>306</v>
      </c>
      <c r="C102" s="576">
        <f t="shared" si="5"/>
        <v>0</v>
      </c>
      <c r="D102" s="307"/>
      <c r="E102" s="221"/>
      <c r="F102" s="318"/>
      <c r="H102" s="572">
        <f>'1.2.sz.mell. '!C102+'1.3.sz.mell.'!C102+'1.4.sz.mell. '!C102</f>
        <v>0</v>
      </c>
      <c r="I102" s="574">
        <f t="shared" si="4"/>
        <v>0</v>
      </c>
    </row>
    <row r="103" spans="1:9" ht="12" customHeight="1" thickBot="1" x14ac:dyDescent="0.3">
      <c r="A103" s="13" t="s">
        <v>116</v>
      </c>
      <c r="B103" s="84" t="s">
        <v>307</v>
      </c>
      <c r="C103" s="576">
        <f t="shared" si="5"/>
        <v>0</v>
      </c>
      <c r="D103" s="307"/>
      <c r="E103" s="221"/>
      <c r="F103" s="318"/>
      <c r="H103" s="572">
        <f>'1.2.sz.mell. '!C103+'1.3.sz.mell.'!C103+'1.4.sz.mell. '!C103</f>
        <v>0</v>
      </c>
      <c r="I103" s="574">
        <f t="shared" si="4"/>
        <v>0</v>
      </c>
    </row>
    <row r="104" spans="1:9" ht="12" customHeight="1" thickBot="1" x14ac:dyDescent="0.3">
      <c r="A104" s="13" t="s">
        <v>117</v>
      </c>
      <c r="B104" s="84" t="s">
        <v>308</v>
      </c>
      <c r="C104" s="576">
        <f t="shared" si="5"/>
        <v>0</v>
      </c>
      <c r="D104" s="307"/>
      <c r="E104" s="221"/>
      <c r="F104" s="318"/>
      <c r="H104" s="572">
        <f>'1.2.sz.mell. '!C104+'1.3.sz.mell.'!C104+'1.4.sz.mell. '!C104</f>
        <v>0</v>
      </c>
      <c r="I104" s="574">
        <f t="shared" si="4"/>
        <v>0</v>
      </c>
    </row>
    <row r="105" spans="1:9" ht="12" customHeight="1" thickBot="1" x14ac:dyDescent="0.3">
      <c r="A105" s="13" t="s">
        <v>119</v>
      </c>
      <c r="B105" s="83" t="s">
        <v>309</v>
      </c>
      <c r="C105" s="693">
        <f t="shared" si="5"/>
        <v>660000</v>
      </c>
      <c r="D105" s="307">
        <v>660000</v>
      </c>
      <c r="E105" s="221"/>
      <c r="F105" s="318"/>
      <c r="H105" s="572">
        <f>'1.2.sz.mell. '!C105+'1.3.sz.mell.'!C105+'1.4.sz.mell. '!C105</f>
        <v>660000</v>
      </c>
      <c r="I105" s="574">
        <f t="shared" si="4"/>
        <v>0</v>
      </c>
    </row>
    <row r="106" spans="1:9" ht="12" customHeight="1" thickBot="1" x14ac:dyDescent="0.3">
      <c r="A106" s="13" t="s">
        <v>162</v>
      </c>
      <c r="B106" s="83" t="s">
        <v>310</v>
      </c>
      <c r="C106" s="576">
        <f t="shared" si="5"/>
        <v>0</v>
      </c>
      <c r="D106" s="307"/>
      <c r="E106" s="221"/>
      <c r="F106" s="318"/>
      <c r="H106" s="572">
        <f>'1.2.sz.mell. '!C106+'1.3.sz.mell.'!C106+'1.4.sz.mell. '!C106</f>
        <v>0</v>
      </c>
      <c r="I106" s="574">
        <f t="shared" si="4"/>
        <v>0</v>
      </c>
    </row>
    <row r="107" spans="1:9" ht="12" customHeight="1" thickBot="1" x14ac:dyDescent="0.3">
      <c r="A107" s="13" t="s">
        <v>304</v>
      </c>
      <c r="B107" s="84" t="s">
        <v>311</v>
      </c>
      <c r="C107" s="576">
        <f t="shared" si="5"/>
        <v>0</v>
      </c>
      <c r="D107" s="307"/>
      <c r="E107" s="221"/>
      <c r="F107" s="318"/>
      <c r="H107" s="572">
        <f>'1.2.sz.mell. '!C107+'1.3.sz.mell.'!C107+'1.4.sz.mell. '!C107</f>
        <v>0</v>
      </c>
      <c r="I107" s="574">
        <f t="shared" si="4"/>
        <v>0</v>
      </c>
    </row>
    <row r="108" spans="1:9" ht="12" customHeight="1" thickBot="1" x14ac:dyDescent="0.3">
      <c r="A108" s="12" t="s">
        <v>305</v>
      </c>
      <c r="B108" s="85" t="s">
        <v>312</v>
      </c>
      <c r="C108" s="576">
        <f t="shared" si="5"/>
        <v>0</v>
      </c>
      <c r="D108" s="307"/>
      <c r="E108" s="221"/>
      <c r="F108" s="318"/>
      <c r="H108" s="572">
        <f>'1.2.sz.mell. '!C108+'1.3.sz.mell.'!C108+'1.4.sz.mell. '!C108</f>
        <v>0</v>
      </c>
      <c r="I108" s="574">
        <f t="shared" si="4"/>
        <v>0</v>
      </c>
    </row>
    <row r="109" spans="1:9" ht="12" customHeight="1" thickBot="1" x14ac:dyDescent="0.3">
      <c r="A109" s="13" t="s">
        <v>489</v>
      </c>
      <c r="B109" s="85" t="s">
        <v>313</v>
      </c>
      <c r="C109" s="576">
        <f t="shared" si="5"/>
        <v>0</v>
      </c>
      <c r="D109" s="307"/>
      <c r="E109" s="221"/>
      <c r="F109" s="318"/>
      <c r="H109" s="572">
        <f>'1.2.sz.mell. '!C109+'1.3.sz.mell.'!C109+'1.4.sz.mell. '!C109</f>
        <v>0</v>
      </c>
      <c r="I109" s="574">
        <f t="shared" si="4"/>
        <v>0</v>
      </c>
    </row>
    <row r="110" spans="1:9" ht="12" customHeight="1" thickBot="1" x14ac:dyDescent="0.3">
      <c r="A110" s="15" t="s">
        <v>490</v>
      </c>
      <c r="B110" s="85" t="s">
        <v>314</v>
      </c>
      <c r="C110" s="693">
        <f t="shared" si="5"/>
        <v>147501084</v>
      </c>
      <c r="D110" s="303">
        <f>5697126+16985629+22501218+52959801+660000+49357310-660000</f>
        <v>147501084</v>
      </c>
      <c r="E110" s="154"/>
      <c r="F110" s="318"/>
      <c r="H110" s="572">
        <f>'1.2.sz.mell. '!C110+'1.3.sz.mell.'!C110+'1.4.sz.mell. '!C110</f>
        <v>147501084</v>
      </c>
      <c r="I110" s="574">
        <f t="shared" si="4"/>
        <v>0</v>
      </c>
    </row>
    <row r="111" spans="1:9" ht="12" customHeight="1" thickBot="1" x14ac:dyDescent="0.3">
      <c r="A111" s="13" t="s">
        <v>491</v>
      </c>
      <c r="B111" s="7" t="s">
        <v>54</v>
      </c>
      <c r="C111" s="576">
        <f t="shared" si="5"/>
        <v>65427478</v>
      </c>
      <c r="D111" s="303">
        <f>SUM(D112:D113)</f>
        <v>65427478</v>
      </c>
      <c r="E111" s="154"/>
      <c r="F111" s="305">
        <f>F112+F113</f>
        <v>0</v>
      </c>
      <c r="H111" s="572">
        <f>'1.2.sz.mell. '!C111+'1.3.sz.mell.'!C111+'1.4.sz.mell. '!C111</f>
        <v>65427478</v>
      </c>
      <c r="I111" s="574">
        <f t="shared" si="4"/>
        <v>0</v>
      </c>
    </row>
    <row r="112" spans="1:9" ht="12" customHeight="1" thickBot="1" x14ac:dyDescent="0.3">
      <c r="A112" s="13" t="s">
        <v>492</v>
      </c>
      <c r="B112" s="7" t="s">
        <v>493</v>
      </c>
      <c r="C112" s="576">
        <f t="shared" si="5"/>
        <v>6526975</v>
      </c>
      <c r="D112" s="307">
        <f>15000000-21705-8451320</f>
        <v>6526975</v>
      </c>
      <c r="E112" s="221"/>
      <c r="F112" s="305"/>
      <c r="H112" s="572">
        <f>'1.2.sz.mell. '!C112+'1.3.sz.mell.'!C112+'1.4.sz.mell. '!C112</f>
        <v>6526975</v>
      </c>
      <c r="I112" s="574">
        <f t="shared" si="4"/>
        <v>0</v>
      </c>
    </row>
    <row r="113" spans="1:9" ht="12" customHeight="1" thickBot="1" x14ac:dyDescent="0.3">
      <c r="A113" s="17" t="s">
        <v>494</v>
      </c>
      <c r="B113" s="291" t="s">
        <v>495</v>
      </c>
      <c r="C113" s="699">
        <f t="shared" si="5"/>
        <v>58900503</v>
      </c>
      <c r="D113" s="364">
        <f>65846522-6946019</f>
        <v>58900503</v>
      </c>
      <c r="E113" s="322"/>
      <c r="F113" s="320"/>
      <c r="H113" s="572">
        <f>'1.2.sz.mell. '!C113+'1.3.sz.mell.'!C113+'1.4.sz.mell. '!C113</f>
        <v>58900503</v>
      </c>
      <c r="I113" s="575">
        <f t="shared" si="4"/>
        <v>0</v>
      </c>
    </row>
    <row r="114" spans="1:9" ht="12" customHeight="1" thickBot="1" x14ac:dyDescent="0.3">
      <c r="A114" s="292" t="s">
        <v>24</v>
      </c>
      <c r="B114" s="697" t="s">
        <v>315</v>
      </c>
      <c r="C114" s="701">
        <f t="shared" si="5"/>
        <v>621722734</v>
      </c>
      <c r="D114" s="326">
        <f>+D115+D117+D119</f>
        <v>595199505</v>
      </c>
      <c r="E114" s="150">
        <f>+E115+E117+E119</f>
        <v>4919980</v>
      </c>
      <c r="F114" s="294">
        <f>+F115+F117+F119</f>
        <v>21603249</v>
      </c>
      <c r="H114" s="572">
        <f>'1.2.sz.mell. '!C114+'1.3.sz.mell.'!C114+'1.4.sz.mell. '!C114</f>
        <v>621722734</v>
      </c>
      <c r="I114" s="572">
        <f t="shared" si="4"/>
        <v>0</v>
      </c>
    </row>
    <row r="115" spans="1:9" ht="15" customHeight="1" thickBot="1" x14ac:dyDescent="0.3">
      <c r="A115" s="14" t="s">
        <v>105</v>
      </c>
      <c r="B115" s="7" t="s">
        <v>179</v>
      </c>
      <c r="C115" s="576">
        <f t="shared" si="5"/>
        <v>335298496</v>
      </c>
      <c r="D115" s="332">
        <f>359410+2345001+219008101+12873483+381000+1500000+3139585+33894811+377190+2338070+4950460-60000+275000+20930495+3000+1187993+457200+1422400+3150920+850748</f>
        <v>309384867</v>
      </c>
      <c r="E115" s="270">
        <v>4919980</v>
      </c>
      <c r="F115" s="321">
        <f>20394512+599137</f>
        <v>20993649</v>
      </c>
      <c r="H115" s="572">
        <f>'1.2.sz.mell. '!C115+'1.3.sz.mell.'!C115+'1.4.sz.mell. '!C115</f>
        <v>335298496</v>
      </c>
      <c r="I115" s="573">
        <f t="shared" si="4"/>
        <v>0</v>
      </c>
    </row>
    <row r="116" spans="1:9" ht="12" customHeight="1" thickBot="1" x14ac:dyDescent="0.3">
      <c r="A116" s="14" t="s">
        <v>106</v>
      </c>
      <c r="B116" s="11" t="s">
        <v>319</v>
      </c>
      <c r="C116" s="576">
        <f t="shared" si="5"/>
        <v>288570801</v>
      </c>
      <c r="D116" s="695">
        <f>12873483+33259811+218246101+22118488</f>
        <v>286497883</v>
      </c>
      <c r="E116" s="270"/>
      <c r="F116" s="321">
        <v>2072918</v>
      </c>
      <c r="H116" s="572">
        <f>'1.2.sz.mell. '!C116+'1.3.sz.mell.'!C116+'1.4.sz.mell. '!C116</f>
        <v>288570801</v>
      </c>
      <c r="I116" s="574">
        <f t="shared" si="4"/>
        <v>0</v>
      </c>
    </row>
    <row r="117" spans="1:9" ht="12" customHeight="1" thickBot="1" x14ac:dyDescent="0.3">
      <c r="A117" s="14" t="s">
        <v>107</v>
      </c>
      <c r="B117" s="11" t="s">
        <v>163</v>
      </c>
      <c r="C117" s="576">
        <f t="shared" si="5"/>
        <v>220713517</v>
      </c>
      <c r="D117" s="303">
        <f>180701362+1500000+37902555</f>
        <v>220103917</v>
      </c>
      <c r="E117" s="154"/>
      <c r="F117" s="305">
        <v>609600</v>
      </c>
      <c r="H117" s="572">
        <f>'1.2.sz.mell. '!C117+'1.3.sz.mell.'!C117+'1.4.sz.mell. '!C117</f>
        <v>220713517</v>
      </c>
      <c r="I117" s="574">
        <f t="shared" si="4"/>
        <v>0</v>
      </c>
    </row>
    <row r="118" spans="1:9" ht="12" customHeight="1" thickBot="1" x14ac:dyDescent="0.3">
      <c r="A118" s="14" t="s">
        <v>108</v>
      </c>
      <c r="B118" s="11" t="s">
        <v>320</v>
      </c>
      <c r="C118" s="576">
        <f t="shared" si="5"/>
        <v>182607280</v>
      </c>
      <c r="D118" s="694">
        <f>146098020+36509260</f>
        <v>182607280</v>
      </c>
      <c r="E118" s="315"/>
      <c r="F118" s="303"/>
      <c r="H118" s="572">
        <f>'1.2.sz.mell. '!C118+'1.3.sz.mell.'!C118+'1.4.sz.mell. '!C118</f>
        <v>182607280</v>
      </c>
      <c r="I118" s="574">
        <f t="shared" si="4"/>
        <v>0</v>
      </c>
    </row>
    <row r="119" spans="1:9" ht="12" customHeight="1" thickBot="1" x14ac:dyDescent="0.3">
      <c r="A119" s="14" t="s">
        <v>109</v>
      </c>
      <c r="B119" s="147" t="s">
        <v>181</v>
      </c>
      <c r="C119" s="693">
        <f t="shared" si="5"/>
        <v>65710721</v>
      </c>
      <c r="D119" s="303">
        <v>65710721</v>
      </c>
      <c r="E119" s="303"/>
      <c r="F119" s="303"/>
      <c r="H119" s="572">
        <f>'1.2.sz.mell. '!C119+'1.3.sz.mell.'!C119+'1.4.sz.mell. '!C119</f>
        <v>65710721</v>
      </c>
      <c r="I119" s="574">
        <f t="shared" si="4"/>
        <v>0</v>
      </c>
    </row>
    <row r="120" spans="1:9" ht="12" customHeight="1" thickBot="1" x14ac:dyDescent="0.3">
      <c r="A120" s="14" t="s">
        <v>118</v>
      </c>
      <c r="B120" s="146" t="s">
        <v>382</v>
      </c>
      <c r="C120" s="576">
        <f t="shared" si="5"/>
        <v>0</v>
      </c>
      <c r="D120" s="137"/>
      <c r="E120" s="137"/>
      <c r="F120" s="303"/>
      <c r="H120" s="572">
        <f>'1.2.sz.mell. '!C120+'1.3.sz.mell.'!C120+'1.4.sz.mell. '!C120</f>
        <v>0</v>
      </c>
      <c r="I120" s="574">
        <f t="shared" si="4"/>
        <v>0</v>
      </c>
    </row>
    <row r="121" spans="1:9" ht="12" customHeight="1" thickBot="1" x14ac:dyDescent="0.3">
      <c r="A121" s="14" t="s">
        <v>120</v>
      </c>
      <c r="B121" s="228" t="s">
        <v>325</v>
      </c>
      <c r="C121" s="576">
        <f t="shared" si="5"/>
        <v>0</v>
      </c>
      <c r="D121" s="137"/>
      <c r="E121" s="137"/>
      <c r="F121" s="303"/>
      <c r="H121" s="572">
        <f>'1.2.sz.mell. '!C121+'1.3.sz.mell.'!C121+'1.4.sz.mell. '!C121</f>
        <v>0</v>
      </c>
      <c r="I121" s="574">
        <f t="shared" si="4"/>
        <v>0</v>
      </c>
    </row>
    <row r="122" spans="1:9" ht="16.5" thickBot="1" x14ac:dyDescent="0.3">
      <c r="A122" s="14" t="s">
        <v>164</v>
      </c>
      <c r="B122" s="84" t="s">
        <v>308</v>
      </c>
      <c r="C122" s="576">
        <f t="shared" si="5"/>
        <v>0</v>
      </c>
      <c r="D122" s="137"/>
      <c r="E122" s="137"/>
      <c r="F122" s="303"/>
      <c r="H122" s="572">
        <f>'1.2.sz.mell. '!C122+'1.3.sz.mell.'!C122+'1.4.sz.mell. '!C122</f>
        <v>0</v>
      </c>
      <c r="I122" s="574">
        <f t="shared" si="4"/>
        <v>0</v>
      </c>
    </row>
    <row r="123" spans="1:9" ht="12" customHeight="1" thickBot="1" x14ac:dyDescent="0.3">
      <c r="A123" s="14" t="s">
        <v>165</v>
      </c>
      <c r="B123" s="84" t="s">
        <v>324</v>
      </c>
      <c r="C123" s="576">
        <f t="shared" si="5"/>
        <v>0</v>
      </c>
      <c r="D123" s="137"/>
      <c r="E123" s="137"/>
      <c r="F123" s="303"/>
      <c r="H123" s="572">
        <f>'1.2.sz.mell. '!C123+'1.3.sz.mell.'!C123+'1.4.sz.mell. '!C123</f>
        <v>0</v>
      </c>
      <c r="I123" s="574">
        <f t="shared" si="4"/>
        <v>0</v>
      </c>
    </row>
    <row r="124" spans="1:9" ht="12" customHeight="1" thickBot="1" x14ac:dyDescent="0.3">
      <c r="A124" s="14" t="s">
        <v>166</v>
      </c>
      <c r="B124" s="84" t="s">
        <v>323</v>
      </c>
      <c r="C124" s="576">
        <f t="shared" si="5"/>
        <v>0</v>
      </c>
      <c r="D124" s="137"/>
      <c r="E124" s="137"/>
      <c r="F124" s="303"/>
      <c r="H124" s="572">
        <f>'1.2.sz.mell. '!C124+'1.3.sz.mell.'!C124+'1.4.sz.mell. '!C124</f>
        <v>0</v>
      </c>
      <c r="I124" s="574">
        <f t="shared" si="4"/>
        <v>0</v>
      </c>
    </row>
    <row r="125" spans="1:9" ht="12" customHeight="1" thickBot="1" x14ac:dyDescent="0.3">
      <c r="A125" s="14" t="s">
        <v>316</v>
      </c>
      <c r="B125" s="84" t="s">
        <v>311</v>
      </c>
      <c r="C125" s="576">
        <f t="shared" si="5"/>
        <v>0</v>
      </c>
      <c r="D125" s="137"/>
      <c r="E125" s="137"/>
      <c r="F125" s="303"/>
      <c r="H125" s="572">
        <f>'1.2.sz.mell. '!C125+'1.3.sz.mell.'!C125+'1.4.sz.mell. '!C125</f>
        <v>0</v>
      </c>
      <c r="I125" s="574">
        <f t="shared" si="4"/>
        <v>0</v>
      </c>
    </row>
    <row r="126" spans="1:9" ht="12" customHeight="1" thickBot="1" x14ac:dyDescent="0.3">
      <c r="A126" s="14" t="s">
        <v>317</v>
      </c>
      <c r="B126" s="84" t="s">
        <v>322</v>
      </c>
      <c r="C126" s="576">
        <f t="shared" si="5"/>
        <v>0</v>
      </c>
      <c r="D126" s="137"/>
      <c r="E126" s="137"/>
      <c r="F126" s="303"/>
      <c r="H126" s="572">
        <f>'1.2.sz.mell. '!C126+'1.3.sz.mell.'!C126+'1.4.sz.mell. '!C126</f>
        <v>0</v>
      </c>
      <c r="I126" s="574">
        <f t="shared" si="4"/>
        <v>0</v>
      </c>
    </row>
    <row r="127" spans="1:9" ht="16.5" thickBot="1" x14ac:dyDescent="0.3">
      <c r="A127" s="12" t="s">
        <v>318</v>
      </c>
      <c r="B127" s="84" t="s">
        <v>321</v>
      </c>
      <c r="C127" s="699">
        <f t="shared" si="5"/>
        <v>65710721</v>
      </c>
      <c r="D127" s="307">
        <v>65710721</v>
      </c>
      <c r="E127" s="307"/>
      <c r="F127" s="307"/>
      <c r="H127" s="572">
        <f>'1.2.sz.mell. '!C127+'1.3.sz.mell.'!C127+'1.4.sz.mell. '!C127</f>
        <v>65710721</v>
      </c>
      <c r="I127" s="575">
        <f t="shared" si="4"/>
        <v>0</v>
      </c>
    </row>
    <row r="128" spans="1:9" ht="12" customHeight="1" thickBot="1" x14ac:dyDescent="0.3">
      <c r="A128" s="19" t="s">
        <v>25</v>
      </c>
      <c r="B128" s="698" t="s">
        <v>496</v>
      </c>
      <c r="C128" s="701">
        <f t="shared" si="5"/>
        <v>3004229949</v>
      </c>
      <c r="D128" s="326">
        <f>+D93+D114</f>
        <v>1230267756</v>
      </c>
      <c r="E128" s="150">
        <f>+E93+E114</f>
        <v>244350438</v>
      </c>
      <c r="F128" s="150">
        <f>+F93+F114</f>
        <v>1529611755</v>
      </c>
      <c r="H128" s="572">
        <f>'1.2.sz.mell. '!C128+'1.3.sz.mell.'!C128+'1.4.sz.mell. '!C128</f>
        <v>3004229949</v>
      </c>
      <c r="I128" s="572">
        <f t="shared" si="4"/>
        <v>0</v>
      </c>
    </row>
    <row r="129" spans="1:9" ht="12" customHeight="1" thickBot="1" x14ac:dyDescent="0.3">
      <c r="A129" s="19" t="s">
        <v>26</v>
      </c>
      <c r="B129" s="698" t="s">
        <v>497</v>
      </c>
      <c r="C129" s="701">
        <f t="shared" si="5"/>
        <v>108486704</v>
      </c>
      <c r="D129" s="326">
        <f>+D130+D131+D132</f>
        <v>108486704</v>
      </c>
      <c r="E129" s="150">
        <f>+E130+E131+E132</f>
        <v>0</v>
      </c>
      <c r="F129" s="150">
        <f>+F130+F131+F132</f>
        <v>0</v>
      </c>
      <c r="H129" s="572">
        <f>'1.2.sz.mell. '!C129+'1.3.sz.mell.'!C129+'1.4.sz.mell. '!C129</f>
        <v>108486704</v>
      </c>
      <c r="I129" s="572">
        <f t="shared" si="4"/>
        <v>0</v>
      </c>
    </row>
    <row r="130" spans="1:9" ht="12" customHeight="1" thickBot="1" x14ac:dyDescent="0.3">
      <c r="A130" s="14" t="s">
        <v>216</v>
      </c>
      <c r="B130" s="11" t="s">
        <v>498</v>
      </c>
      <c r="C130" s="693">
        <f t="shared" si="5"/>
        <v>8486704</v>
      </c>
      <c r="D130" s="303">
        <f>4042704+4444000</f>
        <v>8486704</v>
      </c>
      <c r="E130" s="303"/>
      <c r="F130" s="303"/>
      <c r="H130" s="572">
        <f>'1.2.sz.mell. '!C130+'1.3.sz.mell.'!C130+'1.4.sz.mell. '!C130</f>
        <v>8486704</v>
      </c>
      <c r="I130" s="573">
        <f t="shared" si="4"/>
        <v>0</v>
      </c>
    </row>
    <row r="131" spans="1:9" ht="12" customHeight="1" thickBot="1" x14ac:dyDescent="0.3">
      <c r="A131" s="14" t="s">
        <v>219</v>
      </c>
      <c r="B131" s="11" t="s">
        <v>499</v>
      </c>
      <c r="C131" s="693">
        <f t="shared" si="5"/>
        <v>100000000</v>
      </c>
      <c r="D131" s="137">
        <v>100000000</v>
      </c>
      <c r="E131" s="137"/>
      <c r="F131" s="137"/>
      <c r="H131" s="572">
        <f>'1.2.sz.mell. '!C131+'1.3.sz.mell.'!C131+'1.4.sz.mell. '!C131</f>
        <v>100000000</v>
      </c>
      <c r="I131" s="574">
        <f t="shared" si="4"/>
        <v>0</v>
      </c>
    </row>
    <row r="132" spans="1:9" ht="12" customHeight="1" thickBot="1" x14ac:dyDescent="0.3">
      <c r="A132" s="12" t="s">
        <v>220</v>
      </c>
      <c r="B132" s="11" t="s">
        <v>500</v>
      </c>
      <c r="C132" s="700">
        <f t="shared" si="5"/>
        <v>0</v>
      </c>
      <c r="D132" s="137"/>
      <c r="E132" s="137"/>
      <c r="F132" s="137"/>
      <c r="H132" s="572">
        <f>'1.2.sz.mell. '!C132+'1.3.sz.mell.'!C132+'1.4.sz.mell. '!C132</f>
        <v>0</v>
      </c>
      <c r="I132" s="575">
        <f t="shared" si="4"/>
        <v>0</v>
      </c>
    </row>
    <row r="133" spans="1:9" ht="12" customHeight="1" thickBot="1" x14ac:dyDescent="0.3">
      <c r="A133" s="19" t="s">
        <v>27</v>
      </c>
      <c r="B133" s="698" t="s">
        <v>501</v>
      </c>
      <c r="C133" s="701">
        <f t="shared" si="5"/>
        <v>0</v>
      </c>
      <c r="D133" s="326">
        <f>+D134+D135+D136+D137+D138+D139</f>
        <v>0</v>
      </c>
      <c r="E133" s="150">
        <f>+E134+E135+E136+E137+E138+E139</f>
        <v>0</v>
      </c>
      <c r="F133" s="150">
        <f>SUM(F134:F139)</f>
        <v>0</v>
      </c>
      <c r="H133" s="572">
        <f>'1.2.sz.mell. '!C133+'1.3.sz.mell.'!C133+'1.4.sz.mell. '!C133</f>
        <v>0</v>
      </c>
      <c r="I133" s="572">
        <f t="shared" si="4"/>
        <v>0</v>
      </c>
    </row>
    <row r="134" spans="1:9" ht="12" customHeight="1" thickBot="1" x14ac:dyDescent="0.3">
      <c r="A134" s="14" t="s">
        <v>92</v>
      </c>
      <c r="B134" s="8" t="s">
        <v>502</v>
      </c>
      <c r="C134" s="696">
        <f t="shared" si="5"/>
        <v>0</v>
      </c>
      <c r="D134" s="137"/>
      <c r="E134" s="137"/>
      <c r="F134" s="137"/>
      <c r="H134" s="572">
        <f>'1.2.sz.mell. '!C134+'1.3.sz.mell.'!C134+'1.4.sz.mell. '!C134</f>
        <v>0</v>
      </c>
      <c r="I134" s="573">
        <f t="shared" si="4"/>
        <v>0</v>
      </c>
    </row>
    <row r="135" spans="1:9" ht="12" customHeight="1" thickBot="1" x14ac:dyDescent="0.3">
      <c r="A135" s="14" t="s">
        <v>93</v>
      </c>
      <c r="B135" s="8" t="s">
        <v>503</v>
      </c>
      <c r="C135" s="696">
        <f t="shared" si="5"/>
        <v>0</v>
      </c>
      <c r="D135" s="137"/>
      <c r="E135" s="137"/>
      <c r="F135" s="137"/>
      <c r="H135" s="572">
        <f>'1.2.sz.mell. '!C135+'1.3.sz.mell.'!C135+'1.4.sz.mell. '!C135</f>
        <v>0</v>
      </c>
      <c r="I135" s="574">
        <f t="shared" si="4"/>
        <v>0</v>
      </c>
    </row>
    <row r="136" spans="1:9" ht="12" customHeight="1" thickBot="1" x14ac:dyDescent="0.3">
      <c r="A136" s="14" t="s">
        <v>94</v>
      </c>
      <c r="B136" s="8" t="s">
        <v>504</v>
      </c>
      <c r="C136" s="696">
        <f t="shared" si="5"/>
        <v>0</v>
      </c>
      <c r="D136" s="137"/>
      <c r="E136" s="137"/>
      <c r="F136" s="137"/>
      <c r="H136" s="572">
        <f>'1.2.sz.mell. '!C136+'1.3.sz.mell.'!C136+'1.4.sz.mell. '!C136</f>
        <v>0</v>
      </c>
      <c r="I136" s="574">
        <f t="shared" si="4"/>
        <v>0</v>
      </c>
    </row>
    <row r="137" spans="1:9" ht="12" customHeight="1" thickBot="1" x14ac:dyDescent="0.3">
      <c r="A137" s="14" t="s">
        <v>151</v>
      </c>
      <c r="B137" s="8" t="s">
        <v>505</v>
      </c>
      <c r="C137" s="696">
        <f t="shared" si="5"/>
        <v>0</v>
      </c>
      <c r="D137" s="137"/>
      <c r="E137" s="137"/>
      <c r="F137" s="137"/>
      <c r="H137" s="572">
        <f>'1.2.sz.mell. '!C137+'1.3.sz.mell.'!C137+'1.4.sz.mell. '!C137</f>
        <v>0</v>
      </c>
      <c r="I137" s="574">
        <f t="shared" si="4"/>
        <v>0</v>
      </c>
    </row>
    <row r="138" spans="1:9" ht="12" customHeight="1" thickBot="1" x14ac:dyDescent="0.3">
      <c r="A138" s="14" t="s">
        <v>152</v>
      </c>
      <c r="B138" s="8" t="s">
        <v>506</v>
      </c>
      <c r="C138" s="696">
        <f t="shared" si="5"/>
        <v>0</v>
      </c>
      <c r="D138" s="137"/>
      <c r="E138" s="137"/>
      <c r="F138" s="137"/>
      <c r="H138" s="572">
        <f>'1.2.sz.mell. '!C138+'1.3.sz.mell.'!C138+'1.4.sz.mell. '!C138</f>
        <v>0</v>
      </c>
      <c r="I138" s="574">
        <f t="shared" si="4"/>
        <v>0</v>
      </c>
    </row>
    <row r="139" spans="1:9" ht="12" customHeight="1" thickBot="1" x14ac:dyDescent="0.3">
      <c r="A139" s="12" t="s">
        <v>153</v>
      </c>
      <c r="B139" s="8" t="s">
        <v>507</v>
      </c>
      <c r="C139" s="700">
        <f t="shared" si="5"/>
        <v>0</v>
      </c>
      <c r="D139" s="137"/>
      <c r="E139" s="137"/>
      <c r="F139" s="137"/>
      <c r="H139" s="572">
        <f>'1.2.sz.mell. '!C139+'1.3.sz.mell.'!C139+'1.4.sz.mell. '!C139</f>
        <v>0</v>
      </c>
      <c r="I139" s="575">
        <f t="shared" si="4"/>
        <v>0</v>
      </c>
    </row>
    <row r="140" spans="1:9" ht="12" customHeight="1" thickBot="1" x14ac:dyDescent="0.3">
      <c r="A140" s="19" t="s">
        <v>28</v>
      </c>
      <c r="B140" s="698" t="s">
        <v>508</v>
      </c>
      <c r="C140" s="701">
        <f t="shared" si="5"/>
        <v>38167591</v>
      </c>
      <c r="D140" s="329">
        <f>+D141+D142+D143+D144</f>
        <v>38167591</v>
      </c>
      <c r="E140" s="155">
        <f>+E141+E142+E143+E144</f>
        <v>0</v>
      </c>
      <c r="F140" s="155">
        <f>+F141+F142+F143+F144</f>
        <v>0</v>
      </c>
      <c r="H140" s="572">
        <f>'1.2.sz.mell. '!C140+'1.3.sz.mell.'!C140+'1.4.sz.mell. '!C140</f>
        <v>38167591</v>
      </c>
      <c r="I140" s="572">
        <f t="shared" si="4"/>
        <v>0</v>
      </c>
    </row>
    <row r="141" spans="1:9" ht="12" customHeight="1" thickBot="1" x14ac:dyDescent="0.3">
      <c r="A141" s="14" t="s">
        <v>95</v>
      </c>
      <c r="B141" s="8" t="s">
        <v>326</v>
      </c>
      <c r="C141" s="696">
        <f t="shared" si="5"/>
        <v>0</v>
      </c>
      <c r="D141" s="137"/>
      <c r="E141" s="137"/>
      <c r="F141" s="137"/>
      <c r="H141" s="572">
        <f>'1.2.sz.mell. '!C141+'1.3.sz.mell.'!C141+'1.4.sz.mell. '!C141</f>
        <v>0</v>
      </c>
      <c r="I141" s="573">
        <f t="shared" si="4"/>
        <v>0</v>
      </c>
    </row>
    <row r="142" spans="1:9" ht="12" customHeight="1" thickBot="1" x14ac:dyDescent="0.3">
      <c r="A142" s="14" t="s">
        <v>96</v>
      </c>
      <c r="B142" s="8" t="s">
        <v>327</v>
      </c>
      <c r="C142" s="693">
        <f t="shared" si="5"/>
        <v>38167591</v>
      </c>
      <c r="D142" s="137">
        <v>38167591</v>
      </c>
      <c r="E142" s="137"/>
      <c r="F142" s="137"/>
      <c r="H142" s="572">
        <f>'1.2.sz.mell. '!C142+'1.3.sz.mell.'!C142+'1.4.sz.mell. '!C142</f>
        <v>38167591</v>
      </c>
      <c r="I142" s="574">
        <f t="shared" si="4"/>
        <v>0</v>
      </c>
    </row>
    <row r="143" spans="1:9" ht="12" customHeight="1" thickBot="1" x14ac:dyDescent="0.3">
      <c r="A143" s="14" t="s">
        <v>240</v>
      </c>
      <c r="B143" s="8" t="s">
        <v>509</v>
      </c>
      <c r="C143" s="696">
        <f t="shared" si="5"/>
        <v>0</v>
      </c>
      <c r="D143" s="137"/>
      <c r="E143" s="137"/>
      <c r="F143" s="137"/>
      <c r="H143" s="572">
        <f>'1.2.sz.mell. '!C143+'1.3.sz.mell.'!C143+'1.4.sz.mell. '!C143</f>
        <v>0</v>
      </c>
      <c r="I143" s="574">
        <f t="shared" si="4"/>
        <v>0</v>
      </c>
    </row>
    <row r="144" spans="1:9" ht="12" customHeight="1" thickBot="1" x14ac:dyDescent="0.3">
      <c r="A144" s="12" t="s">
        <v>241</v>
      </c>
      <c r="B144" s="6" t="s">
        <v>345</v>
      </c>
      <c r="C144" s="700">
        <f t="shared" si="5"/>
        <v>0</v>
      </c>
      <c r="D144" s="137"/>
      <c r="E144" s="137"/>
      <c r="F144" s="137"/>
      <c r="H144" s="572">
        <f>'1.2.sz.mell. '!C144+'1.3.sz.mell.'!C144+'1.4.sz.mell. '!C144</f>
        <v>0</v>
      </c>
      <c r="I144" s="575">
        <f t="shared" si="4"/>
        <v>0</v>
      </c>
    </row>
    <row r="145" spans="1:9" ht="12" customHeight="1" thickBot="1" x14ac:dyDescent="0.3">
      <c r="A145" s="19" t="s">
        <v>29</v>
      </c>
      <c r="B145" s="698" t="s">
        <v>510</v>
      </c>
      <c r="C145" s="701">
        <f t="shared" si="5"/>
        <v>0</v>
      </c>
      <c r="D145" s="338">
        <f>+D146+D147+D148+D149+D150</f>
        <v>0</v>
      </c>
      <c r="E145" s="158">
        <f>+E146+E147+E148+E149+E150</f>
        <v>0</v>
      </c>
      <c r="F145" s="158">
        <f>SUM(F146:F150)</f>
        <v>0</v>
      </c>
      <c r="H145" s="572">
        <f>'1.2.sz.mell. '!C145+'1.3.sz.mell.'!C145+'1.4.sz.mell. '!C145</f>
        <v>0</v>
      </c>
      <c r="I145" s="572">
        <f t="shared" si="4"/>
        <v>0</v>
      </c>
    </row>
    <row r="146" spans="1:9" ht="12" customHeight="1" thickBot="1" x14ac:dyDescent="0.3">
      <c r="A146" s="14" t="s">
        <v>97</v>
      </c>
      <c r="B146" s="8" t="s">
        <v>511</v>
      </c>
      <c r="C146" s="696">
        <f t="shared" si="5"/>
        <v>0</v>
      </c>
      <c r="D146" s="137"/>
      <c r="E146" s="137"/>
      <c r="F146" s="137"/>
      <c r="H146" s="572">
        <f>'1.2.sz.mell. '!C146+'1.3.sz.mell.'!C146+'1.4.sz.mell. '!C146</f>
        <v>0</v>
      </c>
      <c r="I146" s="573">
        <f t="shared" si="4"/>
        <v>0</v>
      </c>
    </row>
    <row r="147" spans="1:9" ht="12" customHeight="1" thickBot="1" x14ac:dyDescent="0.3">
      <c r="A147" s="14" t="s">
        <v>98</v>
      </c>
      <c r="B147" s="8" t="s">
        <v>512</v>
      </c>
      <c r="C147" s="696">
        <f t="shared" si="5"/>
        <v>0</v>
      </c>
      <c r="D147" s="137"/>
      <c r="E147" s="137"/>
      <c r="F147" s="137"/>
      <c r="H147" s="572">
        <f>'1.2.sz.mell. '!C147+'1.3.sz.mell.'!C147+'1.4.sz.mell. '!C147</f>
        <v>0</v>
      </c>
      <c r="I147" s="574">
        <f t="shared" si="4"/>
        <v>0</v>
      </c>
    </row>
    <row r="148" spans="1:9" ht="12" customHeight="1" thickBot="1" x14ac:dyDescent="0.3">
      <c r="A148" s="14" t="s">
        <v>252</v>
      </c>
      <c r="B148" s="8" t="s">
        <v>513</v>
      </c>
      <c r="C148" s="696">
        <f t="shared" si="5"/>
        <v>0</v>
      </c>
      <c r="D148" s="137"/>
      <c r="E148" s="137"/>
      <c r="F148" s="137"/>
      <c r="H148" s="572">
        <f>'1.2.sz.mell. '!C148+'1.3.sz.mell.'!C148+'1.4.sz.mell. '!C148</f>
        <v>0</v>
      </c>
      <c r="I148" s="574">
        <f t="shared" si="4"/>
        <v>0</v>
      </c>
    </row>
    <row r="149" spans="1:9" ht="12" customHeight="1" thickBot="1" x14ac:dyDescent="0.3">
      <c r="A149" s="14" t="s">
        <v>253</v>
      </c>
      <c r="B149" s="8" t="s">
        <v>514</v>
      </c>
      <c r="C149" s="696">
        <f t="shared" si="5"/>
        <v>0</v>
      </c>
      <c r="D149" s="137"/>
      <c r="E149" s="137"/>
      <c r="F149" s="137"/>
      <c r="H149" s="572">
        <f>'1.2.sz.mell. '!C149+'1.3.sz.mell.'!C149+'1.4.sz.mell. '!C149</f>
        <v>0</v>
      </c>
      <c r="I149" s="574">
        <f t="shared" si="4"/>
        <v>0</v>
      </c>
    </row>
    <row r="150" spans="1:9" ht="12" customHeight="1" thickBot="1" x14ac:dyDescent="0.3">
      <c r="A150" s="14" t="s">
        <v>515</v>
      </c>
      <c r="B150" s="8" t="s">
        <v>516</v>
      </c>
      <c r="C150" s="700">
        <f t="shared" si="5"/>
        <v>0</v>
      </c>
      <c r="D150" s="138"/>
      <c r="E150" s="138"/>
      <c r="F150" s="137"/>
      <c r="H150" s="572">
        <f>'1.2.sz.mell. '!C150+'1.3.sz.mell.'!C150+'1.4.sz.mell. '!C150</f>
        <v>0</v>
      </c>
      <c r="I150" s="575">
        <f t="shared" si="4"/>
        <v>0</v>
      </c>
    </row>
    <row r="151" spans="1:9" ht="12" customHeight="1" thickBot="1" x14ac:dyDescent="0.3">
      <c r="A151" s="19" t="s">
        <v>30</v>
      </c>
      <c r="B151" s="698" t="s">
        <v>517</v>
      </c>
      <c r="C151" s="701">
        <f t="shared" si="5"/>
        <v>0</v>
      </c>
      <c r="D151" s="338"/>
      <c r="E151" s="158"/>
      <c r="F151" s="295"/>
      <c r="H151" s="572">
        <f>'1.2.sz.mell. '!C151+'1.3.sz.mell.'!C151+'1.4.sz.mell. '!C151</f>
        <v>0</v>
      </c>
      <c r="I151" s="572">
        <f t="shared" si="4"/>
        <v>0</v>
      </c>
    </row>
    <row r="152" spans="1:9" ht="12" customHeight="1" thickBot="1" x14ac:dyDescent="0.3">
      <c r="A152" s="19" t="s">
        <v>31</v>
      </c>
      <c r="B152" s="698" t="s">
        <v>518</v>
      </c>
      <c r="C152" s="701">
        <f t="shared" si="5"/>
        <v>0</v>
      </c>
      <c r="D152" s="338"/>
      <c r="E152" s="158"/>
      <c r="F152" s="295"/>
      <c r="H152" s="572">
        <f>'1.2.sz.mell. '!C152+'1.3.sz.mell.'!C152+'1.4.sz.mell. '!C152</f>
        <v>0</v>
      </c>
      <c r="I152" s="572">
        <f t="shared" si="4"/>
        <v>0</v>
      </c>
    </row>
    <row r="153" spans="1:9" ht="15" customHeight="1" thickBot="1" x14ac:dyDescent="0.3">
      <c r="A153" s="19" t="s">
        <v>32</v>
      </c>
      <c r="B153" s="698" t="s">
        <v>519</v>
      </c>
      <c r="C153" s="701">
        <f t="shared" si="5"/>
        <v>146654295</v>
      </c>
      <c r="D153" s="339">
        <f>+D129+D133+D140+D145+D151+D152</f>
        <v>146654295</v>
      </c>
      <c r="E153" s="242">
        <f>+E129+E133+E140+E145+E151+E152</f>
        <v>0</v>
      </c>
      <c r="F153" s="242">
        <f>+F129+F133+F140+F145+F151+F152</f>
        <v>0</v>
      </c>
      <c r="G153" s="243"/>
      <c r="H153" s="572">
        <f>'1.2.sz.mell. '!C153+'1.3.sz.mell.'!C153+'1.4.sz.mell. '!C153</f>
        <v>146654295</v>
      </c>
      <c r="I153" s="572">
        <f t="shared" si="4"/>
        <v>0</v>
      </c>
    </row>
    <row r="154" spans="1:9" s="231" customFormat="1" ht="12.95" customHeight="1" thickBot="1" x14ac:dyDescent="0.25">
      <c r="A154" s="148" t="s">
        <v>33</v>
      </c>
      <c r="B154" s="702" t="s">
        <v>520</v>
      </c>
      <c r="C154" s="701">
        <f t="shared" si="5"/>
        <v>3150884244</v>
      </c>
      <c r="D154" s="339">
        <f>+D128+D153</f>
        <v>1376922051</v>
      </c>
      <c r="E154" s="242">
        <f>+E128+E153</f>
        <v>244350438</v>
      </c>
      <c r="F154" s="242">
        <f>+F128+F153</f>
        <v>1529611755</v>
      </c>
      <c r="H154" s="572">
        <f>'1.2.sz.mell. '!C154+'1.3.sz.mell.'!C154+'1.4.sz.mell. '!C154</f>
        <v>3150884244</v>
      </c>
      <c r="I154" s="572">
        <f t="shared" si="4"/>
        <v>0</v>
      </c>
    </row>
    <row r="155" spans="1:9" ht="7.5" customHeight="1" x14ac:dyDescent="0.25">
      <c r="C155" s="219"/>
    </row>
    <row r="156" spans="1:9" x14ac:dyDescent="0.25">
      <c r="A156" s="989" t="s">
        <v>328</v>
      </c>
      <c r="B156" s="989"/>
      <c r="C156" s="989"/>
    </row>
    <row r="157" spans="1:9" ht="15" customHeight="1" thickBot="1" x14ac:dyDescent="0.3">
      <c r="A157" s="986" t="s">
        <v>141</v>
      </c>
      <c r="B157" s="986"/>
      <c r="C157" s="159" t="s">
        <v>596</v>
      </c>
    </row>
    <row r="158" spans="1:9" ht="13.5" customHeight="1" thickBot="1" x14ac:dyDescent="0.3">
      <c r="A158" s="19">
        <v>1</v>
      </c>
      <c r="B158" s="24" t="s">
        <v>521</v>
      </c>
      <c r="C158" s="150">
        <f>+C62-C128</f>
        <v>-667501367</v>
      </c>
    </row>
    <row r="159" spans="1:9" ht="27.75" customHeight="1" thickBot="1" x14ac:dyDescent="0.3">
      <c r="A159" s="19" t="s">
        <v>24</v>
      </c>
      <c r="B159" s="24" t="s">
        <v>522</v>
      </c>
      <c r="C159" s="150">
        <f>+C86-C153</f>
        <v>667501367</v>
      </c>
      <c r="H159" s="570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8/2018.(IV.27.)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8"/>
  <sheetViews>
    <sheetView tabSelected="1" topLeftCell="B1" zoomScale="115" zoomScaleNormal="115" zoomScaleSheetLayoutView="85" workbookViewId="0">
      <selection activeCell="J91" sqref="J91"/>
    </sheetView>
  </sheetViews>
  <sheetFormatPr defaultRowHeight="12.75" x14ac:dyDescent="0.2"/>
  <cols>
    <col min="1" max="1" width="19.5" style="593" customWidth="1"/>
    <col min="2" max="2" width="72" style="594" customWidth="1"/>
    <col min="3" max="3" width="25" style="595" customWidth="1"/>
    <col min="4" max="4" width="16.6640625" style="584" hidden="1" customWidth="1"/>
    <col min="5" max="5" width="11.83203125" style="584" hidden="1" customWidth="1"/>
    <col min="6" max="6" width="11.83203125" style="583" hidden="1" customWidth="1"/>
    <col min="7" max="16384" width="9.33203125" style="2"/>
  </cols>
  <sheetData>
    <row r="1" spans="1:6" s="1" customFormat="1" ht="16.5" customHeight="1" thickBot="1" x14ac:dyDescent="0.25">
      <c r="A1" s="110"/>
      <c r="B1" s="112"/>
      <c r="C1" s="135"/>
      <c r="D1" s="584"/>
      <c r="E1" s="584"/>
      <c r="F1" s="583"/>
    </row>
    <row r="2" spans="1:6" s="56" customFormat="1" ht="21" customHeight="1" x14ac:dyDescent="0.2">
      <c r="A2" s="222" t="s">
        <v>67</v>
      </c>
      <c r="B2" s="199" t="s">
        <v>176</v>
      </c>
      <c r="C2" s="201" t="s">
        <v>58</v>
      </c>
      <c r="D2" s="586"/>
      <c r="E2" s="586"/>
      <c r="F2" s="585"/>
    </row>
    <row r="3" spans="1:6" s="56" customFormat="1" ht="16.5" thickBot="1" x14ac:dyDescent="0.25">
      <c r="A3" s="113" t="s">
        <v>172</v>
      </c>
      <c r="B3" s="200" t="s">
        <v>353</v>
      </c>
      <c r="C3" s="298" t="s">
        <v>58</v>
      </c>
      <c r="D3" s="586"/>
      <c r="E3" s="586"/>
      <c r="F3" s="585"/>
    </row>
    <row r="4" spans="1:6" s="57" customFormat="1" ht="15.95" customHeight="1" thickBot="1" x14ac:dyDescent="0.3">
      <c r="A4" s="114"/>
      <c r="B4" s="114"/>
      <c r="C4" s="115" t="s">
        <v>596</v>
      </c>
      <c r="D4" s="586"/>
      <c r="E4" s="586"/>
      <c r="F4" s="585"/>
    </row>
    <row r="5" spans="1:6" ht="13.5" thickBot="1" x14ac:dyDescent="0.25">
      <c r="A5" s="223" t="s">
        <v>174</v>
      </c>
      <c r="B5" s="116" t="s">
        <v>59</v>
      </c>
      <c r="C5" s="202" t="s">
        <v>60</v>
      </c>
    </row>
    <row r="6" spans="1:6" s="44" customFormat="1" ht="12.95" customHeight="1" thickBot="1" x14ac:dyDescent="0.25">
      <c r="A6" s="92" t="s">
        <v>469</v>
      </c>
      <c r="B6" s="93" t="s">
        <v>470</v>
      </c>
      <c r="C6" s="94" t="s">
        <v>471</v>
      </c>
      <c r="D6" s="584"/>
      <c r="E6" s="584"/>
      <c r="F6" s="587"/>
    </row>
    <row r="7" spans="1:6" s="44" customFormat="1" ht="15.95" customHeight="1" thickBot="1" x14ac:dyDescent="0.25">
      <c r="A7" s="118"/>
      <c r="B7" s="119" t="s">
        <v>61</v>
      </c>
      <c r="C7" s="203"/>
      <c r="D7" s="584"/>
      <c r="E7" s="584"/>
      <c r="F7" s="587"/>
    </row>
    <row r="8" spans="1:6" s="44" customFormat="1" ht="12" customHeight="1" thickBot="1" x14ac:dyDescent="0.25">
      <c r="A8" s="26" t="s">
        <v>23</v>
      </c>
      <c r="B8" s="20" t="s">
        <v>200</v>
      </c>
      <c r="C8" s="150">
        <f>+C9+C10+C11+C12+C13+C14</f>
        <v>1319904176</v>
      </c>
      <c r="D8" s="588">
        <f>'9.1.1. sz. mell. '!C8+'9.1.2. sz. mell.'!C8</f>
        <v>1319904176</v>
      </c>
      <c r="E8" s="588">
        <f t="shared" ref="E8:E39" si="0">C8-D8</f>
        <v>0</v>
      </c>
      <c r="F8" s="587">
        <f>C8-D8</f>
        <v>0</v>
      </c>
    </row>
    <row r="9" spans="1:6" s="58" customFormat="1" ht="12" customHeight="1" thickBot="1" x14ac:dyDescent="0.25">
      <c r="A9" s="246" t="s">
        <v>99</v>
      </c>
      <c r="B9" s="232" t="s">
        <v>201</v>
      </c>
      <c r="C9" s="270">
        <v>227855923</v>
      </c>
      <c r="D9" s="588">
        <f>'9.1.1. sz. mell. '!C9+'9.1.2. sz. mell.'!C9</f>
        <v>227855923</v>
      </c>
      <c r="E9" s="589">
        <f t="shared" si="0"/>
        <v>0</v>
      </c>
      <c r="F9" s="587">
        <f t="shared" ref="F9:F72" si="1">C9-D9</f>
        <v>0</v>
      </c>
    </row>
    <row r="10" spans="1:6" s="59" customFormat="1" ht="12" customHeight="1" thickBot="1" x14ac:dyDescent="0.25">
      <c r="A10" s="247" t="s">
        <v>100</v>
      </c>
      <c r="B10" s="233" t="s">
        <v>202</v>
      </c>
      <c r="C10" s="154">
        <v>224734134</v>
      </c>
      <c r="D10" s="588">
        <f>'9.1.1. sz. mell. '!C10+'9.1.2. sz. mell.'!C10</f>
        <v>224734134</v>
      </c>
      <c r="E10" s="590">
        <f t="shared" si="0"/>
        <v>0</v>
      </c>
      <c r="F10" s="587">
        <f t="shared" si="1"/>
        <v>0</v>
      </c>
    </row>
    <row r="11" spans="1:6" s="59" customFormat="1" ht="12" customHeight="1" thickBot="1" x14ac:dyDescent="0.25">
      <c r="A11" s="247" t="s">
        <v>101</v>
      </c>
      <c r="B11" s="233" t="s">
        <v>203</v>
      </c>
      <c r="C11" s="154">
        <f>126991000+65060600+119410000+192410145+62092600</f>
        <v>565964345</v>
      </c>
      <c r="D11" s="588">
        <f>'9.1.1. sz. mell. '!C11+'9.1.2. sz. mell.'!C11</f>
        <v>565964345</v>
      </c>
      <c r="E11" s="590">
        <f t="shared" si="0"/>
        <v>0</v>
      </c>
      <c r="F11" s="587">
        <f t="shared" si="1"/>
        <v>0</v>
      </c>
    </row>
    <row r="12" spans="1:6" s="59" customFormat="1" ht="12" customHeight="1" thickBot="1" x14ac:dyDescent="0.25">
      <c r="A12" s="247" t="s">
        <v>102</v>
      </c>
      <c r="B12" s="233" t="s">
        <v>204</v>
      </c>
      <c r="C12" s="154">
        <f>16122040+12622000</f>
        <v>28744040</v>
      </c>
      <c r="D12" s="588">
        <f>'9.1.1. sz. mell. '!C12+'9.1.2. sz. mell.'!C12</f>
        <v>28744040</v>
      </c>
      <c r="E12" s="590">
        <f t="shared" si="0"/>
        <v>0</v>
      </c>
      <c r="F12" s="587">
        <f t="shared" si="1"/>
        <v>0</v>
      </c>
    </row>
    <row r="13" spans="1:6" s="59" customFormat="1" ht="12" customHeight="1" thickBot="1" x14ac:dyDescent="0.25">
      <c r="A13" s="247" t="s">
        <v>136</v>
      </c>
      <c r="B13" s="233" t="s">
        <v>533</v>
      </c>
      <c r="C13" s="885">
        <f>16254886+63796813+190231327+1309600+1013108</f>
        <v>272605734</v>
      </c>
      <c r="D13" s="588">
        <f>'9.1.1. sz. mell. '!C13+'9.1.2. sz. mell.'!C13</f>
        <v>272605734</v>
      </c>
      <c r="E13" s="590">
        <f t="shared" si="0"/>
        <v>0</v>
      </c>
      <c r="F13" s="587">
        <f t="shared" si="1"/>
        <v>0</v>
      </c>
    </row>
    <row r="14" spans="1:6" s="58" customFormat="1" ht="12" customHeight="1" thickBot="1" x14ac:dyDescent="0.25">
      <c r="A14" s="248" t="s">
        <v>103</v>
      </c>
      <c r="B14" s="234" t="s">
        <v>473</v>
      </c>
      <c r="C14" s="154"/>
      <c r="D14" s="588">
        <f>'9.1.1. sz. mell. '!C14+'9.1.2. sz. mell.'!C14</f>
        <v>0</v>
      </c>
      <c r="E14" s="591">
        <f t="shared" si="0"/>
        <v>0</v>
      </c>
      <c r="F14" s="587">
        <f t="shared" si="1"/>
        <v>0</v>
      </c>
    </row>
    <row r="15" spans="1:6" s="58" customFormat="1" ht="12" customHeight="1" thickBot="1" x14ac:dyDescent="0.25">
      <c r="A15" s="26" t="s">
        <v>24</v>
      </c>
      <c r="B15" s="145" t="s">
        <v>205</v>
      </c>
      <c r="C15" s="150">
        <f>+C16+C17+C18+C19+C20</f>
        <v>158357110</v>
      </c>
      <c r="D15" s="588">
        <f>'9.1.1. sz. mell. '!C15+'9.1.2. sz. mell.'!C15</f>
        <v>158357110</v>
      </c>
      <c r="E15" s="588">
        <f t="shared" si="0"/>
        <v>0</v>
      </c>
      <c r="F15" s="587">
        <f t="shared" si="1"/>
        <v>0</v>
      </c>
    </row>
    <row r="16" spans="1:6" s="58" customFormat="1" ht="12" customHeight="1" thickBot="1" x14ac:dyDescent="0.25">
      <c r="A16" s="246" t="s">
        <v>105</v>
      </c>
      <c r="B16" s="232" t="s">
        <v>206</v>
      </c>
      <c r="C16" s="152"/>
      <c r="D16" s="588">
        <f>'9.1.1. sz. mell. '!C16+'9.1.2. sz. mell.'!C16</f>
        <v>0</v>
      </c>
      <c r="E16" s="589">
        <f t="shared" si="0"/>
        <v>0</v>
      </c>
      <c r="F16" s="587">
        <f t="shared" si="1"/>
        <v>0</v>
      </c>
    </row>
    <row r="17" spans="1:6" s="58" customFormat="1" ht="12" customHeight="1" thickBot="1" x14ac:dyDescent="0.25">
      <c r="A17" s="247" t="s">
        <v>106</v>
      </c>
      <c r="B17" s="233" t="s">
        <v>207</v>
      </c>
      <c r="C17" s="151"/>
      <c r="D17" s="588">
        <f>'9.1.1. sz. mell. '!C17+'9.1.2. sz. mell.'!C17</f>
        <v>0</v>
      </c>
      <c r="E17" s="590">
        <f t="shared" si="0"/>
        <v>0</v>
      </c>
      <c r="F17" s="587">
        <f t="shared" si="1"/>
        <v>0</v>
      </c>
    </row>
    <row r="18" spans="1:6" s="58" customFormat="1" ht="12" customHeight="1" thickBot="1" x14ac:dyDescent="0.25">
      <c r="A18" s="247" t="s">
        <v>107</v>
      </c>
      <c r="B18" s="233" t="s">
        <v>376</v>
      </c>
      <c r="C18" s="154"/>
      <c r="D18" s="588">
        <f>'9.1.1. sz. mell. '!C18+'9.1.2. sz. mell.'!C18</f>
        <v>0</v>
      </c>
      <c r="E18" s="590">
        <f t="shared" si="0"/>
        <v>0</v>
      </c>
      <c r="F18" s="587">
        <f t="shared" si="1"/>
        <v>0</v>
      </c>
    </row>
    <row r="19" spans="1:6" s="58" customFormat="1" ht="12" customHeight="1" thickBot="1" x14ac:dyDescent="0.25">
      <c r="A19" s="247" t="s">
        <v>108</v>
      </c>
      <c r="B19" s="233" t="s">
        <v>377</v>
      </c>
      <c r="C19" s="154"/>
      <c r="D19" s="588">
        <f>'9.1.1. sz. mell. '!C19+'9.1.2. sz. mell.'!C19</f>
        <v>0</v>
      </c>
      <c r="E19" s="590">
        <f t="shared" si="0"/>
        <v>0</v>
      </c>
      <c r="F19" s="587">
        <f t="shared" si="1"/>
        <v>0</v>
      </c>
    </row>
    <row r="20" spans="1:6" s="58" customFormat="1" ht="12" customHeight="1" thickBot="1" x14ac:dyDescent="0.25">
      <c r="A20" s="247" t="s">
        <v>109</v>
      </c>
      <c r="B20" s="233" t="s">
        <v>208</v>
      </c>
      <c r="C20" s="308">
        <f>3900000+4320000+125887110+24250000</f>
        <v>158357110</v>
      </c>
      <c r="D20" s="588">
        <f>'9.1.1. sz. mell. '!C20+'9.1.2. sz. mell.'!C20</f>
        <v>158357110</v>
      </c>
      <c r="E20" s="590">
        <f t="shared" si="0"/>
        <v>0</v>
      </c>
      <c r="F20" s="587">
        <f t="shared" si="1"/>
        <v>0</v>
      </c>
    </row>
    <row r="21" spans="1:6" s="59" customFormat="1" ht="12" customHeight="1" thickBot="1" x14ac:dyDescent="0.25">
      <c r="A21" s="248" t="s">
        <v>118</v>
      </c>
      <c r="B21" s="234" t="s">
        <v>209</v>
      </c>
      <c r="C21" s="221"/>
      <c r="D21" s="588">
        <f>'9.1.1. sz. mell. '!C21+'9.1.2. sz. mell.'!C21</f>
        <v>0</v>
      </c>
      <c r="E21" s="591">
        <f t="shared" si="0"/>
        <v>0</v>
      </c>
      <c r="F21" s="587">
        <f t="shared" si="1"/>
        <v>0</v>
      </c>
    </row>
    <row r="22" spans="1:6" s="59" customFormat="1" ht="12" customHeight="1" thickBot="1" x14ac:dyDescent="0.25">
      <c r="A22" s="26" t="s">
        <v>25</v>
      </c>
      <c r="B22" s="20" t="s">
        <v>210</v>
      </c>
      <c r="C22" s="150">
        <f>+C23+C24+C25+C26+C27</f>
        <v>13442271</v>
      </c>
      <c r="D22" s="588">
        <f>'9.1.1. sz. mell. '!C22+'9.1.2. sz. mell.'!C22</f>
        <v>13442271</v>
      </c>
      <c r="E22" s="588">
        <f t="shared" si="0"/>
        <v>0</v>
      </c>
      <c r="F22" s="587">
        <f t="shared" si="1"/>
        <v>0</v>
      </c>
    </row>
    <row r="23" spans="1:6" s="59" customFormat="1" ht="12" customHeight="1" thickBot="1" x14ac:dyDescent="0.25">
      <c r="A23" s="246" t="s">
        <v>88</v>
      </c>
      <c r="B23" s="232" t="s">
        <v>211</v>
      </c>
      <c r="C23" s="270"/>
      <c r="D23" s="588">
        <f>'9.1.1. sz. mell. '!C23+'9.1.2. sz. mell.'!C23</f>
        <v>0</v>
      </c>
      <c r="E23" s="589">
        <f t="shared" si="0"/>
        <v>0</v>
      </c>
      <c r="F23" s="587">
        <f t="shared" si="1"/>
        <v>0</v>
      </c>
    </row>
    <row r="24" spans="1:6" s="58" customFormat="1" ht="12" customHeight="1" thickBot="1" x14ac:dyDescent="0.25">
      <c r="A24" s="247" t="s">
        <v>89</v>
      </c>
      <c r="B24" s="233" t="s">
        <v>212</v>
      </c>
      <c r="C24" s="154"/>
      <c r="D24" s="588">
        <f>'9.1.1. sz. mell. '!C24+'9.1.2. sz. mell.'!C24</f>
        <v>0</v>
      </c>
      <c r="E24" s="590">
        <f t="shared" si="0"/>
        <v>0</v>
      </c>
      <c r="F24" s="587">
        <f t="shared" si="1"/>
        <v>0</v>
      </c>
    </row>
    <row r="25" spans="1:6" s="59" customFormat="1" ht="12" customHeight="1" thickBot="1" x14ac:dyDescent="0.25">
      <c r="A25" s="247" t="s">
        <v>90</v>
      </c>
      <c r="B25" s="233" t="s">
        <v>378</v>
      </c>
      <c r="C25" s="154"/>
      <c r="D25" s="588">
        <f>'9.1.1. sz. mell. '!C25+'9.1.2. sz. mell.'!C25</f>
        <v>0</v>
      </c>
      <c r="E25" s="590">
        <f t="shared" si="0"/>
        <v>0</v>
      </c>
      <c r="F25" s="587">
        <f t="shared" si="1"/>
        <v>0</v>
      </c>
    </row>
    <row r="26" spans="1:6" s="59" customFormat="1" ht="12" customHeight="1" thickBot="1" x14ac:dyDescent="0.25">
      <c r="A26" s="247" t="s">
        <v>91</v>
      </c>
      <c r="B26" s="233" t="s">
        <v>379</v>
      </c>
      <c r="C26" s="154"/>
      <c r="D26" s="588">
        <f>'9.1.1. sz. mell. '!C26+'9.1.2. sz. mell.'!C26</f>
        <v>0</v>
      </c>
      <c r="E26" s="590">
        <f t="shared" si="0"/>
        <v>0</v>
      </c>
      <c r="F26" s="587">
        <f t="shared" si="1"/>
        <v>0</v>
      </c>
    </row>
    <row r="27" spans="1:6" s="59" customFormat="1" ht="12" customHeight="1" thickBot="1" x14ac:dyDescent="0.25">
      <c r="A27" s="247" t="s">
        <v>147</v>
      </c>
      <c r="B27" s="233" t="s">
        <v>213</v>
      </c>
      <c r="C27" s="303">
        <f>5866130+3779393+3796748</f>
        <v>13442271</v>
      </c>
      <c r="D27" s="588">
        <f>'9.1.1. sz. mell. '!C27+'9.1.2. sz. mell.'!C27</f>
        <v>13442271</v>
      </c>
      <c r="E27" s="590">
        <f t="shared" si="0"/>
        <v>0</v>
      </c>
      <c r="F27" s="587">
        <f t="shared" si="1"/>
        <v>0</v>
      </c>
    </row>
    <row r="28" spans="1:6" s="59" customFormat="1" ht="12" customHeight="1" thickBot="1" x14ac:dyDescent="0.25">
      <c r="A28" s="248" t="s">
        <v>148</v>
      </c>
      <c r="B28" s="234" t="s">
        <v>214</v>
      </c>
      <c r="C28" s="221">
        <v>13442271</v>
      </c>
      <c r="D28" s="588">
        <f>'9.1.1. sz. mell. '!C28+'9.1.2. sz. mell.'!C28</f>
        <v>13442271</v>
      </c>
      <c r="E28" s="591">
        <f t="shared" si="0"/>
        <v>0</v>
      </c>
      <c r="F28" s="587">
        <f t="shared" si="1"/>
        <v>0</v>
      </c>
    </row>
    <row r="29" spans="1:6" s="59" customFormat="1" ht="12" customHeight="1" thickBot="1" x14ac:dyDescent="0.25">
      <c r="A29" s="26" t="s">
        <v>149</v>
      </c>
      <c r="B29" s="20" t="s">
        <v>215</v>
      </c>
      <c r="C29" s="155">
        <f>+C30+C34+C35+C36</f>
        <v>352658000</v>
      </c>
      <c r="D29" s="588">
        <f>'9.1.1. sz. mell. '!C29+'9.1.2. sz. mell.'!C29</f>
        <v>352658000</v>
      </c>
      <c r="E29" s="588">
        <f t="shared" si="0"/>
        <v>0</v>
      </c>
      <c r="F29" s="587">
        <f t="shared" si="1"/>
        <v>0</v>
      </c>
    </row>
    <row r="30" spans="1:6" s="59" customFormat="1" ht="12" customHeight="1" thickBot="1" x14ac:dyDescent="0.25">
      <c r="A30" s="246" t="s">
        <v>216</v>
      </c>
      <c r="B30" s="232" t="s">
        <v>534</v>
      </c>
      <c r="C30" s="227">
        <f>SUM(C31:C33)</f>
        <v>308654000</v>
      </c>
      <c r="D30" s="588">
        <f>'9.1.1. sz. mell. '!C30+'9.1.2. sz. mell.'!C30</f>
        <v>308654000</v>
      </c>
      <c r="E30" s="589">
        <f t="shared" si="0"/>
        <v>0</v>
      </c>
      <c r="F30" s="587">
        <f t="shared" si="1"/>
        <v>0</v>
      </c>
    </row>
    <row r="31" spans="1:6" s="59" customFormat="1" ht="12" customHeight="1" thickBot="1" x14ac:dyDescent="0.25">
      <c r="A31" s="247" t="s">
        <v>217</v>
      </c>
      <c r="B31" s="233" t="s">
        <v>222</v>
      </c>
      <c r="C31" s="137">
        <f>7500000+70000000</f>
        <v>77500000</v>
      </c>
      <c r="D31" s="588">
        <f>'9.1.1. sz. mell. '!C31+'9.1.2. sz. mell.'!C31</f>
        <v>77500000</v>
      </c>
      <c r="E31" s="590">
        <f t="shared" si="0"/>
        <v>0</v>
      </c>
      <c r="F31" s="587">
        <f t="shared" si="1"/>
        <v>0</v>
      </c>
    </row>
    <row r="32" spans="1:6" s="59" customFormat="1" ht="12" customHeight="1" thickBot="1" x14ac:dyDescent="0.25">
      <c r="A32" s="247" t="s">
        <v>218</v>
      </c>
      <c r="B32" s="233" t="s">
        <v>576</v>
      </c>
      <c r="C32" s="137">
        <v>231154000</v>
      </c>
      <c r="D32" s="588">
        <f>'9.1.1. sz. mell. '!C32+'9.1.2. sz. mell.'!C32</f>
        <v>231154000</v>
      </c>
      <c r="E32" s="590">
        <f t="shared" si="0"/>
        <v>0</v>
      </c>
      <c r="F32" s="587">
        <f t="shared" si="1"/>
        <v>0</v>
      </c>
    </row>
    <row r="33" spans="1:6" s="59" customFormat="1" ht="12" customHeight="1" thickBot="1" x14ac:dyDescent="0.25">
      <c r="A33" s="247" t="s">
        <v>475</v>
      </c>
      <c r="B33" s="233" t="s">
        <v>573</v>
      </c>
      <c r="C33" s="303"/>
      <c r="D33" s="588">
        <f>'9.1.1. sz. mell. '!C33+'9.1.2. sz. mell.'!C33</f>
        <v>0</v>
      </c>
      <c r="E33" s="590">
        <f t="shared" si="0"/>
        <v>0</v>
      </c>
      <c r="F33" s="587">
        <f t="shared" si="1"/>
        <v>0</v>
      </c>
    </row>
    <row r="34" spans="1:6" s="59" customFormat="1" ht="12" customHeight="1" thickBot="1" x14ac:dyDescent="0.25">
      <c r="A34" s="247" t="s">
        <v>219</v>
      </c>
      <c r="B34" s="233" t="s">
        <v>224</v>
      </c>
      <c r="C34" s="137">
        <v>28000000</v>
      </c>
      <c r="D34" s="588">
        <f>'9.1.1. sz. mell. '!C34+'9.1.2. sz. mell.'!C34</f>
        <v>28000000</v>
      </c>
      <c r="E34" s="590">
        <f t="shared" si="0"/>
        <v>0</v>
      </c>
      <c r="F34" s="587">
        <f t="shared" si="1"/>
        <v>0</v>
      </c>
    </row>
    <row r="35" spans="1:6" s="59" customFormat="1" ht="12" customHeight="1" thickBot="1" x14ac:dyDescent="0.25">
      <c r="A35" s="247" t="s">
        <v>220</v>
      </c>
      <c r="B35" s="233" t="s">
        <v>225</v>
      </c>
      <c r="C35" s="908">
        <f>4000+4500000-4500000</f>
        <v>4000</v>
      </c>
      <c r="D35" s="588">
        <f>'9.1.1. sz. mell. '!C35+'9.1.2. sz. mell.'!C35</f>
        <v>4000</v>
      </c>
      <c r="E35" s="590">
        <f t="shared" si="0"/>
        <v>0</v>
      </c>
      <c r="F35" s="587">
        <f t="shared" si="1"/>
        <v>0</v>
      </c>
    </row>
    <row r="36" spans="1:6" s="59" customFormat="1" ht="12" customHeight="1" thickBot="1" x14ac:dyDescent="0.25">
      <c r="A36" s="248" t="s">
        <v>221</v>
      </c>
      <c r="B36" s="234" t="s">
        <v>226</v>
      </c>
      <c r="C36" s="909">
        <f>1500000+2000000+1000000+7000000+4500000</f>
        <v>16000000</v>
      </c>
      <c r="D36" s="588">
        <f>'9.1.1. sz. mell. '!C36+'9.1.2. sz. mell.'!C36</f>
        <v>16000000</v>
      </c>
      <c r="E36" s="591">
        <f t="shared" si="0"/>
        <v>0</v>
      </c>
      <c r="F36" s="587">
        <f t="shared" si="1"/>
        <v>0</v>
      </c>
    </row>
    <row r="37" spans="1:6" s="59" customFormat="1" ht="12" customHeight="1" thickBot="1" x14ac:dyDescent="0.25">
      <c r="A37" s="26" t="s">
        <v>27</v>
      </c>
      <c r="B37" s="20" t="s">
        <v>477</v>
      </c>
      <c r="C37" s="150">
        <f>SUM(C38:C48)</f>
        <v>40364669</v>
      </c>
      <c r="D37" s="588">
        <f>'9.1.1. sz. mell. '!C37+'9.1.2. sz. mell.'!C37</f>
        <v>40364669</v>
      </c>
      <c r="E37" s="588">
        <f t="shared" si="0"/>
        <v>0</v>
      </c>
      <c r="F37" s="587">
        <f t="shared" si="1"/>
        <v>0</v>
      </c>
    </row>
    <row r="38" spans="1:6" s="59" customFormat="1" ht="12" customHeight="1" thickBot="1" x14ac:dyDescent="0.25">
      <c r="A38" s="246" t="s">
        <v>92</v>
      </c>
      <c r="B38" s="232" t="s">
        <v>229</v>
      </c>
      <c r="C38" s="332">
        <v>12159000</v>
      </c>
      <c r="D38" s="588">
        <f>'9.1.1. sz. mell. '!C38+'9.1.2. sz. mell.'!C38</f>
        <v>12159000</v>
      </c>
      <c r="E38" s="589">
        <f t="shared" si="0"/>
        <v>0</v>
      </c>
      <c r="F38" s="587">
        <f t="shared" si="1"/>
        <v>0</v>
      </c>
    </row>
    <row r="39" spans="1:6" s="59" customFormat="1" ht="12" customHeight="1" thickBot="1" x14ac:dyDescent="0.25">
      <c r="A39" s="247" t="s">
        <v>93</v>
      </c>
      <c r="B39" s="233" t="s">
        <v>230</v>
      </c>
      <c r="C39" s="908">
        <f>13910169+100000+62992</f>
        <v>14073161</v>
      </c>
      <c r="D39" s="588">
        <f>'9.1.1. sz. mell. '!C39+'9.1.2. sz. mell.'!C39</f>
        <v>14073161</v>
      </c>
      <c r="E39" s="590">
        <f t="shared" si="0"/>
        <v>0</v>
      </c>
      <c r="F39" s="587">
        <f t="shared" si="1"/>
        <v>0</v>
      </c>
    </row>
    <row r="40" spans="1:6" s="59" customFormat="1" ht="12" customHeight="1" thickBot="1" x14ac:dyDescent="0.25">
      <c r="A40" s="247" t="s">
        <v>94</v>
      </c>
      <c r="B40" s="233" t="s">
        <v>231</v>
      </c>
      <c r="C40" s="303">
        <f>500000+300000+50000+1400000+947000+300000</f>
        <v>3497000</v>
      </c>
      <c r="D40" s="588">
        <f>'9.1.1. sz. mell. '!C40+'9.1.2. sz. mell.'!C40</f>
        <v>3497000</v>
      </c>
      <c r="E40" s="590">
        <f t="shared" ref="E40:E71" si="2">C40-D40</f>
        <v>0</v>
      </c>
      <c r="F40" s="587">
        <f t="shared" si="1"/>
        <v>0</v>
      </c>
    </row>
    <row r="41" spans="1:6" s="59" customFormat="1" ht="12" customHeight="1" thickBot="1" x14ac:dyDescent="0.25">
      <c r="A41" s="247" t="s">
        <v>151</v>
      </c>
      <c r="B41" s="233" t="s">
        <v>232</v>
      </c>
      <c r="C41" s="303">
        <v>430000</v>
      </c>
      <c r="D41" s="588">
        <f>'9.1.1. sz. mell. '!C41+'9.1.2. sz. mell.'!C41</f>
        <v>430000</v>
      </c>
      <c r="E41" s="590">
        <f t="shared" si="2"/>
        <v>0</v>
      </c>
      <c r="F41" s="587">
        <f t="shared" si="1"/>
        <v>0</v>
      </c>
    </row>
    <row r="42" spans="1:6" s="59" customFormat="1" ht="12" customHeight="1" thickBot="1" x14ac:dyDescent="0.25">
      <c r="A42" s="247" t="s">
        <v>152</v>
      </c>
      <c r="B42" s="233" t="s">
        <v>233</v>
      </c>
      <c r="C42" s="303"/>
      <c r="D42" s="588">
        <f>'9.1.1. sz. mell. '!C42+'9.1.2. sz. mell.'!C42</f>
        <v>0</v>
      </c>
      <c r="E42" s="590">
        <f t="shared" si="2"/>
        <v>0</v>
      </c>
      <c r="F42" s="587">
        <f t="shared" si="1"/>
        <v>0</v>
      </c>
    </row>
    <row r="43" spans="1:6" s="59" customFormat="1" ht="12" customHeight="1" thickBot="1" x14ac:dyDescent="0.25">
      <c r="A43" s="247" t="s">
        <v>153</v>
      </c>
      <c r="B43" s="233" t="s">
        <v>234</v>
      </c>
      <c r="C43" s="908">
        <f>3283000+5162000+81000+13500+378000+81000+17008</f>
        <v>9015508</v>
      </c>
      <c r="D43" s="588">
        <f>'9.1.1. sz. mell. '!C43+'9.1.2. sz. mell.'!C43</f>
        <v>9015508</v>
      </c>
      <c r="E43" s="590">
        <f t="shared" si="2"/>
        <v>0</v>
      </c>
      <c r="F43" s="587">
        <f t="shared" si="1"/>
        <v>0</v>
      </c>
    </row>
    <row r="44" spans="1:6" s="59" customFormat="1" ht="12" customHeight="1" thickBot="1" x14ac:dyDescent="0.25">
      <c r="A44" s="247" t="s">
        <v>154</v>
      </c>
      <c r="B44" s="233" t="s">
        <v>235</v>
      </c>
      <c r="C44" s="303"/>
      <c r="D44" s="588">
        <f>'9.1.1. sz. mell. '!C44+'9.1.2. sz. mell.'!C44</f>
        <v>0</v>
      </c>
      <c r="E44" s="590">
        <f t="shared" si="2"/>
        <v>0</v>
      </c>
      <c r="F44" s="587">
        <f t="shared" si="1"/>
        <v>0</v>
      </c>
    </row>
    <row r="45" spans="1:6" s="59" customFormat="1" ht="12" customHeight="1" thickBot="1" x14ac:dyDescent="0.25">
      <c r="A45" s="247" t="s">
        <v>155</v>
      </c>
      <c r="B45" s="233" t="s">
        <v>236</v>
      </c>
      <c r="C45" s="303">
        <v>30000</v>
      </c>
      <c r="D45" s="588">
        <f>'9.1.1. sz. mell. '!C45+'9.1.2. sz. mell.'!C45</f>
        <v>30000</v>
      </c>
      <c r="E45" s="590">
        <f t="shared" si="2"/>
        <v>0</v>
      </c>
      <c r="F45" s="587">
        <f t="shared" si="1"/>
        <v>0</v>
      </c>
    </row>
    <row r="46" spans="1:6" s="59" customFormat="1" ht="12" customHeight="1" thickBot="1" x14ac:dyDescent="0.25">
      <c r="A46" s="247" t="s">
        <v>227</v>
      </c>
      <c r="B46" s="233" t="s">
        <v>237</v>
      </c>
      <c r="C46" s="303"/>
      <c r="D46" s="588">
        <f>'9.1.1. sz. mell. '!C46+'9.1.2. sz. mell.'!C46</f>
        <v>0</v>
      </c>
      <c r="E46" s="590">
        <f t="shared" si="2"/>
        <v>0</v>
      </c>
      <c r="F46" s="587">
        <f t="shared" si="1"/>
        <v>0</v>
      </c>
    </row>
    <row r="47" spans="1:6" s="59" customFormat="1" ht="12" customHeight="1" thickBot="1" x14ac:dyDescent="0.25">
      <c r="A47" s="248" t="s">
        <v>228</v>
      </c>
      <c r="B47" s="234" t="s">
        <v>478</v>
      </c>
      <c r="C47" s="307">
        <v>500000</v>
      </c>
      <c r="D47" s="588">
        <f>'9.1.1. sz. mell. '!C47+'9.1.2. sz. mell.'!C47</f>
        <v>500000</v>
      </c>
      <c r="E47" s="590">
        <f t="shared" si="2"/>
        <v>0</v>
      </c>
      <c r="F47" s="587">
        <f t="shared" si="1"/>
        <v>0</v>
      </c>
    </row>
    <row r="48" spans="1:6" s="59" customFormat="1" ht="12" customHeight="1" thickBot="1" x14ac:dyDescent="0.25">
      <c r="A48" s="248" t="s">
        <v>479</v>
      </c>
      <c r="B48" s="234" t="s">
        <v>238</v>
      </c>
      <c r="C48" s="307">
        <f>60000+600000</f>
        <v>660000</v>
      </c>
      <c r="D48" s="588">
        <f>'9.1.1. sz. mell. '!C48+'9.1.2. sz. mell.'!C48</f>
        <v>660000</v>
      </c>
      <c r="E48" s="591">
        <f t="shared" si="2"/>
        <v>0</v>
      </c>
      <c r="F48" s="587">
        <f t="shared" si="1"/>
        <v>0</v>
      </c>
    </row>
    <row r="49" spans="1:6" s="59" customFormat="1" ht="12" customHeight="1" thickBot="1" x14ac:dyDescent="0.25">
      <c r="A49" s="26" t="s">
        <v>28</v>
      </c>
      <c r="B49" s="20" t="s">
        <v>239</v>
      </c>
      <c r="C49" s="150">
        <f>SUM(C50:C54)</f>
        <v>30332500</v>
      </c>
      <c r="D49" s="588">
        <f>'9.1.1. sz. mell. '!C49+'9.1.2. sz. mell.'!C49</f>
        <v>30332500</v>
      </c>
      <c r="E49" s="588">
        <f t="shared" si="2"/>
        <v>0</v>
      </c>
      <c r="F49" s="587">
        <f t="shared" si="1"/>
        <v>0</v>
      </c>
    </row>
    <row r="50" spans="1:6" s="59" customFormat="1" ht="12" customHeight="1" thickBot="1" x14ac:dyDescent="0.25">
      <c r="A50" s="246" t="s">
        <v>95</v>
      </c>
      <c r="B50" s="232" t="s">
        <v>243</v>
      </c>
      <c r="C50" s="270"/>
      <c r="D50" s="588">
        <f>'9.1.1. sz. mell. '!C50+'9.1.2. sz. mell.'!C50</f>
        <v>0</v>
      </c>
      <c r="E50" s="589">
        <f t="shared" si="2"/>
        <v>0</v>
      </c>
      <c r="F50" s="587">
        <f t="shared" si="1"/>
        <v>0</v>
      </c>
    </row>
    <row r="51" spans="1:6" s="59" customFormat="1" ht="12" customHeight="1" thickBot="1" x14ac:dyDescent="0.25">
      <c r="A51" s="247" t="s">
        <v>96</v>
      </c>
      <c r="B51" s="233" t="s">
        <v>244</v>
      </c>
      <c r="C51" s="303">
        <v>30332500</v>
      </c>
      <c r="D51" s="588">
        <f>'9.1.1. sz. mell. '!C51+'9.1.2. sz. mell.'!C51</f>
        <v>30332500</v>
      </c>
      <c r="E51" s="590">
        <f t="shared" si="2"/>
        <v>0</v>
      </c>
      <c r="F51" s="587">
        <f t="shared" si="1"/>
        <v>0</v>
      </c>
    </row>
    <row r="52" spans="1:6" s="59" customFormat="1" ht="12" customHeight="1" thickBot="1" x14ac:dyDescent="0.25">
      <c r="A52" s="247" t="s">
        <v>240</v>
      </c>
      <c r="B52" s="233" t="s">
        <v>245</v>
      </c>
      <c r="C52" s="154"/>
      <c r="D52" s="588">
        <f>'9.1.1. sz. mell. '!C52+'9.1.2. sz. mell.'!C52</f>
        <v>0</v>
      </c>
      <c r="E52" s="590">
        <f t="shared" si="2"/>
        <v>0</v>
      </c>
      <c r="F52" s="587">
        <f t="shared" si="1"/>
        <v>0</v>
      </c>
    </row>
    <row r="53" spans="1:6" s="59" customFormat="1" ht="12" customHeight="1" thickBot="1" x14ac:dyDescent="0.25">
      <c r="A53" s="247" t="s">
        <v>241</v>
      </c>
      <c r="B53" s="233" t="s">
        <v>246</v>
      </c>
      <c r="C53" s="154"/>
      <c r="D53" s="588">
        <f>'9.1.1. sz. mell. '!C53+'9.1.2. sz. mell.'!C53</f>
        <v>0</v>
      </c>
      <c r="E53" s="590">
        <f t="shared" si="2"/>
        <v>0</v>
      </c>
      <c r="F53" s="587">
        <f t="shared" si="1"/>
        <v>0</v>
      </c>
    </row>
    <row r="54" spans="1:6" s="59" customFormat="1" ht="12" customHeight="1" thickBot="1" x14ac:dyDescent="0.25">
      <c r="A54" s="248" t="s">
        <v>242</v>
      </c>
      <c r="B54" s="234" t="s">
        <v>247</v>
      </c>
      <c r="C54" s="221"/>
      <c r="D54" s="588">
        <f>'9.1.1. sz. mell. '!C54+'9.1.2. sz. mell.'!C54</f>
        <v>0</v>
      </c>
      <c r="E54" s="591">
        <f t="shared" si="2"/>
        <v>0</v>
      </c>
      <c r="F54" s="587">
        <f t="shared" si="1"/>
        <v>0</v>
      </c>
    </row>
    <row r="55" spans="1:6" s="59" customFormat="1" ht="12" customHeight="1" thickBot="1" x14ac:dyDescent="0.25">
      <c r="A55" s="26" t="s">
        <v>156</v>
      </c>
      <c r="B55" s="20" t="s">
        <v>248</v>
      </c>
      <c r="C55" s="150">
        <f>SUM(C56:C58)</f>
        <v>4766000</v>
      </c>
      <c r="D55" s="588">
        <f>'9.1.1. sz. mell. '!C55+'9.1.2. sz. mell.'!C55</f>
        <v>4766000</v>
      </c>
      <c r="E55" s="588">
        <f t="shared" si="2"/>
        <v>0</v>
      </c>
      <c r="F55" s="587">
        <f t="shared" si="1"/>
        <v>0</v>
      </c>
    </row>
    <row r="56" spans="1:6" s="59" customFormat="1" ht="12" customHeight="1" thickBot="1" x14ac:dyDescent="0.25">
      <c r="A56" s="246" t="s">
        <v>97</v>
      </c>
      <c r="B56" s="232" t="s">
        <v>249</v>
      </c>
      <c r="C56" s="270"/>
      <c r="D56" s="588">
        <f>'9.1.1. sz. mell. '!C56+'9.1.2. sz. mell.'!C56</f>
        <v>0</v>
      </c>
      <c r="E56" s="589">
        <f t="shared" si="2"/>
        <v>0</v>
      </c>
      <c r="F56" s="587">
        <f t="shared" si="1"/>
        <v>0</v>
      </c>
    </row>
    <row r="57" spans="1:6" s="59" customFormat="1" ht="12" customHeight="1" thickBot="1" x14ac:dyDescent="0.25">
      <c r="A57" s="247" t="s">
        <v>98</v>
      </c>
      <c r="B57" s="233" t="s">
        <v>380</v>
      </c>
      <c r="C57" s="303">
        <f>1566000+300000</f>
        <v>1866000</v>
      </c>
      <c r="D57" s="588">
        <f>'9.1.1. sz. mell. '!C57+'9.1.2. sz. mell.'!C57</f>
        <v>1866000</v>
      </c>
      <c r="E57" s="590">
        <f t="shared" si="2"/>
        <v>0</v>
      </c>
      <c r="F57" s="587">
        <f t="shared" si="1"/>
        <v>0</v>
      </c>
    </row>
    <row r="58" spans="1:6" s="59" customFormat="1" ht="12" customHeight="1" thickBot="1" x14ac:dyDescent="0.25">
      <c r="A58" s="247" t="s">
        <v>252</v>
      </c>
      <c r="B58" s="233" t="s">
        <v>250</v>
      </c>
      <c r="C58" s="303">
        <v>2900000</v>
      </c>
      <c r="D58" s="588">
        <f>'9.1.1. sz. mell. '!C58+'9.1.2. sz. mell.'!C58</f>
        <v>2900000</v>
      </c>
      <c r="E58" s="590">
        <f t="shared" si="2"/>
        <v>0</v>
      </c>
      <c r="F58" s="587">
        <f t="shared" si="1"/>
        <v>0</v>
      </c>
    </row>
    <row r="59" spans="1:6" s="59" customFormat="1" ht="12" customHeight="1" thickBot="1" x14ac:dyDescent="0.25">
      <c r="A59" s="248" t="s">
        <v>253</v>
      </c>
      <c r="B59" s="234" t="s">
        <v>251</v>
      </c>
      <c r="C59" s="153"/>
      <c r="D59" s="588">
        <f>'9.1.1. sz. mell. '!C59+'9.1.2. sz. mell.'!C59</f>
        <v>0</v>
      </c>
      <c r="E59" s="591">
        <f t="shared" si="2"/>
        <v>0</v>
      </c>
      <c r="F59" s="587">
        <f t="shared" si="1"/>
        <v>0</v>
      </c>
    </row>
    <row r="60" spans="1:6" s="59" customFormat="1" ht="12" customHeight="1" thickBot="1" x14ac:dyDescent="0.25">
      <c r="A60" s="26" t="s">
        <v>30</v>
      </c>
      <c r="B60" s="145" t="s">
        <v>254</v>
      </c>
      <c r="C60" s="150">
        <f>SUM(C61:C63)</f>
        <v>0</v>
      </c>
      <c r="D60" s="588">
        <f>'9.1.1. sz. mell. '!C60+'9.1.2. sz. mell.'!C60</f>
        <v>0</v>
      </c>
      <c r="E60" s="588">
        <f t="shared" si="2"/>
        <v>0</v>
      </c>
      <c r="F60" s="587">
        <f t="shared" si="1"/>
        <v>0</v>
      </c>
    </row>
    <row r="61" spans="1:6" s="59" customFormat="1" ht="12" customHeight="1" thickBot="1" x14ac:dyDescent="0.25">
      <c r="A61" s="246" t="s">
        <v>157</v>
      </c>
      <c r="B61" s="232" t="s">
        <v>256</v>
      </c>
      <c r="C61" s="154"/>
      <c r="D61" s="588">
        <f>'9.1.1. sz. mell. '!C61+'9.1.2. sz. mell.'!C61</f>
        <v>0</v>
      </c>
      <c r="E61" s="589">
        <f t="shared" si="2"/>
        <v>0</v>
      </c>
      <c r="F61" s="587">
        <f t="shared" si="1"/>
        <v>0</v>
      </c>
    </row>
    <row r="62" spans="1:6" s="59" customFormat="1" ht="12" customHeight="1" thickBot="1" x14ac:dyDescent="0.25">
      <c r="A62" s="247" t="s">
        <v>158</v>
      </c>
      <c r="B62" s="233" t="s">
        <v>381</v>
      </c>
      <c r="C62" s="154"/>
      <c r="D62" s="588">
        <f>'9.1.1. sz. mell. '!C62+'9.1.2. sz. mell.'!C62</f>
        <v>0</v>
      </c>
      <c r="E62" s="590">
        <f t="shared" si="2"/>
        <v>0</v>
      </c>
      <c r="F62" s="587">
        <f t="shared" si="1"/>
        <v>0</v>
      </c>
    </row>
    <row r="63" spans="1:6" s="59" customFormat="1" ht="12" customHeight="1" thickBot="1" x14ac:dyDescent="0.25">
      <c r="A63" s="247" t="s">
        <v>180</v>
      </c>
      <c r="B63" s="233" t="s">
        <v>257</v>
      </c>
      <c r="C63" s="154"/>
      <c r="D63" s="588">
        <f>'9.1.1. sz. mell. '!C63+'9.1.2. sz. mell.'!C63</f>
        <v>0</v>
      </c>
      <c r="E63" s="590">
        <f t="shared" si="2"/>
        <v>0</v>
      </c>
      <c r="F63" s="587">
        <f t="shared" si="1"/>
        <v>0</v>
      </c>
    </row>
    <row r="64" spans="1:6" s="59" customFormat="1" ht="12" customHeight="1" thickBot="1" x14ac:dyDescent="0.25">
      <c r="A64" s="248" t="s">
        <v>255</v>
      </c>
      <c r="B64" s="234" t="s">
        <v>258</v>
      </c>
      <c r="C64" s="154"/>
      <c r="D64" s="588">
        <f>'9.1.1. sz. mell. '!C64+'9.1.2. sz. mell.'!C64</f>
        <v>0</v>
      </c>
      <c r="E64" s="591">
        <f t="shared" si="2"/>
        <v>0</v>
      </c>
      <c r="F64" s="587">
        <f t="shared" si="1"/>
        <v>0</v>
      </c>
    </row>
    <row r="65" spans="1:6" s="59" customFormat="1" ht="12" customHeight="1" thickBot="1" x14ac:dyDescent="0.25">
      <c r="A65" s="26" t="s">
        <v>31</v>
      </c>
      <c r="B65" s="20" t="s">
        <v>259</v>
      </c>
      <c r="C65" s="155">
        <f>+C8+C15+C22+C29+C37+C49+C55+C60</f>
        <v>1919824726</v>
      </c>
      <c r="D65" s="588">
        <f>'9.1.1. sz. mell. '!C65+'9.1.2. sz. mell.'!C65</f>
        <v>1919824726</v>
      </c>
      <c r="E65" s="588">
        <f t="shared" si="2"/>
        <v>0</v>
      </c>
      <c r="F65" s="587">
        <f t="shared" si="1"/>
        <v>0</v>
      </c>
    </row>
    <row r="66" spans="1:6" s="59" customFormat="1" ht="12" customHeight="1" thickBot="1" x14ac:dyDescent="0.2">
      <c r="A66" s="249" t="s">
        <v>349</v>
      </c>
      <c r="B66" s="145" t="s">
        <v>261</v>
      </c>
      <c r="C66" s="150">
        <f>SUM(C67:C69)</f>
        <v>193478462</v>
      </c>
      <c r="D66" s="588">
        <f>'9.1.1. sz. mell. '!C66+'9.1.2. sz. mell.'!C66</f>
        <v>193478462</v>
      </c>
      <c r="E66" s="588">
        <f t="shared" si="2"/>
        <v>0</v>
      </c>
      <c r="F66" s="587">
        <f t="shared" si="1"/>
        <v>0</v>
      </c>
    </row>
    <row r="67" spans="1:6" s="59" customFormat="1" ht="12" customHeight="1" thickBot="1" x14ac:dyDescent="0.25">
      <c r="A67" s="246" t="s">
        <v>292</v>
      </c>
      <c r="B67" s="232" t="s">
        <v>262</v>
      </c>
      <c r="C67" s="303">
        <v>93478462</v>
      </c>
      <c r="D67" s="588">
        <f>'9.1.1. sz. mell. '!C67+'9.1.2. sz. mell.'!C67</f>
        <v>93478462</v>
      </c>
      <c r="E67" s="589">
        <f t="shared" si="2"/>
        <v>0</v>
      </c>
      <c r="F67" s="587">
        <f t="shared" si="1"/>
        <v>0</v>
      </c>
    </row>
    <row r="68" spans="1:6" s="59" customFormat="1" ht="12" customHeight="1" thickBot="1" x14ac:dyDescent="0.25">
      <c r="A68" s="247" t="s">
        <v>301</v>
      </c>
      <c r="B68" s="233" t="s">
        <v>263</v>
      </c>
      <c r="C68" s="303">
        <v>100000000</v>
      </c>
      <c r="D68" s="588">
        <f>'9.1.1. sz. mell. '!C68+'9.1.2. sz. mell.'!C68</f>
        <v>100000000</v>
      </c>
      <c r="E68" s="590">
        <f t="shared" si="2"/>
        <v>0</v>
      </c>
      <c r="F68" s="587">
        <f t="shared" si="1"/>
        <v>0</v>
      </c>
    </row>
    <row r="69" spans="1:6" s="59" customFormat="1" ht="12" customHeight="1" thickBot="1" x14ac:dyDescent="0.25">
      <c r="A69" s="248" t="s">
        <v>302</v>
      </c>
      <c r="B69" s="235" t="s">
        <v>264</v>
      </c>
      <c r="C69" s="154"/>
      <c r="D69" s="588">
        <f>'9.1.1. sz. mell. '!C69+'9.1.2. sz. mell.'!C69</f>
        <v>0</v>
      </c>
      <c r="E69" s="591">
        <f t="shared" si="2"/>
        <v>0</v>
      </c>
      <c r="F69" s="587">
        <f t="shared" si="1"/>
        <v>0</v>
      </c>
    </row>
    <row r="70" spans="1:6" s="59" customFormat="1" ht="12" customHeight="1" thickBot="1" x14ac:dyDescent="0.2">
      <c r="A70" s="249" t="s">
        <v>265</v>
      </c>
      <c r="B70" s="145" t="s">
        <v>266</v>
      </c>
      <c r="C70" s="150">
        <f>SUM(C71:C74)</f>
        <v>0</v>
      </c>
      <c r="D70" s="588">
        <f>'9.1.1. sz. mell. '!C70+'9.1.2. sz. mell.'!C70</f>
        <v>0</v>
      </c>
      <c r="E70" s="588">
        <f t="shared" si="2"/>
        <v>0</v>
      </c>
      <c r="F70" s="587">
        <f t="shared" si="1"/>
        <v>0</v>
      </c>
    </row>
    <row r="71" spans="1:6" s="59" customFormat="1" ht="12" customHeight="1" thickBot="1" x14ac:dyDescent="0.25">
      <c r="A71" s="246" t="s">
        <v>137</v>
      </c>
      <c r="B71" s="232" t="s">
        <v>267</v>
      </c>
      <c r="C71" s="154"/>
      <c r="D71" s="588">
        <f>'9.1.1. sz. mell. '!C71+'9.1.2. sz. mell.'!C71</f>
        <v>0</v>
      </c>
      <c r="E71" s="589">
        <f t="shared" si="2"/>
        <v>0</v>
      </c>
      <c r="F71" s="587">
        <f t="shared" si="1"/>
        <v>0</v>
      </c>
    </row>
    <row r="72" spans="1:6" s="59" customFormat="1" ht="12" customHeight="1" thickBot="1" x14ac:dyDescent="0.25">
      <c r="A72" s="247" t="s">
        <v>138</v>
      </c>
      <c r="B72" s="233" t="s">
        <v>268</v>
      </c>
      <c r="C72" s="154"/>
      <c r="D72" s="588">
        <f>'9.1.1. sz. mell. '!C72+'9.1.2. sz. mell.'!C72</f>
        <v>0</v>
      </c>
      <c r="E72" s="590">
        <f t="shared" ref="E72:E90" si="3">C72-D72</f>
        <v>0</v>
      </c>
      <c r="F72" s="587">
        <f t="shared" si="1"/>
        <v>0</v>
      </c>
    </row>
    <row r="73" spans="1:6" s="59" customFormat="1" ht="12" customHeight="1" thickBot="1" x14ac:dyDescent="0.25">
      <c r="A73" s="247" t="s">
        <v>293</v>
      </c>
      <c r="B73" s="233" t="s">
        <v>269</v>
      </c>
      <c r="C73" s="154"/>
      <c r="D73" s="588">
        <f>'9.1.1. sz. mell. '!C73+'9.1.2. sz. mell.'!C73</f>
        <v>0</v>
      </c>
      <c r="E73" s="590">
        <f t="shared" si="3"/>
        <v>0</v>
      </c>
      <c r="F73" s="587">
        <f t="shared" ref="F73:F136" si="4">C73-D73</f>
        <v>0</v>
      </c>
    </row>
    <row r="74" spans="1:6" s="59" customFormat="1" ht="12" customHeight="1" thickBot="1" x14ac:dyDescent="0.25">
      <c r="A74" s="248" t="s">
        <v>294</v>
      </c>
      <c r="B74" s="234" t="s">
        <v>270</v>
      </c>
      <c r="C74" s="154"/>
      <c r="D74" s="588">
        <f>'9.1.1. sz. mell. '!C74+'9.1.2. sz. mell.'!C74</f>
        <v>0</v>
      </c>
      <c r="E74" s="591">
        <f t="shared" si="3"/>
        <v>0</v>
      </c>
      <c r="F74" s="587">
        <f t="shared" si="4"/>
        <v>0</v>
      </c>
    </row>
    <row r="75" spans="1:6" s="59" customFormat="1" ht="12" customHeight="1" thickBot="1" x14ac:dyDescent="0.2">
      <c r="A75" s="249" t="s">
        <v>271</v>
      </c>
      <c r="B75" s="145" t="s">
        <v>272</v>
      </c>
      <c r="C75" s="150">
        <f>SUM(C76:C77)</f>
        <v>594503758</v>
      </c>
      <c r="D75" s="588">
        <f>'9.1.1. sz. mell. '!C75+'9.1.2. sz. mell.'!C75</f>
        <v>594503758</v>
      </c>
      <c r="E75" s="588">
        <f t="shared" si="3"/>
        <v>0</v>
      </c>
      <c r="F75" s="587">
        <f t="shared" si="4"/>
        <v>0</v>
      </c>
    </row>
    <row r="76" spans="1:6" s="59" customFormat="1" ht="12" customHeight="1" thickBot="1" x14ac:dyDescent="0.25">
      <c r="A76" s="246" t="s">
        <v>295</v>
      </c>
      <c r="B76" s="232" t="s">
        <v>273</v>
      </c>
      <c r="C76" s="908">
        <f>569119704+25384054</f>
        <v>594503758</v>
      </c>
      <c r="D76" s="588">
        <f>'9.1.1. sz. mell. '!C76+'9.1.2. sz. mell.'!C76</f>
        <v>594503758</v>
      </c>
      <c r="E76" s="589">
        <f t="shared" si="3"/>
        <v>0</v>
      </c>
      <c r="F76" s="587">
        <f t="shared" si="4"/>
        <v>0</v>
      </c>
    </row>
    <row r="77" spans="1:6" s="59" customFormat="1" ht="12" customHeight="1" thickBot="1" x14ac:dyDescent="0.25">
      <c r="A77" s="248" t="s">
        <v>296</v>
      </c>
      <c r="B77" s="234" t="s">
        <v>274</v>
      </c>
      <c r="C77" s="154"/>
      <c r="D77" s="588">
        <f>'9.1.1. sz. mell. '!C77+'9.1.2. sz. mell.'!C77</f>
        <v>0</v>
      </c>
      <c r="E77" s="591">
        <f t="shared" si="3"/>
        <v>0</v>
      </c>
      <c r="F77" s="587">
        <f t="shared" si="4"/>
        <v>0</v>
      </c>
    </row>
    <row r="78" spans="1:6" s="58" customFormat="1" ht="12" customHeight="1" thickBot="1" x14ac:dyDescent="0.2">
      <c r="A78" s="249" t="s">
        <v>275</v>
      </c>
      <c r="B78" s="145" t="s">
        <v>276</v>
      </c>
      <c r="C78" s="150">
        <f>SUM(C79:C81)</f>
        <v>0</v>
      </c>
      <c r="D78" s="588">
        <f>'9.1.1. sz. mell. '!C78+'9.1.2. sz. mell.'!C78</f>
        <v>0</v>
      </c>
      <c r="E78" s="588">
        <f t="shared" si="3"/>
        <v>0</v>
      </c>
      <c r="F78" s="587">
        <f t="shared" si="4"/>
        <v>0</v>
      </c>
    </row>
    <row r="79" spans="1:6" s="59" customFormat="1" ht="12" customHeight="1" thickBot="1" x14ac:dyDescent="0.25">
      <c r="A79" s="246" t="s">
        <v>297</v>
      </c>
      <c r="B79" s="232" t="s">
        <v>277</v>
      </c>
      <c r="C79" s="154"/>
      <c r="D79" s="588">
        <f>'9.1.1. sz. mell. '!C79+'9.1.2. sz. mell.'!C79</f>
        <v>0</v>
      </c>
      <c r="E79" s="589">
        <f t="shared" si="3"/>
        <v>0</v>
      </c>
      <c r="F79" s="587">
        <f t="shared" si="4"/>
        <v>0</v>
      </c>
    </row>
    <row r="80" spans="1:6" s="59" customFormat="1" ht="12" customHeight="1" thickBot="1" x14ac:dyDescent="0.25">
      <c r="A80" s="247" t="s">
        <v>298</v>
      </c>
      <c r="B80" s="233" t="s">
        <v>278</v>
      </c>
      <c r="C80" s="154"/>
      <c r="D80" s="588">
        <f>'9.1.1. sz. mell. '!C80+'9.1.2. sz. mell.'!C80</f>
        <v>0</v>
      </c>
      <c r="E80" s="590">
        <f t="shared" si="3"/>
        <v>0</v>
      </c>
      <c r="F80" s="587">
        <f t="shared" si="4"/>
        <v>0</v>
      </c>
    </row>
    <row r="81" spans="1:6" s="59" customFormat="1" ht="12" customHeight="1" thickBot="1" x14ac:dyDescent="0.25">
      <c r="A81" s="248" t="s">
        <v>299</v>
      </c>
      <c r="B81" s="234" t="s">
        <v>279</v>
      </c>
      <c r="C81" s="154"/>
      <c r="D81" s="588">
        <f>'9.1.1. sz. mell. '!C81+'9.1.2. sz. mell.'!C81</f>
        <v>0</v>
      </c>
      <c r="E81" s="591">
        <f t="shared" si="3"/>
        <v>0</v>
      </c>
      <c r="F81" s="587">
        <f t="shared" si="4"/>
        <v>0</v>
      </c>
    </row>
    <row r="82" spans="1:6" s="59" customFormat="1" ht="12" customHeight="1" thickBot="1" x14ac:dyDescent="0.2">
      <c r="A82" s="249" t="s">
        <v>280</v>
      </c>
      <c r="B82" s="145" t="s">
        <v>300</v>
      </c>
      <c r="C82" s="150">
        <f>SUM(C83:C86)</f>
        <v>0</v>
      </c>
      <c r="D82" s="588">
        <f>'9.1.1. sz. mell. '!C82+'9.1.2. sz. mell.'!C82</f>
        <v>0</v>
      </c>
      <c r="E82" s="588">
        <f t="shared" si="3"/>
        <v>0</v>
      </c>
      <c r="F82" s="587">
        <f t="shared" si="4"/>
        <v>0</v>
      </c>
    </row>
    <row r="83" spans="1:6" s="59" customFormat="1" ht="12" customHeight="1" thickBot="1" x14ac:dyDescent="0.25">
      <c r="A83" s="250" t="s">
        <v>281</v>
      </c>
      <c r="B83" s="232" t="s">
        <v>282</v>
      </c>
      <c r="C83" s="154"/>
      <c r="D83" s="588">
        <f>'9.1.1. sz. mell. '!C83+'9.1.2. sz. mell.'!C83</f>
        <v>0</v>
      </c>
      <c r="E83" s="589">
        <f t="shared" si="3"/>
        <v>0</v>
      </c>
      <c r="F83" s="587">
        <f t="shared" si="4"/>
        <v>0</v>
      </c>
    </row>
    <row r="84" spans="1:6" s="59" customFormat="1" ht="12" customHeight="1" thickBot="1" x14ac:dyDescent="0.25">
      <c r="A84" s="251" t="s">
        <v>283</v>
      </c>
      <c r="B84" s="233" t="s">
        <v>284</v>
      </c>
      <c r="C84" s="154"/>
      <c r="D84" s="588">
        <f>'9.1.1. sz. mell. '!C84+'9.1.2. sz. mell.'!C84</f>
        <v>0</v>
      </c>
      <c r="E84" s="590">
        <f t="shared" si="3"/>
        <v>0</v>
      </c>
      <c r="F84" s="587">
        <f t="shared" si="4"/>
        <v>0</v>
      </c>
    </row>
    <row r="85" spans="1:6" s="59" customFormat="1" ht="12" customHeight="1" thickBot="1" x14ac:dyDescent="0.25">
      <c r="A85" s="251" t="s">
        <v>285</v>
      </c>
      <c r="B85" s="233" t="s">
        <v>286</v>
      </c>
      <c r="C85" s="154"/>
      <c r="D85" s="588">
        <f>'9.1.1. sz. mell. '!C85+'9.1.2. sz. mell.'!C85</f>
        <v>0</v>
      </c>
      <c r="E85" s="590">
        <f t="shared" si="3"/>
        <v>0</v>
      </c>
      <c r="F85" s="587">
        <f t="shared" si="4"/>
        <v>0</v>
      </c>
    </row>
    <row r="86" spans="1:6" s="58" customFormat="1" ht="12" customHeight="1" thickBot="1" x14ac:dyDescent="0.25">
      <c r="A86" s="252" t="s">
        <v>287</v>
      </c>
      <c r="B86" s="234" t="s">
        <v>288</v>
      </c>
      <c r="C86" s="154"/>
      <c r="D86" s="588">
        <f>'9.1.1. sz. mell. '!C86+'9.1.2. sz. mell.'!C86</f>
        <v>0</v>
      </c>
      <c r="E86" s="591">
        <f t="shared" si="3"/>
        <v>0</v>
      </c>
      <c r="F86" s="587">
        <f t="shared" si="4"/>
        <v>0</v>
      </c>
    </row>
    <row r="87" spans="1:6" s="58" customFormat="1" ht="12" customHeight="1" thickBot="1" x14ac:dyDescent="0.2">
      <c r="A87" s="249" t="s">
        <v>289</v>
      </c>
      <c r="B87" s="145" t="s">
        <v>482</v>
      </c>
      <c r="C87" s="271"/>
      <c r="D87" s="588">
        <f>'9.1.1. sz. mell. '!C87+'9.1.2. sz. mell.'!C87</f>
        <v>0</v>
      </c>
      <c r="E87" s="588">
        <f t="shared" si="3"/>
        <v>0</v>
      </c>
      <c r="F87" s="587">
        <f t="shared" si="4"/>
        <v>0</v>
      </c>
    </row>
    <row r="88" spans="1:6" s="58" customFormat="1" ht="12" customHeight="1" thickBot="1" x14ac:dyDescent="0.2">
      <c r="A88" s="249" t="s">
        <v>535</v>
      </c>
      <c r="B88" s="145" t="s">
        <v>290</v>
      </c>
      <c r="C88" s="271"/>
      <c r="D88" s="588">
        <f>'9.1.1. sz. mell. '!C88+'9.1.2. sz. mell.'!C88</f>
        <v>0</v>
      </c>
      <c r="E88" s="588">
        <f t="shared" si="3"/>
        <v>0</v>
      </c>
      <c r="F88" s="587">
        <f t="shared" si="4"/>
        <v>0</v>
      </c>
    </row>
    <row r="89" spans="1:6" s="58" customFormat="1" ht="12" customHeight="1" thickBot="1" x14ac:dyDescent="0.2">
      <c r="A89" s="249" t="s">
        <v>536</v>
      </c>
      <c r="B89" s="239" t="s">
        <v>483</v>
      </c>
      <c r="C89" s="155">
        <f>+C66+C70+C75+C78+C82+C88+C87</f>
        <v>787982220</v>
      </c>
      <c r="D89" s="588">
        <f>'9.1.1. sz. mell. '!C89+'9.1.2. sz. mell.'!C89</f>
        <v>787982220</v>
      </c>
      <c r="E89" s="588">
        <f t="shared" si="3"/>
        <v>0</v>
      </c>
      <c r="F89" s="587">
        <f t="shared" si="4"/>
        <v>0</v>
      </c>
    </row>
    <row r="90" spans="1:6" s="58" customFormat="1" ht="12" customHeight="1" thickBot="1" x14ac:dyDescent="0.2">
      <c r="A90" s="253" t="s">
        <v>537</v>
      </c>
      <c r="B90" s="240" t="s">
        <v>538</v>
      </c>
      <c r="C90" s="155">
        <f>+C65+C89</f>
        <v>2707806946</v>
      </c>
      <c r="D90" s="588">
        <f>'9.1.1. sz. mell. '!C90+'9.1.2. sz. mell.'!C90</f>
        <v>2707806946</v>
      </c>
      <c r="E90" s="588">
        <f t="shared" si="3"/>
        <v>0</v>
      </c>
      <c r="F90" s="587">
        <f t="shared" si="4"/>
        <v>0</v>
      </c>
    </row>
    <row r="91" spans="1:6" s="59" customFormat="1" ht="15" customHeight="1" thickBot="1" x14ac:dyDescent="0.25">
      <c r="A91" s="124"/>
      <c r="B91" s="125"/>
      <c r="C91" s="208"/>
      <c r="D91" s="588">
        <f>'9.1.1. sz. mell. '!C91+'9.1.2. sz. mell.'!C91</f>
        <v>0</v>
      </c>
      <c r="E91" s="584"/>
      <c r="F91" s="587">
        <f t="shared" si="4"/>
        <v>0</v>
      </c>
    </row>
    <row r="92" spans="1:6" s="44" customFormat="1" ht="16.5" customHeight="1" thickBot="1" x14ac:dyDescent="0.25">
      <c r="A92" s="128"/>
      <c r="B92" s="129" t="s">
        <v>62</v>
      </c>
      <c r="C92" s="210"/>
      <c r="D92" s="588">
        <f>'9.1.1. sz. mell. '!C92+'9.1.2. sz. mell.'!C92</f>
        <v>0</v>
      </c>
      <c r="E92" s="584"/>
      <c r="F92" s="587">
        <f t="shared" si="4"/>
        <v>0</v>
      </c>
    </row>
    <row r="93" spans="1:6" s="60" customFormat="1" ht="12" customHeight="1" thickBot="1" x14ac:dyDescent="0.25">
      <c r="A93" s="224" t="s">
        <v>23</v>
      </c>
      <c r="B93" s="25" t="s">
        <v>549</v>
      </c>
      <c r="C93" s="149">
        <f>+C94+C95+C96+C97+C98+C111</f>
        <v>635080549</v>
      </c>
      <c r="D93" s="588">
        <f>'9.1.1. sz. mell. '!C93+'9.1.2. sz. mell.'!C93</f>
        <v>635080549</v>
      </c>
      <c r="E93" s="588">
        <f t="shared" ref="E93:E124" si="5">C93-D93</f>
        <v>0</v>
      </c>
      <c r="F93" s="587">
        <f t="shared" si="4"/>
        <v>0</v>
      </c>
    </row>
    <row r="94" spans="1:6" ht="12" customHeight="1" thickBot="1" x14ac:dyDescent="0.25">
      <c r="A94" s="254" t="s">
        <v>99</v>
      </c>
      <c r="B94" s="9" t="s">
        <v>53</v>
      </c>
      <c r="C94" s="907">
        <f>2854500+25097896+75000+16116992+1182990+2491000+1095900-198000</f>
        <v>48716278</v>
      </c>
      <c r="D94" s="588">
        <f>'9.1.1. sz. mell. '!C94+'9.1.2. sz. mell.'!C94</f>
        <v>48716278</v>
      </c>
      <c r="E94" s="589">
        <f t="shared" si="5"/>
        <v>0</v>
      </c>
      <c r="F94" s="587">
        <f t="shared" si="4"/>
        <v>0</v>
      </c>
    </row>
    <row r="95" spans="1:6" ht="12" customHeight="1" thickBot="1" x14ac:dyDescent="0.25">
      <c r="A95" s="247" t="s">
        <v>100</v>
      </c>
      <c r="B95" s="7" t="s">
        <v>159</v>
      </c>
      <c r="C95" s="908">
        <f>500965+4771305+13275+17258+2940000+14000+207615+1015000+213701+281135-34749</f>
        <v>9939505</v>
      </c>
      <c r="D95" s="588">
        <f>'9.1.1. sz. mell. '!C95+'9.1.2. sz. mell.'!C95</f>
        <v>9939505</v>
      </c>
      <c r="E95" s="590">
        <f t="shared" si="5"/>
        <v>0</v>
      </c>
      <c r="F95" s="587">
        <f t="shared" si="4"/>
        <v>0</v>
      </c>
    </row>
    <row r="96" spans="1:6" ht="12" customHeight="1" thickBot="1" x14ac:dyDescent="0.25">
      <c r="A96" s="247" t="s">
        <v>101</v>
      </c>
      <c r="B96" s="7" t="s">
        <v>129</v>
      </c>
      <c r="C96" s="909">
        <f>13447475+835000+16099000+50000+52909601+3082677+6787092+2456000+4504030+871220+397000+194467+34163000+50473064+34200000+3285067+156511+9000000+563000+17207888+2681000+3300000+17042731+48545760+500000+381000+44100-8245+178500-37621053+63500+77000</f>
        <v>285866385</v>
      </c>
      <c r="D96" s="588">
        <f>'9.1.1. sz. mell. '!C96+'9.1.2. sz. mell.'!C96</f>
        <v>285866385</v>
      </c>
      <c r="E96" s="590">
        <f t="shared" si="5"/>
        <v>0</v>
      </c>
      <c r="F96" s="587">
        <f t="shared" si="4"/>
        <v>0</v>
      </c>
    </row>
    <row r="97" spans="1:6" ht="12" customHeight="1" thickBot="1" x14ac:dyDescent="0.25">
      <c r="A97" s="247" t="s">
        <v>102</v>
      </c>
      <c r="B97" s="10" t="s">
        <v>160</v>
      </c>
      <c r="C97" s="307">
        <f>69500000+3500000</f>
        <v>73000000</v>
      </c>
      <c r="D97" s="588">
        <f>'9.1.1. sz. mell. '!C97+'9.1.2. sz. mell.'!C97</f>
        <v>73000000</v>
      </c>
      <c r="E97" s="590">
        <f t="shared" si="5"/>
        <v>0</v>
      </c>
      <c r="F97" s="587">
        <f t="shared" si="4"/>
        <v>0</v>
      </c>
    </row>
    <row r="98" spans="1:6" ht="12" customHeight="1" thickBot="1" x14ac:dyDescent="0.25">
      <c r="A98" s="247" t="s">
        <v>113</v>
      </c>
      <c r="B98" s="18" t="s">
        <v>161</v>
      </c>
      <c r="C98" s="909">
        <f>45183973+52959801+660000+100000+49357310+3869819</f>
        <v>152130903</v>
      </c>
      <c r="D98" s="588">
        <f>'9.1.1. sz. mell. '!C98+'9.1.2. sz. mell.'!C98</f>
        <v>152130903</v>
      </c>
      <c r="E98" s="590">
        <f t="shared" si="5"/>
        <v>0</v>
      </c>
      <c r="F98" s="587">
        <f t="shared" si="4"/>
        <v>0</v>
      </c>
    </row>
    <row r="99" spans="1:6" ht="12" customHeight="1" thickBot="1" x14ac:dyDescent="0.25">
      <c r="A99" s="247" t="s">
        <v>103</v>
      </c>
      <c r="B99" s="7" t="s">
        <v>539</v>
      </c>
      <c r="C99" s="909">
        <f>100000+3869819</f>
        <v>3969819</v>
      </c>
      <c r="D99" s="588">
        <f>'9.1.1. sz. mell. '!C99+'9.1.2. sz. mell.'!C99</f>
        <v>3969819</v>
      </c>
      <c r="E99" s="590">
        <f t="shared" si="5"/>
        <v>0</v>
      </c>
      <c r="F99" s="587">
        <f t="shared" si="4"/>
        <v>0</v>
      </c>
    </row>
    <row r="100" spans="1:6" ht="12" customHeight="1" thickBot="1" x14ac:dyDescent="0.25">
      <c r="A100" s="247" t="s">
        <v>104</v>
      </c>
      <c r="B100" s="83" t="s">
        <v>487</v>
      </c>
      <c r="C100" s="307"/>
      <c r="D100" s="588">
        <f>'9.1.1. sz. mell. '!C100+'9.1.2. sz. mell.'!C100</f>
        <v>0</v>
      </c>
      <c r="E100" s="590">
        <f t="shared" si="5"/>
        <v>0</v>
      </c>
      <c r="F100" s="587">
        <f t="shared" si="4"/>
        <v>0</v>
      </c>
    </row>
    <row r="101" spans="1:6" ht="12" customHeight="1" thickBot="1" x14ac:dyDescent="0.25">
      <c r="A101" s="247" t="s">
        <v>114</v>
      </c>
      <c r="B101" s="83" t="s">
        <v>488</v>
      </c>
      <c r="C101" s="307"/>
      <c r="D101" s="588">
        <f>'9.1.1. sz. mell. '!C101+'9.1.2. sz. mell.'!C101</f>
        <v>0</v>
      </c>
      <c r="E101" s="590">
        <f t="shared" si="5"/>
        <v>0</v>
      </c>
      <c r="F101" s="587">
        <f t="shared" si="4"/>
        <v>0</v>
      </c>
    </row>
    <row r="102" spans="1:6" ht="12" customHeight="1" thickBot="1" x14ac:dyDescent="0.25">
      <c r="A102" s="247" t="s">
        <v>115</v>
      </c>
      <c r="B102" s="83" t="s">
        <v>306</v>
      </c>
      <c r="C102" s="307"/>
      <c r="D102" s="588">
        <f>'9.1.1. sz. mell. '!C102+'9.1.2. sz. mell.'!C102</f>
        <v>0</v>
      </c>
      <c r="E102" s="590">
        <f t="shared" si="5"/>
        <v>0</v>
      </c>
      <c r="F102" s="587">
        <f t="shared" si="4"/>
        <v>0</v>
      </c>
    </row>
    <row r="103" spans="1:6" ht="12" customHeight="1" thickBot="1" x14ac:dyDescent="0.25">
      <c r="A103" s="247" t="s">
        <v>116</v>
      </c>
      <c r="B103" s="84" t="s">
        <v>307</v>
      </c>
      <c r="C103" s="307"/>
      <c r="D103" s="588">
        <f>'9.1.1. sz. mell. '!C103+'9.1.2. sz. mell.'!C103</f>
        <v>0</v>
      </c>
      <c r="E103" s="590">
        <f t="shared" si="5"/>
        <v>0</v>
      </c>
      <c r="F103" s="587">
        <f t="shared" si="4"/>
        <v>0</v>
      </c>
    </row>
    <row r="104" spans="1:6" ht="12" customHeight="1" thickBot="1" x14ac:dyDescent="0.25">
      <c r="A104" s="247" t="s">
        <v>117</v>
      </c>
      <c r="B104" s="84" t="s">
        <v>308</v>
      </c>
      <c r="C104" s="307"/>
      <c r="D104" s="588">
        <f>'9.1.1. sz. mell. '!C104+'9.1.2. sz. mell.'!C104</f>
        <v>0</v>
      </c>
      <c r="E104" s="590">
        <f t="shared" si="5"/>
        <v>0</v>
      </c>
      <c r="F104" s="587">
        <f t="shared" si="4"/>
        <v>0</v>
      </c>
    </row>
    <row r="105" spans="1:6" ht="12" customHeight="1" thickBot="1" x14ac:dyDescent="0.25">
      <c r="A105" s="247" t="s">
        <v>119</v>
      </c>
      <c r="B105" s="83" t="s">
        <v>309</v>
      </c>
      <c r="C105" s="307">
        <f>660000</f>
        <v>660000</v>
      </c>
      <c r="D105" s="588">
        <f>'9.1.1. sz. mell. '!C105+'9.1.2. sz. mell.'!C105</f>
        <v>660000</v>
      </c>
      <c r="E105" s="590">
        <f t="shared" si="5"/>
        <v>0</v>
      </c>
      <c r="F105" s="587">
        <f t="shared" si="4"/>
        <v>0</v>
      </c>
    </row>
    <row r="106" spans="1:6" ht="12" customHeight="1" thickBot="1" x14ac:dyDescent="0.25">
      <c r="A106" s="247" t="s">
        <v>162</v>
      </c>
      <c r="B106" s="83" t="s">
        <v>310</v>
      </c>
      <c r="C106" s="307"/>
      <c r="D106" s="588">
        <f>'9.1.1. sz. mell. '!C106+'9.1.2. sz. mell.'!C106</f>
        <v>0</v>
      </c>
      <c r="E106" s="590">
        <f t="shared" si="5"/>
        <v>0</v>
      </c>
      <c r="F106" s="587">
        <f t="shared" si="4"/>
        <v>0</v>
      </c>
    </row>
    <row r="107" spans="1:6" ht="12" customHeight="1" thickBot="1" x14ac:dyDescent="0.25">
      <c r="A107" s="247" t="s">
        <v>304</v>
      </c>
      <c r="B107" s="84" t="s">
        <v>311</v>
      </c>
      <c r="C107" s="307"/>
      <c r="D107" s="588">
        <f>'9.1.1. sz. mell. '!C107+'9.1.2. sz. mell.'!C107</f>
        <v>0</v>
      </c>
      <c r="E107" s="590">
        <f t="shared" si="5"/>
        <v>0</v>
      </c>
      <c r="F107" s="587">
        <f t="shared" si="4"/>
        <v>0</v>
      </c>
    </row>
    <row r="108" spans="1:6" ht="12" customHeight="1" thickBot="1" x14ac:dyDescent="0.25">
      <c r="A108" s="255" t="s">
        <v>305</v>
      </c>
      <c r="B108" s="85" t="s">
        <v>312</v>
      </c>
      <c r="C108" s="307"/>
      <c r="D108" s="588">
        <f>'9.1.1. sz. mell. '!C108+'9.1.2. sz. mell.'!C108</f>
        <v>0</v>
      </c>
      <c r="E108" s="590">
        <f t="shared" si="5"/>
        <v>0</v>
      </c>
      <c r="F108" s="587">
        <f t="shared" si="4"/>
        <v>0</v>
      </c>
    </row>
    <row r="109" spans="1:6" ht="12" customHeight="1" thickBot="1" x14ac:dyDescent="0.25">
      <c r="A109" s="247" t="s">
        <v>489</v>
      </c>
      <c r="B109" s="85" t="s">
        <v>313</v>
      </c>
      <c r="C109" s="307"/>
      <c r="D109" s="588">
        <f>'9.1.1. sz. mell. '!C109+'9.1.2. sz. mell.'!C109</f>
        <v>0</v>
      </c>
      <c r="E109" s="590">
        <f t="shared" si="5"/>
        <v>0</v>
      </c>
      <c r="F109" s="587">
        <f t="shared" si="4"/>
        <v>0</v>
      </c>
    </row>
    <row r="110" spans="1:6" ht="12" customHeight="1" thickBot="1" x14ac:dyDescent="0.25">
      <c r="A110" s="247" t="s">
        <v>490</v>
      </c>
      <c r="B110" s="84" t="s">
        <v>314</v>
      </c>
      <c r="C110" s="303">
        <f>5697126+16985629+22501218+52959801+660000+49357310-660000</f>
        <v>147501084</v>
      </c>
      <c r="D110" s="588">
        <f>'9.1.1. sz. mell. '!C110+'9.1.2. sz. mell.'!C110</f>
        <v>147501084</v>
      </c>
      <c r="E110" s="590">
        <f t="shared" si="5"/>
        <v>0</v>
      </c>
      <c r="F110" s="587">
        <f t="shared" si="4"/>
        <v>0</v>
      </c>
    </row>
    <row r="111" spans="1:6" ht="12" customHeight="1" thickBot="1" x14ac:dyDescent="0.25">
      <c r="A111" s="247" t="s">
        <v>491</v>
      </c>
      <c r="B111" s="10" t="s">
        <v>54</v>
      </c>
      <c r="C111" s="154">
        <f>C112+C113</f>
        <v>65427478</v>
      </c>
      <c r="D111" s="588">
        <f>'9.1.1. sz. mell. '!C111+'9.1.2. sz. mell.'!C111</f>
        <v>65427478</v>
      </c>
      <c r="E111" s="590">
        <f t="shared" si="5"/>
        <v>0</v>
      </c>
      <c r="F111" s="587">
        <f t="shared" si="4"/>
        <v>0</v>
      </c>
    </row>
    <row r="112" spans="1:6" ht="12" customHeight="1" thickBot="1" x14ac:dyDescent="0.25">
      <c r="A112" s="248" t="s">
        <v>492</v>
      </c>
      <c r="B112" s="7" t="s">
        <v>540</v>
      </c>
      <c r="C112" s="909">
        <f>15000000-21705-8451320</f>
        <v>6526975</v>
      </c>
      <c r="D112" s="588">
        <f>'9.1.1. sz. mell. '!C112+'9.1.2. sz. mell.'!C112</f>
        <v>6526975</v>
      </c>
      <c r="E112" s="590">
        <f t="shared" si="5"/>
        <v>0</v>
      </c>
      <c r="F112" s="587">
        <f t="shared" si="4"/>
        <v>0</v>
      </c>
    </row>
    <row r="113" spans="1:6" ht="12" customHeight="1" thickBot="1" x14ac:dyDescent="0.25">
      <c r="A113" s="256" t="s">
        <v>494</v>
      </c>
      <c r="B113" s="86" t="s">
        <v>541</v>
      </c>
      <c r="C113" s="972">
        <f>65846522-6946019</f>
        <v>58900503</v>
      </c>
      <c r="D113" s="588">
        <f>'9.1.1. sz. mell. '!C113+'9.1.2. sz. mell.'!C113</f>
        <v>58900503</v>
      </c>
      <c r="E113" s="591">
        <f t="shared" si="5"/>
        <v>0</v>
      </c>
      <c r="F113" s="587">
        <f t="shared" si="4"/>
        <v>0</v>
      </c>
    </row>
    <row r="114" spans="1:6" ht="12" customHeight="1" thickBot="1" x14ac:dyDescent="0.25">
      <c r="A114" s="26" t="s">
        <v>24</v>
      </c>
      <c r="B114" s="24" t="s">
        <v>315</v>
      </c>
      <c r="C114" s="150">
        <f>+C115+C117+C119</f>
        <v>595259505</v>
      </c>
      <c r="D114" s="588">
        <f>'9.1.1. sz. mell. '!C114+'9.1.2. sz. mell.'!C114</f>
        <v>595259505</v>
      </c>
      <c r="E114" s="588">
        <f t="shared" si="5"/>
        <v>0</v>
      </c>
      <c r="F114" s="587">
        <f t="shared" si="4"/>
        <v>0</v>
      </c>
    </row>
    <row r="115" spans="1:6" ht="12" customHeight="1" thickBot="1" x14ac:dyDescent="0.25">
      <c r="A115" s="246" t="s">
        <v>105</v>
      </c>
      <c r="B115" s="7" t="s">
        <v>179</v>
      </c>
      <c r="C115" s="921">
        <f>359410+2345001+219008101+12873483+381000+1500000+3139585+33894811+377190+2338070+4950460+275000+20930495+5189661+457200+1422400+3000</f>
        <v>309444867</v>
      </c>
      <c r="D115" s="588">
        <f>'9.1.1. sz. mell. '!C115+'9.1.2. sz. mell.'!C115</f>
        <v>309444867</v>
      </c>
      <c r="E115" s="589">
        <f t="shared" si="5"/>
        <v>0</v>
      </c>
      <c r="F115" s="587">
        <f t="shared" si="4"/>
        <v>0</v>
      </c>
    </row>
    <row r="116" spans="1:6" ht="12" customHeight="1" thickBot="1" x14ac:dyDescent="0.25">
      <c r="A116" s="246" t="s">
        <v>106</v>
      </c>
      <c r="B116" s="11" t="s">
        <v>319</v>
      </c>
      <c r="C116" s="973">
        <f>12873483+33259811+218246101+20930495+1187993</f>
        <v>286497883</v>
      </c>
      <c r="D116" s="588">
        <f>'9.1.1. sz. mell. '!C116+'9.1.2. sz. mell.'!C116</f>
        <v>286497883</v>
      </c>
      <c r="E116" s="590">
        <f t="shared" si="5"/>
        <v>0</v>
      </c>
      <c r="F116" s="587">
        <f t="shared" si="4"/>
        <v>0</v>
      </c>
    </row>
    <row r="117" spans="1:6" ht="12" customHeight="1" thickBot="1" x14ac:dyDescent="0.25">
      <c r="A117" s="246" t="s">
        <v>107</v>
      </c>
      <c r="B117" s="11" t="s">
        <v>163</v>
      </c>
      <c r="C117" s="908">
        <f>180701362+1500000+37902555</f>
        <v>220103917</v>
      </c>
      <c r="D117" s="588">
        <f>'9.1.1. sz. mell. '!C117+'9.1.2. sz. mell.'!C117</f>
        <v>220103917</v>
      </c>
      <c r="E117" s="590">
        <f t="shared" si="5"/>
        <v>0</v>
      </c>
      <c r="F117" s="587">
        <f t="shared" si="4"/>
        <v>0</v>
      </c>
    </row>
    <row r="118" spans="1:6" ht="12" customHeight="1" thickBot="1" x14ac:dyDescent="0.25">
      <c r="A118" s="246" t="s">
        <v>108</v>
      </c>
      <c r="B118" s="11" t="s">
        <v>320</v>
      </c>
      <c r="C118" s="974">
        <f>146098020+36509260</f>
        <v>182607280</v>
      </c>
      <c r="D118" s="588">
        <f>'9.1.1. sz. mell. '!C118+'9.1.2. sz. mell.'!C118</f>
        <v>182607280</v>
      </c>
      <c r="E118" s="590">
        <f t="shared" si="5"/>
        <v>0</v>
      </c>
      <c r="F118" s="587">
        <f t="shared" si="4"/>
        <v>0</v>
      </c>
    </row>
    <row r="119" spans="1:6" ht="12" customHeight="1" thickBot="1" x14ac:dyDescent="0.25">
      <c r="A119" s="246" t="s">
        <v>109</v>
      </c>
      <c r="B119" s="147" t="s">
        <v>181</v>
      </c>
      <c r="C119" s="303">
        <v>65710721</v>
      </c>
      <c r="D119" s="588">
        <f>'9.1.1. sz. mell. '!C119+'9.1.2. sz. mell.'!C119</f>
        <v>65710721</v>
      </c>
      <c r="E119" s="590">
        <f t="shared" si="5"/>
        <v>0</v>
      </c>
      <c r="F119" s="587">
        <f t="shared" si="4"/>
        <v>0</v>
      </c>
    </row>
    <row r="120" spans="1:6" ht="12" customHeight="1" thickBot="1" x14ac:dyDescent="0.25">
      <c r="A120" s="246" t="s">
        <v>118</v>
      </c>
      <c r="B120" s="146" t="s">
        <v>382</v>
      </c>
      <c r="C120" s="137"/>
      <c r="D120" s="588">
        <f>'9.1.1. sz. mell. '!C120+'9.1.2. sz. mell.'!C120</f>
        <v>0</v>
      </c>
      <c r="E120" s="590">
        <f t="shared" si="5"/>
        <v>0</v>
      </c>
      <c r="F120" s="587">
        <f t="shared" si="4"/>
        <v>0</v>
      </c>
    </row>
    <row r="121" spans="1:6" ht="12" customHeight="1" thickBot="1" x14ac:dyDescent="0.25">
      <c r="A121" s="246" t="s">
        <v>120</v>
      </c>
      <c r="B121" s="228" t="s">
        <v>325</v>
      </c>
      <c r="C121" s="137"/>
      <c r="D121" s="588">
        <f>'9.1.1. sz. mell. '!C121+'9.1.2. sz. mell.'!C121</f>
        <v>0</v>
      </c>
      <c r="E121" s="590">
        <f t="shared" si="5"/>
        <v>0</v>
      </c>
      <c r="F121" s="587">
        <f t="shared" si="4"/>
        <v>0</v>
      </c>
    </row>
    <row r="122" spans="1:6" ht="12" customHeight="1" thickBot="1" x14ac:dyDescent="0.25">
      <c r="A122" s="246" t="s">
        <v>164</v>
      </c>
      <c r="B122" s="84" t="s">
        <v>308</v>
      </c>
      <c r="C122" s="137"/>
      <c r="D122" s="588">
        <f>'9.1.1. sz. mell. '!C122+'9.1.2. sz. mell.'!C122</f>
        <v>0</v>
      </c>
      <c r="E122" s="590">
        <f t="shared" si="5"/>
        <v>0</v>
      </c>
      <c r="F122" s="587">
        <f t="shared" si="4"/>
        <v>0</v>
      </c>
    </row>
    <row r="123" spans="1:6" ht="12" customHeight="1" thickBot="1" x14ac:dyDescent="0.25">
      <c r="A123" s="246" t="s">
        <v>165</v>
      </c>
      <c r="B123" s="84" t="s">
        <v>324</v>
      </c>
      <c r="C123" s="137"/>
      <c r="D123" s="588">
        <f>'9.1.1. sz. mell. '!C123+'9.1.2. sz. mell.'!C123</f>
        <v>0</v>
      </c>
      <c r="E123" s="590">
        <f t="shared" si="5"/>
        <v>0</v>
      </c>
      <c r="F123" s="587">
        <f t="shared" si="4"/>
        <v>0</v>
      </c>
    </row>
    <row r="124" spans="1:6" ht="12" customHeight="1" thickBot="1" x14ac:dyDescent="0.25">
      <c r="A124" s="246" t="s">
        <v>166</v>
      </c>
      <c r="B124" s="84" t="s">
        <v>323</v>
      </c>
      <c r="C124" s="137"/>
      <c r="D124" s="588">
        <f>'9.1.1. sz. mell. '!C124+'9.1.2. sz. mell.'!C124</f>
        <v>0</v>
      </c>
      <c r="E124" s="590">
        <f t="shared" si="5"/>
        <v>0</v>
      </c>
      <c r="F124" s="587">
        <f t="shared" si="4"/>
        <v>0</v>
      </c>
    </row>
    <row r="125" spans="1:6" ht="12" customHeight="1" thickBot="1" x14ac:dyDescent="0.25">
      <c r="A125" s="246" t="s">
        <v>316</v>
      </c>
      <c r="B125" s="84" t="s">
        <v>311</v>
      </c>
      <c r="C125" s="137"/>
      <c r="D125" s="588">
        <f>'9.1.1. sz. mell. '!C125+'9.1.2. sz. mell.'!C125</f>
        <v>0</v>
      </c>
      <c r="E125" s="590">
        <f t="shared" ref="E125:E155" si="6">C125-D125</f>
        <v>0</v>
      </c>
      <c r="F125" s="587">
        <f t="shared" si="4"/>
        <v>0</v>
      </c>
    </row>
    <row r="126" spans="1:6" ht="12" customHeight="1" thickBot="1" x14ac:dyDescent="0.25">
      <c r="A126" s="246" t="s">
        <v>317</v>
      </c>
      <c r="B126" s="84" t="s">
        <v>322</v>
      </c>
      <c r="C126" s="137"/>
      <c r="D126" s="588">
        <f>'9.1.1. sz. mell. '!C126+'9.1.2. sz. mell.'!C126</f>
        <v>0</v>
      </c>
      <c r="E126" s="590">
        <f t="shared" si="6"/>
        <v>0</v>
      </c>
      <c r="F126" s="587">
        <f t="shared" si="4"/>
        <v>0</v>
      </c>
    </row>
    <row r="127" spans="1:6" ht="12" customHeight="1" thickBot="1" x14ac:dyDescent="0.25">
      <c r="A127" s="255" t="s">
        <v>318</v>
      </c>
      <c r="B127" s="84" t="s">
        <v>321</v>
      </c>
      <c r="C127" s="307">
        <v>65710721</v>
      </c>
      <c r="D127" s="588">
        <f>'9.1.1. sz. mell. '!C127+'9.1.2. sz. mell.'!C127</f>
        <v>65710721</v>
      </c>
      <c r="E127" s="591">
        <f t="shared" si="6"/>
        <v>0</v>
      </c>
      <c r="F127" s="587">
        <f t="shared" si="4"/>
        <v>0</v>
      </c>
    </row>
    <row r="128" spans="1:6" ht="12" customHeight="1" thickBot="1" x14ac:dyDescent="0.25">
      <c r="A128" s="26" t="s">
        <v>25</v>
      </c>
      <c r="B128" s="79" t="s">
        <v>496</v>
      </c>
      <c r="C128" s="150">
        <f>+C93+C114</f>
        <v>1230340054</v>
      </c>
      <c r="D128" s="588">
        <f>'9.1.1. sz. mell. '!C128+'9.1.2. sz. mell.'!C128</f>
        <v>1230340054</v>
      </c>
      <c r="E128" s="588">
        <f t="shared" si="6"/>
        <v>0</v>
      </c>
      <c r="F128" s="587">
        <f t="shared" si="4"/>
        <v>0</v>
      </c>
    </row>
    <row r="129" spans="1:9" ht="12" customHeight="1" thickBot="1" x14ac:dyDescent="0.25">
      <c r="A129" s="26" t="s">
        <v>26</v>
      </c>
      <c r="B129" s="79" t="s">
        <v>497</v>
      </c>
      <c r="C129" s="150">
        <f>+C130+C131+C132</f>
        <v>108486704</v>
      </c>
      <c r="D129" s="588">
        <f>'9.1.1. sz. mell. '!C129+'9.1.2. sz. mell.'!C129</f>
        <v>108486704</v>
      </c>
      <c r="E129" s="588">
        <f t="shared" si="6"/>
        <v>0</v>
      </c>
      <c r="F129" s="587">
        <f t="shared" si="4"/>
        <v>0</v>
      </c>
    </row>
    <row r="130" spans="1:9" s="60" customFormat="1" ht="12" customHeight="1" thickBot="1" x14ac:dyDescent="0.25">
      <c r="A130" s="246" t="s">
        <v>216</v>
      </c>
      <c r="B130" s="8" t="s">
        <v>542</v>
      </c>
      <c r="C130" s="303">
        <f>4042704+4444000</f>
        <v>8486704</v>
      </c>
      <c r="D130" s="588">
        <f>'9.1.1. sz. mell. '!C130+'9.1.2. sz. mell.'!C130</f>
        <v>8486704</v>
      </c>
      <c r="E130" s="589">
        <f t="shared" si="6"/>
        <v>0</v>
      </c>
      <c r="F130" s="587">
        <f t="shared" si="4"/>
        <v>0</v>
      </c>
    </row>
    <row r="131" spans="1:9" ht="12" customHeight="1" thickBot="1" x14ac:dyDescent="0.25">
      <c r="A131" s="246" t="s">
        <v>219</v>
      </c>
      <c r="B131" s="8" t="s">
        <v>499</v>
      </c>
      <c r="C131" s="137">
        <v>100000000</v>
      </c>
      <c r="D131" s="588">
        <f>'9.1.1. sz. mell. '!C131+'9.1.2. sz. mell.'!C131</f>
        <v>100000000</v>
      </c>
      <c r="E131" s="590">
        <f t="shared" si="6"/>
        <v>0</v>
      </c>
      <c r="F131" s="587">
        <f t="shared" si="4"/>
        <v>0</v>
      </c>
    </row>
    <row r="132" spans="1:9" ht="12" customHeight="1" thickBot="1" x14ac:dyDescent="0.25">
      <c r="A132" s="255" t="s">
        <v>220</v>
      </c>
      <c r="B132" s="6" t="s">
        <v>543</v>
      </c>
      <c r="C132" s="137"/>
      <c r="D132" s="588">
        <f>'9.1.1. sz. mell. '!C132+'9.1.2. sz. mell.'!C132</f>
        <v>0</v>
      </c>
      <c r="E132" s="591">
        <f t="shared" si="6"/>
        <v>0</v>
      </c>
      <c r="F132" s="587">
        <f t="shared" si="4"/>
        <v>0</v>
      </c>
    </row>
    <row r="133" spans="1:9" ht="12" customHeight="1" thickBot="1" x14ac:dyDescent="0.25">
      <c r="A133" s="26" t="s">
        <v>27</v>
      </c>
      <c r="B133" s="79" t="s">
        <v>501</v>
      </c>
      <c r="C133" s="150">
        <f>+C134+C135+C136+C137+C138+C139</f>
        <v>0</v>
      </c>
      <c r="D133" s="588">
        <f>'9.1.1. sz. mell. '!C133+'9.1.2. sz. mell.'!C133</f>
        <v>0</v>
      </c>
      <c r="E133" s="588">
        <f t="shared" si="6"/>
        <v>0</v>
      </c>
      <c r="F133" s="587">
        <f t="shared" si="4"/>
        <v>0</v>
      </c>
    </row>
    <row r="134" spans="1:9" ht="12" customHeight="1" thickBot="1" x14ac:dyDescent="0.25">
      <c r="A134" s="246" t="s">
        <v>92</v>
      </c>
      <c r="B134" s="8" t="s">
        <v>502</v>
      </c>
      <c r="C134" s="137"/>
      <c r="D134" s="588">
        <f>'9.1.1. sz. mell. '!C134+'9.1.2. sz. mell.'!C134</f>
        <v>0</v>
      </c>
      <c r="E134" s="589">
        <f t="shared" si="6"/>
        <v>0</v>
      </c>
      <c r="F134" s="587">
        <f t="shared" si="4"/>
        <v>0</v>
      </c>
    </row>
    <row r="135" spans="1:9" ht="12" customHeight="1" thickBot="1" x14ac:dyDescent="0.25">
      <c r="A135" s="246" t="s">
        <v>93</v>
      </c>
      <c r="B135" s="8" t="s">
        <v>503</v>
      </c>
      <c r="C135" s="137"/>
      <c r="D135" s="588">
        <f>'9.1.1. sz. mell. '!C135+'9.1.2. sz. mell.'!C135</f>
        <v>0</v>
      </c>
      <c r="E135" s="590">
        <f t="shared" si="6"/>
        <v>0</v>
      </c>
      <c r="F135" s="587">
        <f t="shared" si="4"/>
        <v>0</v>
      </c>
    </row>
    <row r="136" spans="1:9" ht="12" customHeight="1" thickBot="1" x14ac:dyDescent="0.25">
      <c r="A136" s="246" t="s">
        <v>94</v>
      </c>
      <c r="B136" s="8" t="s">
        <v>504</v>
      </c>
      <c r="C136" s="137"/>
      <c r="D136" s="588">
        <f>'9.1.1. sz. mell. '!C136+'9.1.2. sz. mell.'!C136</f>
        <v>0</v>
      </c>
      <c r="E136" s="590">
        <f t="shared" si="6"/>
        <v>0</v>
      </c>
      <c r="F136" s="587">
        <f t="shared" si="4"/>
        <v>0</v>
      </c>
    </row>
    <row r="137" spans="1:9" ht="12" customHeight="1" thickBot="1" x14ac:dyDescent="0.25">
      <c r="A137" s="246" t="s">
        <v>151</v>
      </c>
      <c r="B137" s="8" t="s">
        <v>544</v>
      </c>
      <c r="C137" s="137"/>
      <c r="D137" s="588">
        <f>'9.1.1. sz. mell. '!C137+'9.1.2. sz. mell.'!C137</f>
        <v>0</v>
      </c>
      <c r="E137" s="590">
        <f t="shared" si="6"/>
        <v>0</v>
      </c>
      <c r="F137" s="587">
        <f t="shared" ref="F137:F158" si="7">C137-D137</f>
        <v>0</v>
      </c>
    </row>
    <row r="138" spans="1:9" ht="12" customHeight="1" thickBot="1" x14ac:dyDescent="0.25">
      <c r="A138" s="246" t="s">
        <v>152</v>
      </c>
      <c r="B138" s="8" t="s">
        <v>506</v>
      </c>
      <c r="C138" s="137"/>
      <c r="D138" s="588">
        <f>'9.1.1. sz. mell. '!C138+'9.1.2. sz. mell.'!C138</f>
        <v>0</v>
      </c>
      <c r="E138" s="590">
        <f t="shared" si="6"/>
        <v>0</v>
      </c>
      <c r="F138" s="587">
        <f t="shared" si="7"/>
        <v>0</v>
      </c>
    </row>
    <row r="139" spans="1:9" s="60" customFormat="1" ht="12" customHeight="1" thickBot="1" x14ac:dyDescent="0.25">
      <c r="A139" s="255" t="s">
        <v>153</v>
      </c>
      <c r="B139" s="6" t="s">
        <v>507</v>
      </c>
      <c r="C139" s="137"/>
      <c r="D139" s="588">
        <f>'9.1.1. sz. mell. '!C139+'9.1.2. sz. mell.'!C139</f>
        <v>0</v>
      </c>
      <c r="E139" s="591">
        <f t="shared" si="6"/>
        <v>0</v>
      </c>
      <c r="F139" s="587">
        <f t="shared" si="7"/>
        <v>0</v>
      </c>
    </row>
    <row r="140" spans="1:9" ht="12" customHeight="1" thickBot="1" x14ac:dyDescent="0.25">
      <c r="A140" s="26" t="s">
        <v>28</v>
      </c>
      <c r="B140" s="79" t="s">
        <v>545</v>
      </c>
      <c r="C140" s="155">
        <f>+C141+C142+C144+C145+C143</f>
        <v>38167591</v>
      </c>
      <c r="D140" s="588">
        <f>'9.1.1. sz. mell. '!C140+'9.1.2. sz. mell.'!C140</f>
        <v>38167591</v>
      </c>
      <c r="E140" s="588">
        <f t="shared" si="6"/>
        <v>0</v>
      </c>
      <c r="F140" s="587">
        <f t="shared" si="7"/>
        <v>0</v>
      </c>
      <c r="I140" s="136"/>
    </row>
    <row r="141" spans="1:9" ht="13.5" thickBot="1" x14ac:dyDescent="0.25">
      <c r="A141" s="246" t="s">
        <v>95</v>
      </c>
      <c r="B141" s="8" t="s">
        <v>326</v>
      </c>
      <c r="C141" s="137"/>
      <c r="D141" s="588">
        <f>'9.1.1. sz. mell. '!C141+'9.1.2. sz. mell.'!C141</f>
        <v>0</v>
      </c>
      <c r="E141" s="589">
        <f t="shared" si="6"/>
        <v>0</v>
      </c>
      <c r="F141" s="587">
        <f t="shared" si="7"/>
        <v>0</v>
      </c>
    </row>
    <row r="142" spans="1:9" ht="12" customHeight="1" thickBot="1" x14ac:dyDescent="0.25">
      <c r="A142" s="246" t="s">
        <v>96</v>
      </c>
      <c r="B142" s="8" t="s">
        <v>327</v>
      </c>
      <c r="C142" s="137">
        <v>38167591</v>
      </c>
      <c r="D142" s="588">
        <f>'9.1.1. sz. mell. '!C142+'9.1.2. sz. mell.'!C142</f>
        <v>38167591</v>
      </c>
      <c r="E142" s="590">
        <f t="shared" si="6"/>
        <v>0</v>
      </c>
      <c r="F142" s="587">
        <f t="shared" si="7"/>
        <v>0</v>
      </c>
    </row>
    <row r="143" spans="1:9" ht="12" customHeight="1" thickBot="1" x14ac:dyDescent="0.25">
      <c r="A143" s="246" t="s">
        <v>240</v>
      </c>
      <c r="B143" s="8" t="s">
        <v>546</v>
      </c>
      <c r="C143" s="137"/>
      <c r="D143" s="588">
        <f>'9.1.1. sz. mell. '!C143+'9.1.2. sz. mell.'!C143</f>
        <v>0</v>
      </c>
      <c r="E143" s="590">
        <f t="shared" si="6"/>
        <v>0</v>
      </c>
      <c r="F143" s="587">
        <f t="shared" si="7"/>
        <v>0</v>
      </c>
    </row>
    <row r="144" spans="1:9" s="60" customFormat="1" ht="12" customHeight="1" thickBot="1" x14ac:dyDescent="0.25">
      <c r="A144" s="246" t="s">
        <v>241</v>
      </c>
      <c r="B144" s="8" t="s">
        <v>509</v>
      </c>
      <c r="C144" s="137"/>
      <c r="D144" s="588">
        <f>'9.1.1. sz. mell. '!C144+'9.1.2. sz. mell.'!C144</f>
        <v>0</v>
      </c>
      <c r="E144" s="590">
        <f t="shared" si="6"/>
        <v>0</v>
      </c>
      <c r="F144" s="587">
        <f t="shared" si="7"/>
        <v>0</v>
      </c>
    </row>
    <row r="145" spans="1:6" s="60" customFormat="1" ht="12" customHeight="1" thickBot="1" x14ac:dyDescent="0.25">
      <c r="A145" s="255" t="s">
        <v>242</v>
      </c>
      <c r="B145" s="6" t="s">
        <v>345</v>
      </c>
      <c r="C145" s="137"/>
      <c r="D145" s="588">
        <f>'9.1.1. sz. mell. '!C145+'9.1.2. sz. mell.'!C145</f>
        <v>0</v>
      </c>
      <c r="E145" s="591">
        <f t="shared" si="6"/>
        <v>0</v>
      </c>
      <c r="F145" s="587">
        <f t="shared" si="7"/>
        <v>0</v>
      </c>
    </row>
    <row r="146" spans="1:6" s="60" customFormat="1" ht="12" customHeight="1" thickBot="1" x14ac:dyDescent="0.25">
      <c r="A146" s="26" t="s">
        <v>29</v>
      </c>
      <c r="B146" s="79" t="s">
        <v>510</v>
      </c>
      <c r="C146" s="158">
        <f>+C147+C148+C149+C150+C151</f>
        <v>0</v>
      </c>
      <c r="D146" s="588">
        <f>'9.1.1. sz. mell. '!C146+'9.1.2. sz. mell.'!C146</f>
        <v>0</v>
      </c>
      <c r="E146" s="588">
        <f t="shared" si="6"/>
        <v>0</v>
      </c>
      <c r="F146" s="587">
        <f t="shared" si="7"/>
        <v>0</v>
      </c>
    </row>
    <row r="147" spans="1:6" s="60" customFormat="1" ht="12" customHeight="1" thickBot="1" x14ac:dyDescent="0.25">
      <c r="A147" s="246" t="s">
        <v>97</v>
      </c>
      <c r="B147" s="8" t="s">
        <v>511</v>
      </c>
      <c r="C147" s="137"/>
      <c r="D147" s="588">
        <f>'9.1.1. sz. mell. '!C147+'9.1.2. sz. mell.'!C147</f>
        <v>0</v>
      </c>
      <c r="E147" s="589">
        <f t="shared" si="6"/>
        <v>0</v>
      </c>
      <c r="F147" s="587">
        <f t="shared" si="7"/>
        <v>0</v>
      </c>
    </row>
    <row r="148" spans="1:6" s="60" customFormat="1" ht="12" customHeight="1" thickBot="1" x14ac:dyDescent="0.25">
      <c r="A148" s="246" t="s">
        <v>98</v>
      </c>
      <c r="B148" s="8" t="s">
        <v>512</v>
      </c>
      <c r="C148" s="137"/>
      <c r="D148" s="588">
        <f>'9.1.1. sz. mell. '!C148+'9.1.2. sz. mell.'!C148</f>
        <v>0</v>
      </c>
      <c r="E148" s="590">
        <f t="shared" si="6"/>
        <v>0</v>
      </c>
      <c r="F148" s="587">
        <f t="shared" si="7"/>
        <v>0</v>
      </c>
    </row>
    <row r="149" spans="1:6" s="60" customFormat="1" ht="12" customHeight="1" thickBot="1" x14ac:dyDescent="0.25">
      <c r="A149" s="246" t="s">
        <v>252</v>
      </c>
      <c r="B149" s="8" t="s">
        <v>513</v>
      </c>
      <c r="C149" s="137"/>
      <c r="D149" s="588">
        <f>'9.1.1. sz. mell. '!C149+'9.1.2. sz. mell.'!C149</f>
        <v>0</v>
      </c>
      <c r="E149" s="590">
        <f t="shared" si="6"/>
        <v>0</v>
      </c>
      <c r="F149" s="587">
        <f t="shared" si="7"/>
        <v>0</v>
      </c>
    </row>
    <row r="150" spans="1:6" s="60" customFormat="1" ht="12" customHeight="1" thickBot="1" x14ac:dyDescent="0.25">
      <c r="A150" s="246" t="s">
        <v>253</v>
      </c>
      <c r="B150" s="8" t="s">
        <v>547</v>
      </c>
      <c r="C150" s="137"/>
      <c r="D150" s="588">
        <f>'9.1.1. sz. mell. '!C150+'9.1.2. sz. mell.'!C150</f>
        <v>0</v>
      </c>
      <c r="E150" s="590">
        <f t="shared" si="6"/>
        <v>0</v>
      </c>
      <c r="F150" s="587">
        <f t="shared" si="7"/>
        <v>0</v>
      </c>
    </row>
    <row r="151" spans="1:6" ht="12.75" customHeight="1" thickBot="1" x14ac:dyDescent="0.25">
      <c r="A151" s="255" t="s">
        <v>515</v>
      </c>
      <c r="B151" s="6" t="s">
        <v>516</v>
      </c>
      <c r="C151" s="138"/>
      <c r="D151" s="588">
        <f>'9.1.1. sz. mell. '!C151+'9.1.2. sz. mell.'!C151</f>
        <v>0</v>
      </c>
      <c r="E151" s="591">
        <f t="shared" si="6"/>
        <v>0</v>
      </c>
      <c r="F151" s="587">
        <f t="shared" si="7"/>
        <v>0</v>
      </c>
    </row>
    <row r="152" spans="1:6" ht="12.75" customHeight="1" thickBot="1" x14ac:dyDescent="0.25">
      <c r="A152" s="299" t="s">
        <v>30</v>
      </c>
      <c r="B152" s="79" t="s">
        <v>517</v>
      </c>
      <c r="C152" s="158"/>
      <c r="D152" s="588">
        <f>'9.1.1. sz. mell. '!C152+'9.1.2. sz. mell.'!C152</f>
        <v>0</v>
      </c>
      <c r="E152" s="588">
        <f t="shared" si="6"/>
        <v>0</v>
      </c>
      <c r="F152" s="587">
        <f t="shared" si="7"/>
        <v>0</v>
      </c>
    </row>
    <row r="153" spans="1:6" ht="12.75" customHeight="1" thickBot="1" x14ac:dyDescent="0.25">
      <c r="A153" s="299" t="s">
        <v>31</v>
      </c>
      <c r="B153" s="79" t="s">
        <v>518</v>
      </c>
      <c r="C153" s="158"/>
      <c r="D153" s="588">
        <f>'9.1.1. sz. mell. '!C153+'9.1.2. sz. mell.'!C153</f>
        <v>0</v>
      </c>
      <c r="E153" s="592">
        <f t="shared" si="6"/>
        <v>0</v>
      </c>
      <c r="F153" s="587">
        <f t="shared" si="7"/>
        <v>0</v>
      </c>
    </row>
    <row r="154" spans="1:6" ht="12" customHeight="1" thickBot="1" x14ac:dyDescent="0.25">
      <c r="A154" s="26" t="s">
        <v>32</v>
      </c>
      <c r="B154" s="79" t="s">
        <v>519</v>
      </c>
      <c r="C154" s="242">
        <f>+C129+C133+C140+C146+C152+C153</f>
        <v>146654295</v>
      </c>
      <c r="D154" s="588">
        <f>'9.1.1. sz. mell. '!C154+'9.1.2. sz. mell.'!C154</f>
        <v>146654295</v>
      </c>
      <c r="E154" s="588">
        <f t="shared" si="6"/>
        <v>0</v>
      </c>
      <c r="F154" s="587">
        <f t="shared" si="7"/>
        <v>0</v>
      </c>
    </row>
    <row r="155" spans="1:6" ht="15" customHeight="1" thickBot="1" x14ac:dyDescent="0.25">
      <c r="A155" s="257" t="s">
        <v>33</v>
      </c>
      <c r="B155" s="217" t="s">
        <v>520</v>
      </c>
      <c r="C155" s="242">
        <f>+C128+C154</f>
        <v>1376994349</v>
      </c>
      <c r="D155" s="588">
        <f>'9.1.1. sz. mell. '!C155+'9.1.2. sz. mell.'!C155</f>
        <v>1376994349</v>
      </c>
      <c r="E155" s="588">
        <f t="shared" si="6"/>
        <v>0</v>
      </c>
      <c r="F155" s="587">
        <f t="shared" si="7"/>
        <v>0</v>
      </c>
    </row>
    <row r="156" spans="1:6" ht="13.5" thickBot="1" x14ac:dyDescent="0.25">
      <c r="D156" s="588">
        <f>'9.1.1. sz. mell. '!C156+'9.1.2. sz. mell.'!C156</f>
        <v>0</v>
      </c>
      <c r="F156" s="587">
        <f t="shared" si="7"/>
        <v>0</v>
      </c>
    </row>
    <row r="157" spans="1:6" ht="15" customHeight="1" thickBot="1" x14ac:dyDescent="0.25">
      <c r="A157" s="133" t="s">
        <v>548</v>
      </c>
      <c r="B157" s="134"/>
      <c r="C157" s="78">
        <v>6</v>
      </c>
      <c r="D157" s="588">
        <f>'9.1.1. sz. mell. '!C157+'9.1.2. sz. mell.'!C157</f>
        <v>6</v>
      </c>
      <c r="F157" s="587">
        <f t="shared" si="7"/>
        <v>0</v>
      </c>
    </row>
    <row r="158" spans="1:6" ht="14.25" customHeight="1" thickBot="1" x14ac:dyDescent="0.25">
      <c r="A158" s="133" t="s">
        <v>175</v>
      </c>
      <c r="B158" s="134"/>
      <c r="C158" s="78"/>
      <c r="D158" s="588">
        <f>'9.1.1. sz. mell. '!C158+'9.1.2. sz. mell.'!C158</f>
        <v>0</v>
      </c>
      <c r="F158" s="587">
        <f t="shared" si="7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8/2018.(IV.27. 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15" zoomScaleNormal="115" zoomScaleSheetLayoutView="85" workbookViewId="0">
      <selection activeCell="J91" sqref="J91"/>
    </sheetView>
  </sheetViews>
  <sheetFormatPr defaultRowHeight="12.75" x14ac:dyDescent="0.2"/>
  <cols>
    <col min="1" max="1" width="19.5" style="593" customWidth="1"/>
    <col min="2" max="2" width="72" style="594" customWidth="1"/>
    <col min="3" max="3" width="25" style="595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110"/>
      <c r="B1" s="112"/>
      <c r="C1" s="135"/>
    </row>
    <row r="2" spans="1:3" s="56" customFormat="1" ht="21" customHeight="1" x14ac:dyDescent="0.2">
      <c r="A2" s="222" t="s">
        <v>67</v>
      </c>
      <c r="B2" s="199" t="s">
        <v>176</v>
      </c>
      <c r="C2" s="201" t="s">
        <v>58</v>
      </c>
    </row>
    <row r="3" spans="1:3" s="56" customFormat="1" ht="16.5" thickBot="1" x14ac:dyDescent="0.25">
      <c r="A3" s="113" t="s">
        <v>172</v>
      </c>
      <c r="B3" s="200" t="s">
        <v>383</v>
      </c>
      <c r="C3" s="298" t="s">
        <v>65</v>
      </c>
    </row>
    <row r="4" spans="1:3" s="57" customFormat="1" ht="15.95" customHeight="1" thickBot="1" x14ac:dyDescent="0.3">
      <c r="A4" s="114"/>
      <c r="B4" s="114"/>
      <c r="C4" s="115" t="s">
        <v>597</v>
      </c>
    </row>
    <row r="5" spans="1:3" ht="13.5" thickBot="1" x14ac:dyDescent="0.25">
      <c r="A5" s="223" t="s">
        <v>174</v>
      </c>
      <c r="B5" s="116" t="s">
        <v>59</v>
      </c>
      <c r="C5" s="202" t="s">
        <v>60</v>
      </c>
    </row>
    <row r="6" spans="1:3" s="44" customFormat="1" ht="12.95" customHeight="1" thickBot="1" x14ac:dyDescent="0.25">
      <c r="A6" s="92" t="s">
        <v>469</v>
      </c>
      <c r="B6" s="93" t="s">
        <v>470</v>
      </c>
      <c r="C6" s="94" t="s">
        <v>471</v>
      </c>
    </row>
    <row r="7" spans="1:3" s="44" customFormat="1" ht="15.95" customHeight="1" thickBot="1" x14ac:dyDescent="0.25">
      <c r="A7" s="118"/>
      <c r="B7" s="119" t="s">
        <v>61</v>
      </c>
      <c r="C7" s="203"/>
    </row>
    <row r="8" spans="1:3" s="44" customFormat="1" ht="12" customHeight="1" thickBot="1" x14ac:dyDescent="0.25">
      <c r="A8" s="26" t="s">
        <v>23</v>
      </c>
      <c r="B8" s="20" t="s">
        <v>200</v>
      </c>
      <c r="C8" s="150">
        <f>+C9+C10+C11+C12+C13+C14</f>
        <v>1123360277</v>
      </c>
    </row>
    <row r="9" spans="1:3" s="58" customFormat="1" ht="12" customHeight="1" x14ac:dyDescent="0.2">
      <c r="A9" s="246" t="s">
        <v>99</v>
      </c>
      <c r="B9" s="232" t="s">
        <v>201</v>
      </c>
      <c r="C9" s="332">
        <v>227855923</v>
      </c>
    </row>
    <row r="10" spans="1:3" s="59" customFormat="1" ht="12" customHeight="1" x14ac:dyDescent="0.2">
      <c r="A10" s="247" t="s">
        <v>100</v>
      </c>
      <c r="B10" s="233" t="s">
        <v>202</v>
      </c>
      <c r="C10" s="303">
        <v>224734134</v>
      </c>
    </row>
    <row r="11" spans="1:3" s="59" customFormat="1" ht="12" customHeight="1" x14ac:dyDescent="0.2">
      <c r="A11" s="247" t="s">
        <v>101</v>
      </c>
      <c r="B11" s="233" t="s">
        <v>203</v>
      </c>
      <c r="C11" s="303">
        <f>126991000+65060600+192410145+62092600</f>
        <v>446554345</v>
      </c>
    </row>
    <row r="12" spans="1:3" s="59" customFormat="1" ht="12" customHeight="1" x14ac:dyDescent="0.2">
      <c r="A12" s="247" t="s">
        <v>102</v>
      </c>
      <c r="B12" s="233" t="s">
        <v>204</v>
      </c>
      <c r="C12" s="303">
        <v>16122040</v>
      </c>
    </row>
    <row r="13" spans="1:3" s="59" customFormat="1" ht="12" customHeight="1" x14ac:dyDescent="0.2">
      <c r="A13" s="247" t="s">
        <v>136</v>
      </c>
      <c r="B13" s="233" t="s">
        <v>533</v>
      </c>
      <c r="C13" s="908">
        <f>16254886+190231327+1309600+298022</f>
        <v>208093835</v>
      </c>
    </row>
    <row r="14" spans="1:3" s="58" customFormat="1" ht="12" customHeight="1" thickBot="1" x14ac:dyDescent="0.25">
      <c r="A14" s="248" t="s">
        <v>103</v>
      </c>
      <c r="B14" s="234" t="s">
        <v>473</v>
      </c>
      <c r="C14" s="154"/>
    </row>
    <row r="15" spans="1:3" s="58" customFormat="1" ht="12" customHeight="1" thickBot="1" x14ac:dyDescent="0.25">
      <c r="A15" s="26" t="s">
        <v>24</v>
      </c>
      <c r="B15" s="145" t="s">
        <v>205</v>
      </c>
      <c r="C15" s="150">
        <f>+C16+C17+C18+C19+C20</f>
        <v>28570000</v>
      </c>
    </row>
    <row r="16" spans="1:3" s="58" customFormat="1" ht="12" customHeight="1" x14ac:dyDescent="0.2">
      <c r="A16" s="246" t="s">
        <v>105</v>
      </c>
      <c r="B16" s="232" t="s">
        <v>206</v>
      </c>
      <c r="C16" s="152"/>
    </row>
    <row r="17" spans="1:3" s="58" customFormat="1" ht="12" customHeight="1" x14ac:dyDescent="0.2">
      <c r="A17" s="247" t="s">
        <v>106</v>
      </c>
      <c r="B17" s="233" t="s">
        <v>207</v>
      </c>
      <c r="C17" s="151"/>
    </row>
    <row r="18" spans="1:3" s="58" customFormat="1" ht="12" customHeight="1" x14ac:dyDescent="0.2">
      <c r="A18" s="247" t="s">
        <v>107</v>
      </c>
      <c r="B18" s="233" t="s">
        <v>376</v>
      </c>
      <c r="C18" s="154"/>
    </row>
    <row r="19" spans="1:3" s="58" customFormat="1" ht="12" customHeight="1" x14ac:dyDescent="0.2">
      <c r="A19" s="247" t="s">
        <v>108</v>
      </c>
      <c r="B19" s="233" t="s">
        <v>377</v>
      </c>
      <c r="C19" s="154"/>
    </row>
    <row r="20" spans="1:3" s="58" customFormat="1" ht="12" customHeight="1" x14ac:dyDescent="0.2">
      <c r="A20" s="247" t="s">
        <v>109</v>
      </c>
      <c r="B20" s="233" t="s">
        <v>208</v>
      </c>
      <c r="C20" s="303">
        <f>4320000+24250000</f>
        <v>28570000</v>
      </c>
    </row>
    <row r="21" spans="1:3" s="59" customFormat="1" ht="12" customHeight="1" thickBot="1" x14ac:dyDescent="0.25">
      <c r="A21" s="248" t="s">
        <v>118</v>
      </c>
      <c r="B21" s="234" t="s">
        <v>209</v>
      </c>
      <c r="C21" s="221"/>
    </row>
    <row r="22" spans="1:3" s="59" customFormat="1" ht="12" customHeight="1" thickBot="1" x14ac:dyDescent="0.25">
      <c r="A22" s="26" t="s">
        <v>25</v>
      </c>
      <c r="B22" s="20" t="s">
        <v>210</v>
      </c>
      <c r="C22" s="150">
        <f>+C23+C24+C25+C26+C27</f>
        <v>13442271</v>
      </c>
    </row>
    <row r="23" spans="1:3" s="59" customFormat="1" ht="12" customHeight="1" x14ac:dyDescent="0.2">
      <c r="A23" s="246" t="s">
        <v>88</v>
      </c>
      <c r="B23" s="232" t="s">
        <v>211</v>
      </c>
      <c r="C23" s="270"/>
    </row>
    <row r="24" spans="1:3" s="58" customFormat="1" ht="12" customHeight="1" x14ac:dyDescent="0.2">
      <c r="A24" s="247" t="s">
        <v>89</v>
      </c>
      <c r="B24" s="233" t="s">
        <v>212</v>
      </c>
      <c r="C24" s="154"/>
    </row>
    <row r="25" spans="1:3" s="59" customFormat="1" ht="12" customHeight="1" x14ac:dyDescent="0.2">
      <c r="A25" s="247" t="s">
        <v>90</v>
      </c>
      <c r="B25" s="233" t="s">
        <v>378</v>
      </c>
      <c r="C25" s="154"/>
    </row>
    <row r="26" spans="1:3" s="59" customFormat="1" ht="12" customHeight="1" x14ac:dyDescent="0.2">
      <c r="A26" s="247" t="s">
        <v>91</v>
      </c>
      <c r="B26" s="233" t="s">
        <v>379</v>
      </c>
      <c r="C26" s="154"/>
    </row>
    <row r="27" spans="1:3" s="59" customFormat="1" ht="12" customHeight="1" x14ac:dyDescent="0.2">
      <c r="A27" s="247" t="s">
        <v>147</v>
      </c>
      <c r="B27" s="233" t="s">
        <v>213</v>
      </c>
      <c r="C27" s="303">
        <f>5866130+3779393+3796748</f>
        <v>13442271</v>
      </c>
    </row>
    <row r="28" spans="1:3" s="59" customFormat="1" ht="12" customHeight="1" thickBot="1" x14ac:dyDescent="0.25">
      <c r="A28" s="248" t="s">
        <v>148</v>
      </c>
      <c r="B28" s="234" t="s">
        <v>214</v>
      </c>
      <c r="C28" s="221">
        <v>13442271</v>
      </c>
    </row>
    <row r="29" spans="1:3" s="59" customFormat="1" ht="12" customHeight="1" thickBot="1" x14ac:dyDescent="0.25">
      <c r="A29" s="26" t="s">
        <v>149</v>
      </c>
      <c r="B29" s="20" t="s">
        <v>215</v>
      </c>
      <c r="C29" s="155">
        <f>+C30+C34+C35+C36</f>
        <v>352658000</v>
      </c>
    </row>
    <row r="30" spans="1:3" s="59" customFormat="1" ht="12" customHeight="1" x14ac:dyDescent="0.2">
      <c r="A30" s="246" t="s">
        <v>216</v>
      </c>
      <c r="B30" s="232" t="s">
        <v>534</v>
      </c>
      <c r="C30" s="227">
        <f>SUM(C31:C33)</f>
        <v>308654000</v>
      </c>
    </row>
    <row r="31" spans="1:3" s="59" customFormat="1" ht="12" customHeight="1" x14ac:dyDescent="0.2">
      <c r="A31" s="247" t="s">
        <v>217</v>
      </c>
      <c r="B31" s="233" t="s">
        <v>222</v>
      </c>
      <c r="C31" s="137">
        <v>77500000</v>
      </c>
    </row>
    <row r="32" spans="1:3" s="59" customFormat="1" ht="12" customHeight="1" x14ac:dyDescent="0.2">
      <c r="A32" s="247" t="s">
        <v>218</v>
      </c>
      <c r="B32" s="233" t="s">
        <v>576</v>
      </c>
      <c r="C32" s="137">
        <v>231154000</v>
      </c>
    </row>
    <row r="33" spans="1:3" s="59" customFormat="1" ht="12" customHeight="1" x14ac:dyDescent="0.2">
      <c r="A33" s="247" t="s">
        <v>475</v>
      </c>
      <c r="B33" s="233" t="s">
        <v>573</v>
      </c>
      <c r="C33" s="303"/>
    </row>
    <row r="34" spans="1:3" s="59" customFormat="1" ht="12" customHeight="1" x14ac:dyDescent="0.2">
      <c r="A34" s="247" t="s">
        <v>219</v>
      </c>
      <c r="B34" s="233" t="s">
        <v>224</v>
      </c>
      <c r="C34" s="137">
        <v>28000000</v>
      </c>
    </row>
    <row r="35" spans="1:3" s="59" customFormat="1" ht="12" customHeight="1" x14ac:dyDescent="0.2">
      <c r="A35" s="247" t="s">
        <v>220</v>
      </c>
      <c r="B35" s="233" t="s">
        <v>225</v>
      </c>
      <c r="C35" s="908">
        <f>4504000-4500000</f>
        <v>4000</v>
      </c>
    </row>
    <row r="36" spans="1:3" s="59" customFormat="1" ht="12" customHeight="1" thickBot="1" x14ac:dyDescent="0.25">
      <c r="A36" s="248" t="s">
        <v>221</v>
      </c>
      <c r="B36" s="234" t="s">
        <v>226</v>
      </c>
      <c r="C36" s="909">
        <f>11500000+4500000</f>
        <v>16000000</v>
      </c>
    </row>
    <row r="37" spans="1:3" s="59" customFormat="1" ht="12" customHeight="1" thickBot="1" x14ac:dyDescent="0.25">
      <c r="A37" s="26" t="s">
        <v>27</v>
      </c>
      <c r="B37" s="20" t="s">
        <v>477</v>
      </c>
      <c r="C37" s="150">
        <f>SUM(C38:C48)</f>
        <v>24782669</v>
      </c>
    </row>
    <row r="38" spans="1:3" s="59" customFormat="1" ht="12" customHeight="1" x14ac:dyDescent="0.2">
      <c r="A38" s="246" t="s">
        <v>92</v>
      </c>
      <c r="B38" s="232" t="s">
        <v>229</v>
      </c>
      <c r="C38" s="332"/>
    </row>
    <row r="39" spans="1:3" s="59" customFormat="1" ht="12" customHeight="1" x14ac:dyDescent="0.2">
      <c r="A39" s="247" t="s">
        <v>93</v>
      </c>
      <c r="B39" s="233" t="s">
        <v>230</v>
      </c>
      <c r="C39" s="303">
        <f>13910169+100000</f>
        <v>14010169</v>
      </c>
    </row>
    <row r="40" spans="1:3" s="59" customFormat="1" ht="12" customHeight="1" x14ac:dyDescent="0.2">
      <c r="A40" s="247" t="s">
        <v>94</v>
      </c>
      <c r="B40" s="233" t="s">
        <v>231</v>
      </c>
      <c r="C40" s="303">
        <f>500000+300000+50000+1400000+947000+300000</f>
        <v>3497000</v>
      </c>
    </row>
    <row r="41" spans="1:3" s="59" customFormat="1" ht="12" customHeight="1" x14ac:dyDescent="0.2">
      <c r="A41" s="247" t="s">
        <v>151</v>
      </c>
      <c r="B41" s="233" t="s">
        <v>232</v>
      </c>
      <c r="C41" s="303">
        <v>430000</v>
      </c>
    </row>
    <row r="42" spans="1:3" s="59" customFormat="1" ht="12" customHeight="1" x14ac:dyDescent="0.2">
      <c r="A42" s="247" t="s">
        <v>152</v>
      </c>
      <c r="B42" s="233" t="s">
        <v>233</v>
      </c>
      <c r="C42" s="303"/>
    </row>
    <row r="43" spans="1:3" s="59" customFormat="1" ht="12" customHeight="1" x14ac:dyDescent="0.2">
      <c r="A43" s="247" t="s">
        <v>153</v>
      </c>
      <c r="B43" s="233" t="s">
        <v>234</v>
      </c>
      <c r="C43" s="303">
        <f>5162000+81000+13500+378000+81000</f>
        <v>5715500</v>
      </c>
    </row>
    <row r="44" spans="1:3" s="59" customFormat="1" ht="12" customHeight="1" x14ac:dyDescent="0.2">
      <c r="A44" s="247" t="s">
        <v>154</v>
      </c>
      <c r="B44" s="233" t="s">
        <v>235</v>
      </c>
      <c r="C44" s="303"/>
    </row>
    <row r="45" spans="1:3" s="59" customFormat="1" ht="12" customHeight="1" x14ac:dyDescent="0.2">
      <c r="A45" s="247" t="s">
        <v>155</v>
      </c>
      <c r="B45" s="233" t="s">
        <v>236</v>
      </c>
      <c r="C45" s="303">
        <v>30000</v>
      </c>
    </row>
    <row r="46" spans="1:3" s="59" customFormat="1" ht="12" customHeight="1" x14ac:dyDescent="0.2">
      <c r="A46" s="247" t="s">
        <v>227</v>
      </c>
      <c r="B46" s="233" t="s">
        <v>237</v>
      </c>
      <c r="C46" s="303"/>
    </row>
    <row r="47" spans="1:3" s="59" customFormat="1" ht="12" customHeight="1" x14ac:dyDescent="0.2">
      <c r="A47" s="248" t="s">
        <v>228</v>
      </c>
      <c r="B47" s="234" t="s">
        <v>478</v>
      </c>
      <c r="C47" s="307">
        <v>500000</v>
      </c>
    </row>
    <row r="48" spans="1:3" s="59" customFormat="1" ht="12" customHeight="1" thickBot="1" x14ac:dyDescent="0.25">
      <c r="A48" s="248" t="s">
        <v>479</v>
      </c>
      <c r="B48" s="234" t="s">
        <v>238</v>
      </c>
      <c r="C48" s="307">
        <v>600000</v>
      </c>
    </row>
    <row r="49" spans="1:3" s="59" customFormat="1" ht="12" customHeight="1" thickBot="1" x14ac:dyDescent="0.25">
      <c r="A49" s="26" t="s">
        <v>28</v>
      </c>
      <c r="B49" s="20" t="s">
        <v>239</v>
      </c>
      <c r="C49" s="150">
        <f>SUM(C50:C54)</f>
        <v>30332500</v>
      </c>
    </row>
    <row r="50" spans="1:3" s="59" customFormat="1" ht="12" customHeight="1" x14ac:dyDescent="0.2">
      <c r="A50" s="246" t="s">
        <v>95</v>
      </c>
      <c r="B50" s="232" t="s">
        <v>243</v>
      </c>
      <c r="C50" s="270"/>
    </row>
    <row r="51" spans="1:3" s="59" customFormat="1" ht="12" customHeight="1" x14ac:dyDescent="0.2">
      <c r="A51" s="247" t="s">
        <v>96</v>
      </c>
      <c r="B51" s="233" t="s">
        <v>244</v>
      </c>
      <c r="C51" s="303">
        <v>30332500</v>
      </c>
    </row>
    <row r="52" spans="1:3" s="59" customFormat="1" ht="12" customHeight="1" x14ac:dyDescent="0.2">
      <c r="A52" s="247" t="s">
        <v>240</v>
      </c>
      <c r="B52" s="233" t="s">
        <v>245</v>
      </c>
      <c r="C52" s="154"/>
    </row>
    <row r="53" spans="1:3" s="59" customFormat="1" ht="12" customHeight="1" x14ac:dyDescent="0.2">
      <c r="A53" s="247" t="s">
        <v>241</v>
      </c>
      <c r="B53" s="233" t="s">
        <v>246</v>
      </c>
      <c r="C53" s="154"/>
    </row>
    <row r="54" spans="1:3" s="59" customFormat="1" ht="12" customHeight="1" thickBot="1" x14ac:dyDescent="0.25">
      <c r="A54" s="248" t="s">
        <v>242</v>
      </c>
      <c r="B54" s="234" t="s">
        <v>247</v>
      </c>
      <c r="C54" s="221"/>
    </row>
    <row r="55" spans="1:3" s="59" customFormat="1" ht="12" customHeight="1" thickBot="1" x14ac:dyDescent="0.25">
      <c r="A55" s="26" t="s">
        <v>156</v>
      </c>
      <c r="B55" s="20" t="s">
        <v>248</v>
      </c>
      <c r="C55" s="150">
        <f>SUM(C56:C58)</f>
        <v>2900000</v>
      </c>
    </row>
    <row r="56" spans="1:3" s="59" customFormat="1" ht="12" customHeight="1" x14ac:dyDescent="0.2">
      <c r="A56" s="246" t="s">
        <v>97</v>
      </c>
      <c r="B56" s="232" t="s">
        <v>249</v>
      </c>
      <c r="C56" s="152"/>
    </row>
    <row r="57" spans="1:3" s="59" customFormat="1" ht="12" customHeight="1" x14ac:dyDescent="0.2">
      <c r="A57" s="247" t="s">
        <v>98</v>
      </c>
      <c r="B57" s="233" t="s">
        <v>380</v>
      </c>
      <c r="C57" s="154"/>
    </row>
    <row r="58" spans="1:3" s="59" customFormat="1" ht="12" customHeight="1" x14ac:dyDescent="0.2">
      <c r="A58" s="247" t="s">
        <v>252</v>
      </c>
      <c r="B58" s="233" t="s">
        <v>250</v>
      </c>
      <c r="C58" s="303">
        <v>2900000</v>
      </c>
    </row>
    <row r="59" spans="1:3" s="59" customFormat="1" ht="12" customHeight="1" thickBot="1" x14ac:dyDescent="0.25">
      <c r="A59" s="248" t="s">
        <v>253</v>
      </c>
      <c r="B59" s="234" t="s">
        <v>251</v>
      </c>
      <c r="C59" s="153"/>
    </row>
    <row r="60" spans="1:3" s="59" customFormat="1" ht="12" customHeight="1" thickBot="1" x14ac:dyDescent="0.25">
      <c r="A60" s="26" t="s">
        <v>30</v>
      </c>
      <c r="B60" s="145" t="s">
        <v>254</v>
      </c>
      <c r="C60" s="150">
        <f>SUM(C61:C63)</f>
        <v>0</v>
      </c>
    </row>
    <row r="61" spans="1:3" s="59" customFormat="1" ht="12" customHeight="1" x14ac:dyDescent="0.2">
      <c r="A61" s="246" t="s">
        <v>157</v>
      </c>
      <c r="B61" s="232" t="s">
        <v>256</v>
      </c>
      <c r="C61" s="154"/>
    </row>
    <row r="62" spans="1:3" s="59" customFormat="1" ht="12" customHeight="1" x14ac:dyDescent="0.2">
      <c r="A62" s="247" t="s">
        <v>158</v>
      </c>
      <c r="B62" s="233" t="s">
        <v>381</v>
      </c>
      <c r="C62" s="154"/>
    </row>
    <row r="63" spans="1:3" s="59" customFormat="1" ht="12" customHeight="1" x14ac:dyDescent="0.2">
      <c r="A63" s="247" t="s">
        <v>180</v>
      </c>
      <c r="B63" s="233" t="s">
        <v>257</v>
      </c>
      <c r="C63" s="154"/>
    </row>
    <row r="64" spans="1:3" s="59" customFormat="1" ht="12" customHeight="1" thickBot="1" x14ac:dyDescent="0.25">
      <c r="A64" s="248" t="s">
        <v>255</v>
      </c>
      <c r="B64" s="234" t="s">
        <v>258</v>
      </c>
      <c r="C64" s="154"/>
    </row>
    <row r="65" spans="1:3" s="59" customFormat="1" ht="12" customHeight="1" thickBot="1" x14ac:dyDescent="0.25">
      <c r="A65" s="26" t="s">
        <v>31</v>
      </c>
      <c r="B65" s="20" t="s">
        <v>259</v>
      </c>
      <c r="C65" s="155">
        <f>+C8+C15+C22+C29+C37+C49+C55+C60</f>
        <v>1576045717</v>
      </c>
    </row>
    <row r="66" spans="1:3" s="59" customFormat="1" ht="12" customHeight="1" thickBot="1" x14ac:dyDescent="0.2">
      <c r="A66" s="249" t="s">
        <v>349</v>
      </c>
      <c r="B66" s="145" t="s">
        <v>261</v>
      </c>
      <c r="C66" s="150">
        <f>SUM(C67:C69)</f>
        <v>193478462</v>
      </c>
    </row>
    <row r="67" spans="1:3" s="59" customFormat="1" ht="12" customHeight="1" x14ac:dyDescent="0.2">
      <c r="A67" s="246" t="s">
        <v>292</v>
      </c>
      <c r="B67" s="232" t="s">
        <v>262</v>
      </c>
      <c r="C67" s="303">
        <v>93478462</v>
      </c>
    </row>
    <row r="68" spans="1:3" s="59" customFormat="1" ht="12" customHeight="1" x14ac:dyDescent="0.2">
      <c r="A68" s="247" t="s">
        <v>301</v>
      </c>
      <c r="B68" s="233" t="s">
        <v>263</v>
      </c>
      <c r="C68" s="303">
        <v>100000000</v>
      </c>
    </row>
    <row r="69" spans="1:3" s="59" customFormat="1" ht="12" customHeight="1" thickBot="1" x14ac:dyDescent="0.25">
      <c r="A69" s="248" t="s">
        <v>302</v>
      </c>
      <c r="B69" s="235" t="s">
        <v>264</v>
      </c>
      <c r="C69" s="154"/>
    </row>
    <row r="70" spans="1:3" s="59" customFormat="1" ht="12" customHeight="1" thickBot="1" x14ac:dyDescent="0.2">
      <c r="A70" s="249" t="s">
        <v>265</v>
      </c>
      <c r="B70" s="145" t="s">
        <v>266</v>
      </c>
      <c r="C70" s="150">
        <f>SUM(C71:C74)</f>
        <v>0</v>
      </c>
    </row>
    <row r="71" spans="1:3" s="59" customFormat="1" ht="12" customHeight="1" x14ac:dyDescent="0.2">
      <c r="A71" s="246" t="s">
        <v>137</v>
      </c>
      <c r="B71" s="232" t="s">
        <v>267</v>
      </c>
      <c r="C71" s="154"/>
    </row>
    <row r="72" spans="1:3" s="59" customFormat="1" ht="12" customHeight="1" x14ac:dyDescent="0.2">
      <c r="A72" s="247" t="s">
        <v>138</v>
      </c>
      <c r="B72" s="233" t="s">
        <v>268</v>
      </c>
      <c r="C72" s="154"/>
    </row>
    <row r="73" spans="1:3" s="59" customFormat="1" ht="12" customHeight="1" x14ac:dyDescent="0.2">
      <c r="A73" s="247" t="s">
        <v>293</v>
      </c>
      <c r="B73" s="233" t="s">
        <v>269</v>
      </c>
      <c r="C73" s="154"/>
    </row>
    <row r="74" spans="1:3" s="59" customFormat="1" ht="12" customHeight="1" thickBot="1" x14ac:dyDescent="0.25">
      <c r="A74" s="248" t="s">
        <v>294</v>
      </c>
      <c r="B74" s="234" t="s">
        <v>270</v>
      </c>
      <c r="C74" s="154"/>
    </row>
    <row r="75" spans="1:3" s="59" customFormat="1" ht="12" customHeight="1" thickBot="1" x14ac:dyDescent="0.2">
      <c r="A75" s="249" t="s">
        <v>271</v>
      </c>
      <c r="B75" s="145" t="s">
        <v>272</v>
      </c>
      <c r="C75" s="150">
        <f>SUM(C76:C77)</f>
        <v>594503758</v>
      </c>
    </row>
    <row r="76" spans="1:3" s="59" customFormat="1" ht="12" customHeight="1" x14ac:dyDescent="0.2">
      <c r="A76" s="246" t="s">
        <v>295</v>
      </c>
      <c r="B76" s="232" t="s">
        <v>273</v>
      </c>
      <c r="C76" s="908">
        <f>569119704+25384054</f>
        <v>594503758</v>
      </c>
    </row>
    <row r="77" spans="1:3" s="59" customFormat="1" ht="12" customHeight="1" thickBot="1" x14ac:dyDescent="0.25">
      <c r="A77" s="248" t="s">
        <v>296</v>
      </c>
      <c r="B77" s="234" t="s">
        <v>274</v>
      </c>
      <c r="C77" s="154"/>
    </row>
    <row r="78" spans="1:3" s="58" customFormat="1" ht="12" customHeight="1" thickBot="1" x14ac:dyDescent="0.2">
      <c r="A78" s="249" t="s">
        <v>275</v>
      </c>
      <c r="B78" s="145" t="s">
        <v>276</v>
      </c>
      <c r="C78" s="150">
        <f>SUM(C79:C81)</f>
        <v>0</v>
      </c>
    </row>
    <row r="79" spans="1:3" s="59" customFormat="1" ht="12" customHeight="1" x14ac:dyDescent="0.2">
      <c r="A79" s="246" t="s">
        <v>297</v>
      </c>
      <c r="B79" s="232" t="s">
        <v>277</v>
      </c>
      <c r="C79" s="154"/>
    </row>
    <row r="80" spans="1:3" s="59" customFormat="1" ht="12" customHeight="1" x14ac:dyDescent="0.2">
      <c r="A80" s="247" t="s">
        <v>298</v>
      </c>
      <c r="B80" s="233" t="s">
        <v>278</v>
      </c>
      <c r="C80" s="154"/>
    </row>
    <row r="81" spans="1:6" s="59" customFormat="1" ht="12" customHeight="1" thickBot="1" x14ac:dyDescent="0.25">
      <c r="A81" s="248" t="s">
        <v>299</v>
      </c>
      <c r="B81" s="234" t="s">
        <v>279</v>
      </c>
      <c r="C81" s="154"/>
    </row>
    <row r="82" spans="1:6" s="59" customFormat="1" ht="12" customHeight="1" thickBot="1" x14ac:dyDescent="0.2">
      <c r="A82" s="249" t="s">
        <v>280</v>
      </c>
      <c r="B82" s="145" t="s">
        <v>300</v>
      </c>
      <c r="C82" s="150">
        <f>SUM(C83:C86)</f>
        <v>0</v>
      </c>
    </row>
    <row r="83" spans="1:6" s="59" customFormat="1" ht="12" customHeight="1" x14ac:dyDescent="0.2">
      <c r="A83" s="250" t="s">
        <v>281</v>
      </c>
      <c r="B83" s="232" t="s">
        <v>282</v>
      </c>
      <c r="C83" s="154"/>
    </row>
    <row r="84" spans="1:6" s="59" customFormat="1" ht="12" customHeight="1" x14ac:dyDescent="0.2">
      <c r="A84" s="251" t="s">
        <v>283</v>
      </c>
      <c r="B84" s="233" t="s">
        <v>284</v>
      </c>
      <c r="C84" s="154"/>
    </row>
    <row r="85" spans="1:6" s="59" customFormat="1" ht="12" customHeight="1" x14ac:dyDescent="0.2">
      <c r="A85" s="251" t="s">
        <v>285</v>
      </c>
      <c r="B85" s="233" t="s">
        <v>286</v>
      </c>
      <c r="C85" s="154"/>
    </row>
    <row r="86" spans="1:6" s="58" customFormat="1" ht="12" customHeight="1" thickBot="1" x14ac:dyDescent="0.25">
      <c r="A86" s="252" t="s">
        <v>287</v>
      </c>
      <c r="B86" s="234" t="s">
        <v>288</v>
      </c>
      <c r="C86" s="154"/>
    </row>
    <row r="87" spans="1:6" s="58" customFormat="1" ht="12" customHeight="1" thickBot="1" x14ac:dyDescent="0.2">
      <c r="A87" s="249" t="s">
        <v>289</v>
      </c>
      <c r="B87" s="145" t="s">
        <v>482</v>
      </c>
      <c r="C87" s="271"/>
    </row>
    <row r="88" spans="1:6" s="58" customFormat="1" ht="12" customHeight="1" thickBot="1" x14ac:dyDescent="0.2">
      <c r="A88" s="249" t="s">
        <v>535</v>
      </c>
      <c r="B88" s="145" t="s">
        <v>290</v>
      </c>
      <c r="C88" s="271"/>
    </row>
    <row r="89" spans="1:6" s="58" customFormat="1" ht="12" customHeight="1" thickBot="1" x14ac:dyDescent="0.2">
      <c r="A89" s="249" t="s">
        <v>536</v>
      </c>
      <c r="B89" s="239" t="s">
        <v>483</v>
      </c>
      <c r="C89" s="155">
        <f>+C66+C70+C75+C78+C82+C88+C87</f>
        <v>787982220</v>
      </c>
    </row>
    <row r="90" spans="1:6" s="58" customFormat="1" ht="12" customHeight="1" thickBot="1" x14ac:dyDescent="0.2">
      <c r="A90" s="253" t="s">
        <v>537</v>
      </c>
      <c r="B90" s="240" t="s">
        <v>538</v>
      </c>
      <c r="C90" s="155">
        <f>+C65+C89</f>
        <v>2364027937</v>
      </c>
      <c r="F90" s="45"/>
    </row>
    <row r="91" spans="1:6" s="59" customFormat="1" ht="15" customHeight="1" thickBot="1" x14ac:dyDescent="0.25">
      <c r="A91" s="124"/>
      <c r="B91" s="125"/>
      <c r="C91" s="208"/>
    </row>
    <row r="92" spans="1:6" s="44" customFormat="1" ht="16.5" customHeight="1" thickBot="1" x14ac:dyDescent="0.25">
      <c r="A92" s="128"/>
      <c r="B92" s="129" t="s">
        <v>62</v>
      </c>
      <c r="C92" s="210"/>
    </row>
    <row r="93" spans="1:6" s="60" customFormat="1" ht="12" customHeight="1" thickBot="1" x14ac:dyDescent="0.25">
      <c r="A93" s="224" t="s">
        <v>23</v>
      </c>
      <c r="B93" s="25" t="s">
        <v>549</v>
      </c>
      <c r="C93" s="149">
        <f>+C94+C95+C96+C97+C98+C111</f>
        <v>539746479</v>
      </c>
    </row>
    <row r="94" spans="1:6" ht="12" customHeight="1" x14ac:dyDescent="0.2">
      <c r="A94" s="254" t="s">
        <v>99</v>
      </c>
      <c r="B94" s="9" t="s">
        <v>53</v>
      </c>
      <c r="C94" s="907">
        <f>2854500+25097896+11111000+584100+20000+1182990+1095900-198000</f>
        <v>41748386</v>
      </c>
    </row>
    <row r="95" spans="1:6" ht="12" customHeight="1" x14ac:dyDescent="0.2">
      <c r="A95" s="247" t="s">
        <v>100</v>
      </c>
      <c r="B95" s="7" t="s">
        <v>159</v>
      </c>
      <c r="C95" s="908">
        <f>500965+4771305+2167000+14000+207615+213701-34749</f>
        <v>7839837</v>
      </c>
    </row>
    <row r="96" spans="1:6" ht="12" customHeight="1" x14ac:dyDescent="0.2">
      <c r="A96" s="247" t="s">
        <v>101</v>
      </c>
      <c r="B96" s="7" t="s">
        <v>129</v>
      </c>
      <c r="C96" s="909">
        <f>13447475+835000+50000+52909601+6787092+2456000+4504030+871220+34163000+50473064+3285067+9000000+443000+120000+17207888+17042731+48545760+500000+381000+178500-37621053+63500</f>
        <v>225642875</v>
      </c>
    </row>
    <row r="97" spans="1:3" ht="12" customHeight="1" x14ac:dyDescent="0.2">
      <c r="A97" s="247" t="s">
        <v>102</v>
      </c>
      <c r="B97" s="10" t="s">
        <v>160</v>
      </c>
      <c r="C97" s="307">
        <f>69500000+3500000</f>
        <v>73000000</v>
      </c>
    </row>
    <row r="98" spans="1:3" ht="12" customHeight="1" x14ac:dyDescent="0.2">
      <c r="A98" s="247" t="s">
        <v>113</v>
      </c>
      <c r="B98" s="18" t="s">
        <v>161</v>
      </c>
      <c r="C98" s="909">
        <f>5697126+16985629+16551218+32866801+100000+660000+49357310+3869819</f>
        <v>126087903</v>
      </c>
    </row>
    <row r="99" spans="1:3" ht="12" customHeight="1" x14ac:dyDescent="0.2">
      <c r="A99" s="247" t="s">
        <v>103</v>
      </c>
      <c r="B99" s="7" t="s">
        <v>539</v>
      </c>
      <c r="C99" s="909">
        <f>100000+3869819</f>
        <v>3969819</v>
      </c>
    </row>
    <row r="100" spans="1:3" ht="12" customHeight="1" x14ac:dyDescent="0.2">
      <c r="A100" s="247" t="s">
        <v>104</v>
      </c>
      <c r="B100" s="83" t="s">
        <v>487</v>
      </c>
      <c r="C100" s="307"/>
    </row>
    <row r="101" spans="1:3" ht="12" customHeight="1" x14ac:dyDescent="0.2">
      <c r="A101" s="247" t="s">
        <v>114</v>
      </c>
      <c r="B101" s="83" t="s">
        <v>488</v>
      </c>
      <c r="C101" s="307"/>
    </row>
    <row r="102" spans="1:3" ht="12" customHeight="1" x14ac:dyDescent="0.2">
      <c r="A102" s="247" t="s">
        <v>115</v>
      </c>
      <c r="B102" s="83" t="s">
        <v>306</v>
      </c>
      <c r="C102" s="307"/>
    </row>
    <row r="103" spans="1:3" ht="12" customHeight="1" x14ac:dyDescent="0.2">
      <c r="A103" s="247" t="s">
        <v>116</v>
      </c>
      <c r="B103" s="84" t="s">
        <v>307</v>
      </c>
      <c r="C103" s="307"/>
    </row>
    <row r="104" spans="1:3" ht="12" customHeight="1" x14ac:dyDescent="0.2">
      <c r="A104" s="247" t="s">
        <v>117</v>
      </c>
      <c r="B104" s="84" t="s">
        <v>308</v>
      </c>
      <c r="C104" s="307"/>
    </row>
    <row r="105" spans="1:3" ht="12" customHeight="1" x14ac:dyDescent="0.2">
      <c r="A105" s="247" t="s">
        <v>119</v>
      </c>
      <c r="B105" s="83" t="s">
        <v>309</v>
      </c>
      <c r="C105" s="307">
        <f>660000</f>
        <v>660000</v>
      </c>
    </row>
    <row r="106" spans="1:3" ht="12" customHeight="1" x14ac:dyDescent="0.2">
      <c r="A106" s="247" t="s">
        <v>162</v>
      </c>
      <c r="B106" s="83" t="s">
        <v>310</v>
      </c>
      <c r="C106" s="307"/>
    </row>
    <row r="107" spans="1:3" ht="12" customHeight="1" x14ac:dyDescent="0.2">
      <c r="A107" s="247" t="s">
        <v>304</v>
      </c>
      <c r="B107" s="84" t="s">
        <v>311</v>
      </c>
      <c r="C107" s="307"/>
    </row>
    <row r="108" spans="1:3" ht="12" customHeight="1" x14ac:dyDescent="0.2">
      <c r="A108" s="255" t="s">
        <v>305</v>
      </c>
      <c r="B108" s="85" t="s">
        <v>312</v>
      </c>
      <c r="C108" s="307"/>
    </row>
    <row r="109" spans="1:3" ht="12" customHeight="1" x14ac:dyDescent="0.2">
      <c r="A109" s="247" t="s">
        <v>489</v>
      </c>
      <c r="B109" s="85" t="s">
        <v>313</v>
      </c>
      <c r="C109" s="307"/>
    </row>
    <row r="110" spans="1:3" ht="12" customHeight="1" x14ac:dyDescent="0.2">
      <c r="A110" s="247" t="s">
        <v>490</v>
      </c>
      <c r="B110" s="84" t="s">
        <v>314</v>
      </c>
      <c r="C110" s="303">
        <f>5697126+16985629+16551218+32866801+660000+49357310-660000</f>
        <v>121458084</v>
      </c>
    </row>
    <row r="111" spans="1:3" ht="12" customHeight="1" x14ac:dyDescent="0.2">
      <c r="A111" s="247" t="s">
        <v>491</v>
      </c>
      <c r="B111" s="10" t="s">
        <v>54</v>
      </c>
      <c r="C111" s="154">
        <f>SUM(C112:C113)</f>
        <v>65427478</v>
      </c>
    </row>
    <row r="112" spans="1:3" ht="12" customHeight="1" x14ac:dyDescent="0.2">
      <c r="A112" s="248" t="s">
        <v>492</v>
      </c>
      <c r="B112" s="7" t="s">
        <v>540</v>
      </c>
      <c r="C112" s="909">
        <f>15000000-21705-8451320</f>
        <v>6526975</v>
      </c>
    </row>
    <row r="113" spans="1:6" ht="12" customHeight="1" thickBot="1" x14ac:dyDescent="0.25">
      <c r="A113" s="256" t="s">
        <v>494</v>
      </c>
      <c r="B113" s="86" t="s">
        <v>541</v>
      </c>
      <c r="C113" s="972">
        <f>65846522-6946019</f>
        <v>58900503</v>
      </c>
    </row>
    <row r="114" spans="1:6" ht="12" customHeight="1" thickBot="1" x14ac:dyDescent="0.25">
      <c r="A114" s="26" t="s">
        <v>24</v>
      </c>
      <c r="B114" s="24" t="s">
        <v>315</v>
      </c>
      <c r="C114" s="150">
        <f>+C115+C117+C119</f>
        <v>580583432</v>
      </c>
    </row>
    <row r="115" spans="1:6" ht="12" customHeight="1" x14ac:dyDescent="0.2">
      <c r="A115" s="246" t="s">
        <v>105</v>
      </c>
      <c r="B115" s="7" t="s">
        <v>179</v>
      </c>
      <c r="C115" s="921">
        <f>359410+2345001+219008101+381000+1500000+3139585+33894811+2338070+4950460+275000+20930495+5189661+457200</f>
        <v>294768794</v>
      </c>
    </row>
    <row r="116" spans="1:6" ht="12" customHeight="1" x14ac:dyDescent="0.2">
      <c r="A116" s="246" t="s">
        <v>106</v>
      </c>
      <c r="B116" s="11" t="s">
        <v>319</v>
      </c>
      <c r="C116" s="921">
        <f>218246101+33259811+20930495+1187993</f>
        <v>273624400</v>
      </c>
    </row>
    <row r="117" spans="1:6" ht="12" customHeight="1" x14ac:dyDescent="0.2">
      <c r="A117" s="246" t="s">
        <v>107</v>
      </c>
      <c r="B117" s="11" t="s">
        <v>163</v>
      </c>
      <c r="C117" s="908">
        <f>180701362+1500000+37902555</f>
        <v>220103917</v>
      </c>
    </row>
    <row r="118" spans="1:6" ht="12" customHeight="1" x14ac:dyDescent="0.2">
      <c r="A118" s="246" t="s">
        <v>108</v>
      </c>
      <c r="B118" s="11" t="s">
        <v>320</v>
      </c>
      <c r="C118" s="908">
        <f>146098020+36509260</f>
        <v>182607280</v>
      </c>
    </row>
    <row r="119" spans="1:6" ht="12" customHeight="1" x14ac:dyDescent="0.2">
      <c r="A119" s="246" t="s">
        <v>109</v>
      </c>
      <c r="B119" s="147" t="s">
        <v>181</v>
      </c>
      <c r="C119" s="307">
        <v>65710721</v>
      </c>
    </row>
    <row r="120" spans="1:6" ht="12" customHeight="1" x14ac:dyDescent="0.2">
      <c r="A120" s="246" t="s">
        <v>118</v>
      </c>
      <c r="B120" s="146" t="s">
        <v>382</v>
      </c>
      <c r="C120" s="137"/>
    </row>
    <row r="121" spans="1:6" ht="12" customHeight="1" x14ac:dyDescent="0.2">
      <c r="A121" s="246" t="s">
        <v>120</v>
      </c>
      <c r="B121" s="228" t="s">
        <v>325</v>
      </c>
      <c r="C121" s="137"/>
    </row>
    <row r="122" spans="1:6" ht="12" customHeight="1" x14ac:dyDescent="0.2">
      <c r="A122" s="246" t="s">
        <v>164</v>
      </c>
      <c r="B122" s="84" t="s">
        <v>308</v>
      </c>
      <c r="C122" s="137"/>
    </row>
    <row r="123" spans="1:6" ht="12" customHeight="1" x14ac:dyDescent="0.2">
      <c r="A123" s="246" t="s">
        <v>165</v>
      </c>
      <c r="B123" s="84" t="s">
        <v>324</v>
      </c>
      <c r="C123" s="137"/>
    </row>
    <row r="124" spans="1:6" ht="12" customHeight="1" x14ac:dyDescent="0.2">
      <c r="A124" s="246" t="s">
        <v>166</v>
      </c>
      <c r="B124" s="84" t="s">
        <v>323</v>
      </c>
      <c r="C124" s="137"/>
    </row>
    <row r="125" spans="1:6" ht="12" customHeight="1" x14ac:dyDescent="0.2">
      <c r="A125" s="246" t="s">
        <v>316</v>
      </c>
      <c r="B125" s="84" t="s">
        <v>311</v>
      </c>
      <c r="C125" s="137"/>
    </row>
    <row r="126" spans="1:6" ht="12" customHeight="1" x14ac:dyDescent="0.2">
      <c r="A126" s="246" t="s">
        <v>317</v>
      </c>
      <c r="B126" s="84" t="s">
        <v>322</v>
      </c>
      <c r="C126" s="137"/>
    </row>
    <row r="127" spans="1:6" ht="12" customHeight="1" thickBot="1" x14ac:dyDescent="0.25">
      <c r="A127" s="255" t="s">
        <v>318</v>
      </c>
      <c r="B127" s="84" t="s">
        <v>321</v>
      </c>
      <c r="C127" s="138">
        <v>65710721</v>
      </c>
    </row>
    <row r="128" spans="1:6" ht="12" customHeight="1" thickBot="1" x14ac:dyDescent="0.25">
      <c r="A128" s="26" t="s">
        <v>25</v>
      </c>
      <c r="B128" s="79" t="s">
        <v>496</v>
      </c>
      <c r="C128" s="150">
        <f>+C93+C114</f>
        <v>1120329911</v>
      </c>
      <c r="F128" s="311"/>
    </row>
    <row r="129" spans="1:11" ht="12" customHeight="1" thickBot="1" x14ac:dyDescent="0.25">
      <c r="A129" s="26" t="s">
        <v>26</v>
      </c>
      <c r="B129" s="79" t="s">
        <v>497</v>
      </c>
      <c r="C129" s="150">
        <f>+C130+C131+C132</f>
        <v>104042704</v>
      </c>
    </row>
    <row r="130" spans="1:11" s="60" customFormat="1" ht="12" customHeight="1" x14ac:dyDescent="0.2">
      <c r="A130" s="246" t="s">
        <v>216</v>
      </c>
      <c r="B130" s="8" t="s">
        <v>542</v>
      </c>
      <c r="C130" s="303">
        <v>4042704</v>
      </c>
    </row>
    <row r="131" spans="1:11" ht="12" customHeight="1" x14ac:dyDescent="0.2">
      <c r="A131" s="246" t="s">
        <v>219</v>
      </c>
      <c r="B131" s="8" t="s">
        <v>499</v>
      </c>
      <c r="C131" s="137">
        <v>100000000</v>
      </c>
    </row>
    <row r="132" spans="1:11" ht="12" customHeight="1" thickBot="1" x14ac:dyDescent="0.25">
      <c r="A132" s="255" t="s">
        <v>220</v>
      </c>
      <c r="B132" s="6" t="s">
        <v>543</v>
      </c>
      <c r="C132" s="137"/>
    </row>
    <row r="133" spans="1:11" ht="12" customHeight="1" thickBot="1" x14ac:dyDescent="0.25">
      <c r="A133" s="26" t="s">
        <v>27</v>
      </c>
      <c r="B133" s="79" t="s">
        <v>501</v>
      </c>
      <c r="C133" s="150">
        <f>+C134+C135+C136+C137+C138+C139</f>
        <v>0</v>
      </c>
    </row>
    <row r="134" spans="1:11" ht="12" customHeight="1" x14ac:dyDescent="0.2">
      <c r="A134" s="246" t="s">
        <v>92</v>
      </c>
      <c r="B134" s="8" t="s">
        <v>502</v>
      </c>
      <c r="C134" s="137"/>
    </row>
    <row r="135" spans="1:11" ht="12" customHeight="1" x14ac:dyDescent="0.2">
      <c r="A135" s="246" t="s">
        <v>93</v>
      </c>
      <c r="B135" s="8" t="s">
        <v>503</v>
      </c>
      <c r="C135" s="137"/>
    </row>
    <row r="136" spans="1:11" ht="12" customHeight="1" x14ac:dyDescent="0.2">
      <c r="A136" s="246" t="s">
        <v>94</v>
      </c>
      <c r="B136" s="8" t="s">
        <v>504</v>
      </c>
      <c r="C136" s="137"/>
    </row>
    <row r="137" spans="1:11" ht="12" customHeight="1" x14ac:dyDescent="0.2">
      <c r="A137" s="246" t="s">
        <v>151</v>
      </c>
      <c r="B137" s="8" t="s">
        <v>544</v>
      </c>
      <c r="C137" s="137"/>
    </row>
    <row r="138" spans="1:11" ht="12" customHeight="1" x14ac:dyDescent="0.2">
      <c r="A138" s="246" t="s">
        <v>152</v>
      </c>
      <c r="B138" s="8" t="s">
        <v>506</v>
      </c>
      <c r="C138" s="137"/>
    </row>
    <row r="139" spans="1:11" s="60" customFormat="1" ht="12" customHeight="1" thickBot="1" x14ac:dyDescent="0.25">
      <c r="A139" s="255" t="s">
        <v>153</v>
      </c>
      <c r="B139" s="6" t="s">
        <v>507</v>
      </c>
      <c r="C139" s="137"/>
    </row>
    <row r="140" spans="1:11" ht="12" customHeight="1" thickBot="1" x14ac:dyDescent="0.25">
      <c r="A140" s="26" t="s">
        <v>28</v>
      </c>
      <c r="B140" s="79" t="s">
        <v>545</v>
      </c>
      <c r="C140" s="155">
        <f>+C141+C142+C144+C145+C143</f>
        <v>38167591</v>
      </c>
      <c r="K140" s="136"/>
    </row>
    <row r="141" spans="1:11" x14ac:dyDescent="0.2">
      <c r="A141" s="246" t="s">
        <v>95</v>
      </c>
      <c r="B141" s="8" t="s">
        <v>326</v>
      </c>
      <c r="C141" s="137"/>
    </row>
    <row r="142" spans="1:11" ht="12" customHeight="1" x14ac:dyDescent="0.2">
      <c r="A142" s="246" t="s">
        <v>96</v>
      </c>
      <c r="B142" s="8" t="s">
        <v>327</v>
      </c>
      <c r="C142" s="137">
        <v>38167591</v>
      </c>
    </row>
    <row r="143" spans="1:11" s="60" customFormat="1" ht="12" customHeight="1" x14ac:dyDescent="0.2">
      <c r="A143" s="246" t="s">
        <v>240</v>
      </c>
      <c r="B143" s="8" t="s">
        <v>546</v>
      </c>
      <c r="C143" s="137"/>
    </row>
    <row r="144" spans="1:11" s="60" customFormat="1" ht="12" customHeight="1" x14ac:dyDescent="0.2">
      <c r="A144" s="246" t="s">
        <v>241</v>
      </c>
      <c r="B144" s="8" t="s">
        <v>509</v>
      </c>
      <c r="C144" s="137"/>
    </row>
    <row r="145" spans="1:6" s="60" customFormat="1" ht="12" customHeight="1" thickBot="1" x14ac:dyDescent="0.25">
      <c r="A145" s="255" t="s">
        <v>242</v>
      </c>
      <c r="B145" s="6" t="s">
        <v>345</v>
      </c>
      <c r="C145" s="137"/>
    </row>
    <row r="146" spans="1:6" s="60" customFormat="1" ht="12" customHeight="1" thickBot="1" x14ac:dyDescent="0.25">
      <c r="A146" s="26" t="s">
        <v>29</v>
      </c>
      <c r="B146" s="79" t="s">
        <v>510</v>
      </c>
      <c r="C146" s="158">
        <f>+C147+C148+C149+C150+C151</f>
        <v>0</v>
      </c>
    </row>
    <row r="147" spans="1:6" s="60" customFormat="1" ht="12" customHeight="1" x14ac:dyDescent="0.2">
      <c r="A147" s="246" t="s">
        <v>97</v>
      </c>
      <c r="B147" s="8" t="s">
        <v>511</v>
      </c>
      <c r="C147" s="137"/>
    </row>
    <row r="148" spans="1:6" s="60" customFormat="1" ht="12" customHeight="1" x14ac:dyDescent="0.2">
      <c r="A148" s="246" t="s">
        <v>98</v>
      </c>
      <c r="B148" s="8" t="s">
        <v>512</v>
      </c>
      <c r="C148" s="137"/>
    </row>
    <row r="149" spans="1:6" s="60" customFormat="1" ht="12" customHeight="1" x14ac:dyDescent="0.2">
      <c r="A149" s="246" t="s">
        <v>252</v>
      </c>
      <c r="B149" s="8" t="s">
        <v>513</v>
      </c>
      <c r="C149" s="137"/>
    </row>
    <row r="150" spans="1:6" ht="12.75" customHeight="1" x14ac:dyDescent="0.2">
      <c r="A150" s="246" t="s">
        <v>253</v>
      </c>
      <c r="B150" s="8" t="s">
        <v>547</v>
      </c>
      <c r="C150" s="137"/>
    </row>
    <row r="151" spans="1:6" ht="12.75" customHeight="1" thickBot="1" x14ac:dyDescent="0.25">
      <c r="A151" s="255" t="s">
        <v>515</v>
      </c>
      <c r="B151" s="6" t="s">
        <v>516</v>
      </c>
      <c r="C151" s="138"/>
    </row>
    <row r="152" spans="1:6" ht="12.75" customHeight="1" thickBot="1" x14ac:dyDescent="0.25">
      <c r="A152" s="299" t="s">
        <v>30</v>
      </c>
      <c r="B152" s="79" t="s">
        <v>517</v>
      </c>
      <c r="C152" s="158"/>
    </row>
    <row r="153" spans="1:6" ht="12" customHeight="1" thickBot="1" x14ac:dyDescent="0.25">
      <c r="A153" s="299" t="s">
        <v>31</v>
      </c>
      <c r="B153" s="79" t="s">
        <v>518</v>
      </c>
      <c r="C153" s="158"/>
    </row>
    <row r="154" spans="1:6" ht="15" customHeight="1" thickBot="1" x14ac:dyDescent="0.25">
      <c r="A154" s="26" t="s">
        <v>32</v>
      </c>
      <c r="B154" s="79" t="s">
        <v>519</v>
      </c>
      <c r="C154" s="242">
        <f>+C129+C133+C140+C146+C152+C153</f>
        <v>142210295</v>
      </c>
    </row>
    <row r="155" spans="1:6" ht="13.5" thickBot="1" x14ac:dyDescent="0.25">
      <c r="A155" s="257" t="s">
        <v>33</v>
      </c>
      <c r="B155" s="217" t="s">
        <v>520</v>
      </c>
      <c r="C155" s="242">
        <f>+C128+C154</f>
        <v>1262540206</v>
      </c>
      <c r="F155" s="31"/>
    </row>
    <row r="156" spans="1:6" ht="15" customHeight="1" thickBot="1" x14ac:dyDescent="0.25"/>
    <row r="157" spans="1:6" ht="14.25" customHeight="1" thickBot="1" x14ac:dyDescent="0.25">
      <c r="A157" s="133" t="s">
        <v>548</v>
      </c>
      <c r="B157" s="134"/>
      <c r="C157" s="78">
        <v>6</v>
      </c>
    </row>
    <row r="158" spans="1:6" ht="13.5" thickBot="1" x14ac:dyDescent="0.25">
      <c r="A158" s="133" t="s">
        <v>175</v>
      </c>
      <c r="B158" s="134"/>
      <c r="C158" s="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8/2018.(IV.27.)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topLeftCell="A91" zoomScale="115" zoomScaleNormal="115" zoomScaleSheetLayoutView="85" workbookViewId="0">
      <selection activeCell="J91" sqref="J91"/>
    </sheetView>
  </sheetViews>
  <sheetFormatPr defaultRowHeight="12.75" x14ac:dyDescent="0.2"/>
  <cols>
    <col min="1" max="1" width="19.5" style="593" customWidth="1"/>
    <col min="2" max="2" width="72" style="594" customWidth="1"/>
    <col min="3" max="3" width="25" style="595" customWidth="1"/>
    <col min="4" max="16384" width="9.33203125" style="2"/>
  </cols>
  <sheetData>
    <row r="1" spans="1:3" s="1" customFormat="1" ht="16.5" customHeight="1" thickBot="1" x14ac:dyDescent="0.25">
      <c r="A1" s="110"/>
      <c r="B1" s="112"/>
      <c r="C1" s="135"/>
    </row>
    <row r="2" spans="1:3" s="56" customFormat="1" ht="21" customHeight="1" x14ac:dyDescent="0.2">
      <c r="A2" s="222" t="s">
        <v>67</v>
      </c>
      <c r="B2" s="199" t="s">
        <v>176</v>
      </c>
      <c r="C2" s="201" t="s">
        <v>58</v>
      </c>
    </row>
    <row r="3" spans="1:3" s="56" customFormat="1" ht="16.5" thickBot="1" x14ac:dyDescent="0.25">
      <c r="A3" s="113" t="s">
        <v>172</v>
      </c>
      <c r="B3" s="200" t="s">
        <v>384</v>
      </c>
      <c r="C3" s="298" t="s">
        <v>66</v>
      </c>
    </row>
    <row r="4" spans="1:3" s="57" customFormat="1" ht="15.95" customHeight="1" thickBot="1" x14ac:dyDescent="0.3">
      <c r="A4" s="114"/>
      <c r="B4" s="114"/>
      <c r="C4" s="115" t="s">
        <v>597</v>
      </c>
    </row>
    <row r="5" spans="1:3" ht="13.5" thickBot="1" x14ac:dyDescent="0.25">
      <c r="A5" s="223" t="s">
        <v>174</v>
      </c>
      <c r="B5" s="116" t="s">
        <v>59</v>
      </c>
      <c r="C5" s="202" t="s">
        <v>60</v>
      </c>
    </row>
    <row r="6" spans="1:3" s="44" customFormat="1" ht="12.95" customHeight="1" thickBot="1" x14ac:dyDescent="0.25">
      <c r="A6" s="92" t="s">
        <v>469</v>
      </c>
      <c r="B6" s="93" t="s">
        <v>470</v>
      </c>
      <c r="C6" s="94" t="s">
        <v>471</v>
      </c>
    </row>
    <row r="7" spans="1:3" s="44" customFormat="1" ht="15.95" customHeight="1" thickBot="1" x14ac:dyDescent="0.25">
      <c r="A7" s="118"/>
      <c r="B7" s="119" t="s">
        <v>61</v>
      </c>
      <c r="C7" s="203"/>
    </row>
    <row r="8" spans="1:3" s="44" customFormat="1" ht="12" customHeight="1" thickBot="1" x14ac:dyDescent="0.25">
      <c r="A8" s="26" t="s">
        <v>23</v>
      </c>
      <c r="B8" s="20" t="s">
        <v>200</v>
      </c>
      <c r="C8" s="150">
        <f>+C9+C10+C11+C12+C13+C14</f>
        <v>196543899</v>
      </c>
    </row>
    <row r="9" spans="1:3" s="58" customFormat="1" ht="12" customHeight="1" x14ac:dyDescent="0.2">
      <c r="A9" s="246" t="s">
        <v>99</v>
      </c>
      <c r="B9" s="232" t="s">
        <v>201</v>
      </c>
      <c r="C9" s="328"/>
    </row>
    <row r="10" spans="1:3" s="59" customFormat="1" ht="12" customHeight="1" x14ac:dyDescent="0.2">
      <c r="A10" s="247" t="s">
        <v>100</v>
      </c>
      <c r="B10" s="233" t="s">
        <v>202</v>
      </c>
      <c r="C10" s="137"/>
    </row>
    <row r="11" spans="1:3" s="59" customFormat="1" ht="12" customHeight="1" x14ac:dyDescent="0.2">
      <c r="A11" s="247" t="s">
        <v>101</v>
      </c>
      <c r="B11" s="233" t="s">
        <v>203</v>
      </c>
      <c r="C11" s="137">
        <v>119410000</v>
      </c>
    </row>
    <row r="12" spans="1:3" s="59" customFormat="1" ht="12" customHeight="1" x14ac:dyDescent="0.2">
      <c r="A12" s="247" t="s">
        <v>102</v>
      </c>
      <c r="B12" s="233" t="s">
        <v>204</v>
      </c>
      <c r="C12" s="137">
        <v>12622000</v>
      </c>
    </row>
    <row r="13" spans="1:3" s="59" customFormat="1" ht="12" customHeight="1" x14ac:dyDescent="0.2">
      <c r="A13" s="247" t="s">
        <v>136</v>
      </c>
      <c r="B13" s="233" t="s">
        <v>533</v>
      </c>
      <c r="C13" s="908">
        <f>63796813+715086</f>
        <v>64511899</v>
      </c>
    </row>
    <row r="14" spans="1:3" s="58" customFormat="1" ht="12" customHeight="1" thickBot="1" x14ac:dyDescent="0.25">
      <c r="A14" s="248" t="s">
        <v>103</v>
      </c>
      <c r="B14" s="234" t="s">
        <v>473</v>
      </c>
      <c r="C14" s="137"/>
    </row>
    <row r="15" spans="1:3" s="58" customFormat="1" ht="12" customHeight="1" thickBot="1" x14ac:dyDescent="0.25">
      <c r="A15" s="26" t="s">
        <v>24</v>
      </c>
      <c r="B15" s="145" t="s">
        <v>205</v>
      </c>
      <c r="C15" s="150">
        <f>+C16+C17+C18+C19+C20</f>
        <v>129787110</v>
      </c>
    </row>
    <row r="16" spans="1:3" s="58" customFormat="1" ht="12" customHeight="1" x14ac:dyDescent="0.2">
      <c r="A16" s="246" t="s">
        <v>105</v>
      </c>
      <c r="B16" s="232" t="s">
        <v>206</v>
      </c>
      <c r="C16" s="152"/>
    </row>
    <row r="17" spans="1:3" s="58" customFormat="1" ht="12" customHeight="1" x14ac:dyDescent="0.2">
      <c r="A17" s="247" t="s">
        <v>106</v>
      </c>
      <c r="B17" s="233" t="s">
        <v>207</v>
      </c>
      <c r="C17" s="151"/>
    </row>
    <row r="18" spans="1:3" s="58" customFormat="1" ht="12" customHeight="1" x14ac:dyDescent="0.2">
      <c r="A18" s="247" t="s">
        <v>107</v>
      </c>
      <c r="B18" s="233" t="s">
        <v>376</v>
      </c>
      <c r="C18" s="151"/>
    </row>
    <row r="19" spans="1:3" s="58" customFormat="1" ht="12" customHeight="1" x14ac:dyDescent="0.2">
      <c r="A19" s="247" t="s">
        <v>108</v>
      </c>
      <c r="B19" s="233" t="s">
        <v>377</v>
      </c>
      <c r="C19" s="151"/>
    </row>
    <row r="20" spans="1:3" s="58" customFormat="1" ht="12" customHeight="1" x14ac:dyDescent="0.2">
      <c r="A20" s="247" t="s">
        <v>109</v>
      </c>
      <c r="B20" s="233" t="s">
        <v>208</v>
      </c>
      <c r="C20" s="303">
        <f>3900000+125887110</f>
        <v>129787110</v>
      </c>
    </row>
    <row r="21" spans="1:3" s="59" customFormat="1" ht="12" customHeight="1" thickBot="1" x14ac:dyDescent="0.25">
      <c r="A21" s="248" t="s">
        <v>118</v>
      </c>
      <c r="B21" s="234" t="s">
        <v>209</v>
      </c>
      <c r="C21" s="153"/>
    </row>
    <row r="22" spans="1:3" s="59" customFormat="1" ht="12" customHeight="1" thickBot="1" x14ac:dyDescent="0.25">
      <c r="A22" s="26" t="s">
        <v>25</v>
      </c>
      <c r="B22" s="20" t="s">
        <v>210</v>
      </c>
      <c r="C22" s="150">
        <f>+C23+C24+C25+C26+C27</f>
        <v>0</v>
      </c>
    </row>
    <row r="23" spans="1:3" s="59" customFormat="1" ht="12" customHeight="1" x14ac:dyDescent="0.2">
      <c r="A23" s="246" t="s">
        <v>88</v>
      </c>
      <c r="B23" s="232" t="s">
        <v>211</v>
      </c>
      <c r="C23" s="152"/>
    </row>
    <row r="24" spans="1:3" s="58" customFormat="1" ht="12" customHeight="1" x14ac:dyDescent="0.2">
      <c r="A24" s="247" t="s">
        <v>89</v>
      </c>
      <c r="B24" s="233" t="s">
        <v>212</v>
      </c>
      <c r="C24" s="151"/>
    </row>
    <row r="25" spans="1:3" s="59" customFormat="1" ht="12" customHeight="1" x14ac:dyDescent="0.2">
      <c r="A25" s="247" t="s">
        <v>90</v>
      </c>
      <c r="B25" s="233" t="s">
        <v>378</v>
      </c>
      <c r="C25" s="151"/>
    </row>
    <row r="26" spans="1:3" s="59" customFormat="1" ht="12" customHeight="1" x14ac:dyDescent="0.2">
      <c r="A26" s="247" t="s">
        <v>91</v>
      </c>
      <c r="B26" s="233" t="s">
        <v>379</v>
      </c>
      <c r="C26" s="151"/>
    </row>
    <row r="27" spans="1:3" s="59" customFormat="1" ht="12" customHeight="1" x14ac:dyDescent="0.2">
      <c r="A27" s="247" t="s">
        <v>147</v>
      </c>
      <c r="B27" s="233" t="s">
        <v>213</v>
      </c>
      <c r="C27" s="154"/>
    </row>
    <row r="28" spans="1:3" s="59" customFormat="1" ht="12" customHeight="1" thickBot="1" x14ac:dyDescent="0.25">
      <c r="A28" s="248" t="s">
        <v>148</v>
      </c>
      <c r="B28" s="234" t="s">
        <v>214</v>
      </c>
      <c r="C28" s="221"/>
    </row>
    <row r="29" spans="1:3" s="59" customFormat="1" ht="12" customHeight="1" thickBot="1" x14ac:dyDescent="0.25">
      <c r="A29" s="26" t="s">
        <v>149</v>
      </c>
      <c r="B29" s="20" t="s">
        <v>215</v>
      </c>
      <c r="C29" s="150">
        <f>+C30+C34+C35+C36</f>
        <v>0</v>
      </c>
    </row>
    <row r="30" spans="1:3" s="59" customFormat="1" ht="12" customHeight="1" x14ac:dyDescent="0.2">
      <c r="A30" s="246" t="s">
        <v>216</v>
      </c>
      <c r="B30" s="232" t="s">
        <v>534</v>
      </c>
      <c r="C30" s="227">
        <f>+C31+C32+C33</f>
        <v>0</v>
      </c>
    </row>
    <row r="31" spans="1:3" s="59" customFormat="1" ht="12" customHeight="1" x14ac:dyDescent="0.2">
      <c r="A31" s="247" t="s">
        <v>217</v>
      </c>
      <c r="B31" s="233" t="s">
        <v>222</v>
      </c>
      <c r="C31" s="151"/>
    </row>
    <row r="32" spans="1:3" s="59" customFormat="1" ht="12" customHeight="1" x14ac:dyDescent="0.2">
      <c r="A32" s="247" t="s">
        <v>218</v>
      </c>
      <c r="B32" s="233" t="s">
        <v>223</v>
      </c>
      <c r="C32" s="151"/>
    </row>
    <row r="33" spans="1:3" s="59" customFormat="1" ht="12" customHeight="1" x14ac:dyDescent="0.2">
      <c r="A33" s="247" t="s">
        <v>475</v>
      </c>
      <c r="B33" s="286" t="s">
        <v>476</v>
      </c>
      <c r="C33" s="151"/>
    </row>
    <row r="34" spans="1:3" s="59" customFormat="1" ht="12" customHeight="1" x14ac:dyDescent="0.2">
      <c r="A34" s="247" t="s">
        <v>219</v>
      </c>
      <c r="B34" s="233" t="s">
        <v>224</v>
      </c>
      <c r="C34" s="151"/>
    </row>
    <row r="35" spans="1:3" s="59" customFormat="1" ht="12" customHeight="1" x14ac:dyDescent="0.2">
      <c r="A35" s="247" t="s">
        <v>220</v>
      </c>
      <c r="B35" s="233" t="s">
        <v>225</v>
      </c>
      <c r="C35" s="151"/>
    </row>
    <row r="36" spans="1:3" s="59" customFormat="1" ht="12" customHeight="1" thickBot="1" x14ac:dyDescent="0.25">
      <c r="A36" s="248" t="s">
        <v>221</v>
      </c>
      <c r="B36" s="234" t="s">
        <v>226</v>
      </c>
      <c r="C36" s="153"/>
    </row>
    <row r="37" spans="1:3" s="59" customFormat="1" ht="12" customHeight="1" thickBot="1" x14ac:dyDescent="0.25">
      <c r="A37" s="26" t="s">
        <v>27</v>
      </c>
      <c r="B37" s="20" t="s">
        <v>477</v>
      </c>
      <c r="C37" s="150">
        <f>SUM(C38:C48)</f>
        <v>15582000</v>
      </c>
    </row>
    <row r="38" spans="1:3" s="59" customFormat="1" ht="12" customHeight="1" x14ac:dyDescent="0.2">
      <c r="A38" s="246" t="s">
        <v>92</v>
      </c>
      <c r="B38" s="232" t="s">
        <v>229</v>
      </c>
      <c r="C38" s="328">
        <v>12159000</v>
      </c>
    </row>
    <row r="39" spans="1:3" s="59" customFormat="1" ht="12" customHeight="1" x14ac:dyDescent="0.2">
      <c r="A39" s="247" t="s">
        <v>93</v>
      </c>
      <c r="B39" s="233" t="s">
        <v>230</v>
      </c>
      <c r="C39" s="303">
        <v>62992</v>
      </c>
    </row>
    <row r="40" spans="1:3" s="59" customFormat="1" ht="12" customHeight="1" x14ac:dyDescent="0.2">
      <c r="A40" s="247" t="s">
        <v>94</v>
      </c>
      <c r="B40" s="233" t="s">
        <v>231</v>
      </c>
      <c r="C40" s="303"/>
    </row>
    <row r="41" spans="1:3" s="59" customFormat="1" ht="12" customHeight="1" x14ac:dyDescent="0.2">
      <c r="A41" s="247" t="s">
        <v>151</v>
      </c>
      <c r="B41" s="233" t="s">
        <v>232</v>
      </c>
      <c r="C41" s="303"/>
    </row>
    <row r="42" spans="1:3" s="59" customFormat="1" ht="12" customHeight="1" x14ac:dyDescent="0.2">
      <c r="A42" s="247" t="s">
        <v>152</v>
      </c>
      <c r="B42" s="233" t="s">
        <v>233</v>
      </c>
      <c r="C42" s="303"/>
    </row>
    <row r="43" spans="1:3" s="59" customFormat="1" ht="12" customHeight="1" x14ac:dyDescent="0.2">
      <c r="A43" s="247" t="s">
        <v>153</v>
      </c>
      <c r="B43" s="233" t="s">
        <v>234</v>
      </c>
      <c r="C43" s="303">
        <f>3283000+17008</f>
        <v>3300008</v>
      </c>
    </row>
    <row r="44" spans="1:3" s="59" customFormat="1" ht="12" customHeight="1" x14ac:dyDescent="0.2">
      <c r="A44" s="247" t="s">
        <v>154</v>
      </c>
      <c r="B44" s="233" t="s">
        <v>235</v>
      </c>
      <c r="C44" s="137"/>
    </row>
    <row r="45" spans="1:3" s="59" customFormat="1" ht="12" customHeight="1" x14ac:dyDescent="0.2">
      <c r="A45" s="247" t="s">
        <v>155</v>
      </c>
      <c r="B45" s="233" t="s">
        <v>236</v>
      </c>
      <c r="C45" s="137"/>
    </row>
    <row r="46" spans="1:3" s="59" customFormat="1" ht="12" customHeight="1" x14ac:dyDescent="0.2">
      <c r="A46" s="247" t="s">
        <v>227</v>
      </c>
      <c r="B46" s="233" t="s">
        <v>237</v>
      </c>
      <c r="C46" s="303"/>
    </row>
    <row r="47" spans="1:3" s="59" customFormat="1" ht="12" customHeight="1" x14ac:dyDescent="0.2">
      <c r="A47" s="248" t="s">
        <v>228</v>
      </c>
      <c r="B47" s="234" t="s">
        <v>478</v>
      </c>
      <c r="C47" s="307"/>
    </row>
    <row r="48" spans="1:3" s="59" customFormat="1" ht="12" customHeight="1" thickBot="1" x14ac:dyDescent="0.25">
      <c r="A48" s="248" t="s">
        <v>479</v>
      </c>
      <c r="B48" s="234" t="s">
        <v>238</v>
      </c>
      <c r="C48" s="307">
        <v>60000</v>
      </c>
    </row>
    <row r="49" spans="1:3" s="59" customFormat="1" ht="12" customHeight="1" thickBot="1" x14ac:dyDescent="0.25">
      <c r="A49" s="26" t="s">
        <v>28</v>
      </c>
      <c r="B49" s="20" t="s">
        <v>239</v>
      </c>
      <c r="C49" s="150">
        <f>SUM(C50:C54)</f>
        <v>0</v>
      </c>
    </row>
    <row r="50" spans="1:3" s="59" customFormat="1" ht="12" customHeight="1" x14ac:dyDescent="0.2">
      <c r="A50" s="246" t="s">
        <v>95</v>
      </c>
      <c r="B50" s="232" t="s">
        <v>243</v>
      </c>
      <c r="C50" s="152"/>
    </row>
    <row r="51" spans="1:3" s="59" customFormat="1" ht="12" customHeight="1" x14ac:dyDescent="0.2">
      <c r="A51" s="247" t="s">
        <v>96</v>
      </c>
      <c r="B51" s="233" t="s">
        <v>244</v>
      </c>
      <c r="C51" s="151"/>
    </row>
    <row r="52" spans="1:3" s="59" customFormat="1" ht="12" customHeight="1" x14ac:dyDescent="0.2">
      <c r="A52" s="247" t="s">
        <v>240</v>
      </c>
      <c r="B52" s="233" t="s">
        <v>245</v>
      </c>
      <c r="C52" s="151"/>
    </row>
    <row r="53" spans="1:3" s="59" customFormat="1" ht="12" customHeight="1" x14ac:dyDescent="0.2">
      <c r="A53" s="247" t="s">
        <v>241</v>
      </c>
      <c r="B53" s="233" t="s">
        <v>246</v>
      </c>
      <c r="C53" s="151"/>
    </row>
    <row r="54" spans="1:3" s="59" customFormat="1" ht="12" customHeight="1" thickBot="1" x14ac:dyDescent="0.25">
      <c r="A54" s="248" t="s">
        <v>242</v>
      </c>
      <c r="B54" s="234" t="s">
        <v>247</v>
      </c>
      <c r="C54" s="153"/>
    </row>
    <row r="55" spans="1:3" s="59" customFormat="1" ht="12" customHeight="1" thickBot="1" x14ac:dyDescent="0.25">
      <c r="A55" s="26" t="s">
        <v>156</v>
      </c>
      <c r="B55" s="20" t="s">
        <v>248</v>
      </c>
      <c r="C55" s="150">
        <f>SUM(C56:C58)</f>
        <v>1866000</v>
      </c>
    </row>
    <row r="56" spans="1:3" s="59" customFormat="1" ht="12" customHeight="1" x14ac:dyDescent="0.2">
      <c r="A56" s="246" t="s">
        <v>97</v>
      </c>
      <c r="B56" s="232" t="s">
        <v>249</v>
      </c>
      <c r="C56" s="152"/>
    </row>
    <row r="57" spans="1:3" s="59" customFormat="1" ht="12" customHeight="1" x14ac:dyDescent="0.2">
      <c r="A57" s="247" t="s">
        <v>98</v>
      </c>
      <c r="B57" s="233" t="s">
        <v>380</v>
      </c>
      <c r="C57" s="303">
        <f>300000+1566000</f>
        <v>1866000</v>
      </c>
    </row>
    <row r="58" spans="1:3" s="59" customFormat="1" ht="12" customHeight="1" x14ac:dyDescent="0.2">
      <c r="A58" s="247" t="s">
        <v>252</v>
      </c>
      <c r="B58" s="233" t="s">
        <v>250</v>
      </c>
      <c r="C58" s="151"/>
    </row>
    <row r="59" spans="1:3" s="59" customFormat="1" ht="12" customHeight="1" thickBot="1" x14ac:dyDescent="0.25">
      <c r="A59" s="248" t="s">
        <v>253</v>
      </c>
      <c r="B59" s="234" t="s">
        <v>251</v>
      </c>
      <c r="C59" s="153"/>
    </row>
    <row r="60" spans="1:3" s="59" customFormat="1" ht="12" customHeight="1" thickBot="1" x14ac:dyDescent="0.25">
      <c r="A60" s="26" t="s">
        <v>30</v>
      </c>
      <c r="B60" s="145" t="s">
        <v>254</v>
      </c>
      <c r="C60" s="150">
        <f>SUM(C61:C63)</f>
        <v>0</v>
      </c>
    </row>
    <row r="61" spans="1:3" s="59" customFormat="1" ht="12" customHeight="1" x14ac:dyDescent="0.2">
      <c r="A61" s="246" t="s">
        <v>157</v>
      </c>
      <c r="B61" s="232" t="s">
        <v>256</v>
      </c>
      <c r="C61" s="151"/>
    </row>
    <row r="62" spans="1:3" s="59" customFormat="1" ht="12" customHeight="1" x14ac:dyDescent="0.2">
      <c r="A62" s="247" t="s">
        <v>158</v>
      </c>
      <c r="B62" s="233" t="s">
        <v>381</v>
      </c>
      <c r="C62" s="151"/>
    </row>
    <row r="63" spans="1:3" s="59" customFormat="1" ht="12" customHeight="1" x14ac:dyDescent="0.2">
      <c r="A63" s="247" t="s">
        <v>180</v>
      </c>
      <c r="B63" s="233" t="s">
        <v>257</v>
      </c>
      <c r="C63" s="151"/>
    </row>
    <row r="64" spans="1:3" s="59" customFormat="1" ht="12" customHeight="1" thickBot="1" x14ac:dyDescent="0.25">
      <c r="A64" s="248" t="s">
        <v>255</v>
      </c>
      <c r="B64" s="234" t="s">
        <v>258</v>
      </c>
      <c r="C64" s="151"/>
    </row>
    <row r="65" spans="1:3" s="59" customFormat="1" ht="12" customHeight="1" thickBot="1" x14ac:dyDescent="0.25">
      <c r="A65" s="26" t="s">
        <v>31</v>
      </c>
      <c r="B65" s="20" t="s">
        <v>259</v>
      </c>
      <c r="C65" s="150">
        <f>+C8+C15+C22+C29+C37+C49+C55+C60</f>
        <v>343779009</v>
      </c>
    </row>
    <row r="66" spans="1:3" s="59" customFormat="1" ht="12" customHeight="1" thickBot="1" x14ac:dyDescent="0.2">
      <c r="A66" s="249" t="s">
        <v>349</v>
      </c>
      <c r="B66" s="145" t="s">
        <v>261</v>
      </c>
      <c r="C66" s="150">
        <f>SUM(C67:C69)</f>
        <v>0</v>
      </c>
    </row>
    <row r="67" spans="1:3" s="59" customFormat="1" ht="12" customHeight="1" x14ac:dyDescent="0.2">
      <c r="A67" s="246" t="s">
        <v>292</v>
      </c>
      <c r="B67" s="232" t="s">
        <v>262</v>
      </c>
      <c r="C67" s="151"/>
    </row>
    <row r="68" spans="1:3" s="59" customFormat="1" ht="12" customHeight="1" x14ac:dyDescent="0.2">
      <c r="A68" s="247" t="s">
        <v>301</v>
      </c>
      <c r="B68" s="233" t="s">
        <v>263</v>
      </c>
      <c r="C68" s="151"/>
    </row>
    <row r="69" spans="1:3" s="59" customFormat="1" ht="12" customHeight="1" thickBot="1" x14ac:dyDescent="0.25">
      <c r="A69" s="248" t="s">
        <v>302</v>
      </c>
      <c r="B69" s="235" t="s">
        <v>264</v>
      </c>
      <c r="C69" s="151"/>
    </row>
    <row r="70" spans="1:3" s="59" customFormat="1" ht="12" customHeight="1" thickBot="1" x14ac:dyDescent="0.2">
      <c r="A70" s="249" t="s">
        <v>265</v>
      </c>
      <c r="B70" s="145" t="s">
        <v>266</v>
      </c>
      <c r="C70" s="380">
        <f>SUM(C71:C74)</f>
        <v>0</v>
      </c>
    </row>
    <row r="71" spans="1:3" s="59" customFormat="1" ht="12" customHeight="1" x14ac:dyDescent="0.2">
      <c r="A71" s="246" t="s">
        <v>137</v>
      </c>
      <c r="B71" s="232" t="s">
        <v>267</v>
      </c>
      <c r="C71" s="151"/>
    </row>
    <row r="72" spans="1:3" s="59" customFormat="1" ht="12" customHeight="1" x14ac:dyDescent="0.2">
      <c r="A72" s="247" t="s">
        <v>138</v>
      </c>
      <c r="B72" s="233" t="s">
        <v>268</v>
      </c>
      <c r="C72" s="151"/>
    </row>
    <row r="73" spans="1:3" s="59" customFormat="1" ht="12" customHeight="1" x14ac:dyDescent="0.2">
      <c r="A73" s="247" t="s">
        <v>293</v>
      </c>
      <c r="B73" s="233" t="s">
        <v>269</v>
      </c>
      <c r="C73" s="151"/>
    </row>
    <row r="74" spans="1:3" s="59" customFormat="1" ht="12" customHeight="1" thickBot="1" x14ac:dyDescent="0.25">
      <c r="A74" s="248" t="s">
        <v>294</v>
      </c>
      <c r="B74" s="234" t="s">
        <v>270</v>
      </c>
      <c r="C74" s="151"/>
    </row>
    <row r="75" spans="1:3" s="59" customFormat="1" ht="12" customHeight="1" thickBot="1" x14ac:dyDescent="0.2">
      <c r="A75" s="249" t="s">
        <v>271</v>
      </c>
      <c r="B75" s="145" t="s">
        <v>272</v>
      </c>
      <c r="C75" s="380">
        <f>SUM(C76:C77)</f>
        <v>0</v>
      </c>
    </row>
    <row r="76" spans="1:3" s="59" customFormat="1" ht="12" customHeight="1" x14ac:dyDescent="0.2">
      <c r="A76" s="246" t="s">
        <v>295</v>
      </c>
      <c r="B76" s="232" t="s">
        <v>273</v>
      </c>
      <c r="C76" s="151"/>
    </row>
    <row r="77" spans="1:3" s="59" customFormat="1" ht="12" customHeight="1" thickBot="1" x14ac:dyDescent="0.25">
      <c r="A77" s="248" t="s">
        <v>296</v>
      </c>
      <c r="B77" s="234" t="s">
        <v>274</v>
      </c>
      <c r="C77" s="151"/>
    </row>
    <row r="78" spans="1:3" s="58" customFormat="1" ht="12" customHeight="1" thickBot="1" x14ac:dyDescent="0.2">
      <c r="A78" s="249" t="s">
        <v>275</v>
      </c>
      <c r="B78" s="145" t="s">
        <v>276</v>
      </c>
      <c r="C78" s="150">
        <f>SUM(C79:C81)</f>
        <v>0</v>
      </c>
    </row>
    <row r="79" spans="1:3" s="59" customFormat="1" ht="12" customHeight="1" x14ac:dyDescent="0.2">
      <c r="A79" s="246" t="s">
        <v>297</v>
      </c>
      <c r="B79" s="232" t="s">
        <v>277</v>
      </c>
      <c r="C79" s="151"/>
    </row>
    <row r="80" spans="1:3" s="59" customFormat="1" ht="12" customHeight="1" x14ac:dyDescent="0.2">
      <c r="A80" s="247" t="s">
        <v>298</v>
      </c>
      <c r="B80" s="233" t="s">
        <v>278</v>
      </c>
      <c r="C80" s="151"/>
    </row>
    <row r="81" spans="1:3" s="59" customFormat="1" ht="12" customHeight="1" thickBot="1" x14ac:dyDescent="0.25">
      <c r="A81" s="248" t="s">
        <v>299</v>
      </c>
      <c r="B81" s="234" t="s">
        <v>279</v>
      </c>
      <c r="C81" s="151"/>
    </row>
    <row r="82" spans="1:3" s="59" customFormat="1" ht="12" customHeight="1" thickBot="1" x14ac:dyDescent="0.2">
      <c r="A82" s="249" t="s">
        <v>280</v>
      </c>
      <c r="B82" s="145" t="s">
        <v>300</v>
      </c>
      <c r="C82" s="150">
        <f>SUM(C83:C86)</f>
        <v>0</v>
      </c>
    </row>
    <row r="83" spans="1:3" s="59" customFormat="1" ht="12" customHeight="1" x14ac:dyDescent="0.2">
      <c r="A83" s="250" t="s">
        <v>281</v>
      </c>
      <c r="B83" s="232" t="s">
        <v>282</v>
      </c>
      <c r="C83" s="151"/>
    </row>
    <row r="84" spans="1:3" s="59" customFormat="1" ht="12" customHeight="1" x14ac:dyDescent="0.2">
      <c r="A84" s="251" t="s">
        <v>283</v>
      </c>
      <c r="B84" s="233" t="s">
        <v>284</v>
      </c>
      <c r="C84" s="151"/>
    </row>
    <row r="85" spans="1:3" s="59" customFormat="1" ht="12" customHeight="1" x14ac:dyDescent="0.2">
      <c r="A85" s="251" t="s">
        <v>285</v>
      </c>
      <c r="B85" s="233" t="s">
        <v>286</v>
      </c>
      <c r="C85" s="151"/>
    </row>
    <row r="86" spans="1:3" s="58" customFormat="1" ht="12" customHeight="1" thickBot="1" x14ac:dyDescent="0.25">
      <c r="A86" s="252" t="s">
        <v>287</v>
      </c>
      <c r="B86" s="234" t="s">
        <v>288</v>
      </c>
      <c r="C86" s="151"/>
    </row>
    <row r="87" spans="1:3" s="58" customFormat="1" ht="12" customHeight="1" thickBot="1" x14ac:dyDescent="0.2">
      <c r="A87" s="249" t="s">
        <v>289</v>
      </c>
      <c r="B87" s="145" t="s">
        <v>482</v>
      </c>
      <c r="C87" s="271"/>
    </row>
    <row r="88" spans="1:3" s="58" customFormat="1" ht="12" customHeight="1" thickBot="1" x14ac:dyDescent="0.2">
      <c r="A88" s="249" t="s">
        <v>535</v>
      </c>
      <c r="B88" s="145" t="s">
        <v>290</v>
      </c>
      <c r="C88" s="271"/>
    </row>
    <row r="89" spans="1:3" s="58" customFormat="1" ht="12" customHeight="1" thickBot="1" x14ac:dyDescent="0.2">
      <c r="A89" s="249" t="s">
        <v>536</v>
      </c>
      <c r="B89" s="239" t="s">
        <v>483</v>
      </c>
      <c r="C89" s="150">
        <f>+C66+C70+C75+C78+C82+C88+C87</f>
        <v>0</v>
      </c>
    </row>
    <row r="90" spans="1:3" s="58" customFormat="1" ht="12" customHeight="1" thickBot="1" x14ac:dyDescent="0.2">
      <c r="A90" s="253" t="s">
        <v>537</v>
      </c>
      <c r="B90" s="240" t="s">
        <v>538</v>
      </c>
      <c r="C90" s="150">
        <f>+C65+C89</f>
        <v>343779009</v>
      </c>
    </row>
    <row r="91" spans="1:3" s="59" customFormat="1" ht="15" customHeight="1" thickBot="1" x14ac:dyDescent="0.25">
      <c r="A91" s="124"/>
      <c r="B91" s="125"/>
      <c r="C91" s="208"/>
    </row>
    <row r="92" spans="1:3" s="44" customFormat="1" ht="16.5" customHeight="1" thickBot="1" x14ac:dyDescent="0.25">
      <c r="A92" s="128"/>
      <c r="B92" s="129" t="s">
        <v>62</v>
      </c>
      <c r="C92" s="210"/>
    </row>
    <row r="93" spans="1:3" s="60" customFormat="1" ht="12" customHeight="1" thickBot="1" x14ac:dyDescent="0.25">
      <c r="A93" s="224" t="s">
        <v>23</v>
      </c>
      <c r="B93" s="25" t="s">
        <v>549</v>
      </c>
      <c r="C93" s="149">
        <f>+C94+C95+C96+C97+C98+C111</f>
        <v>95334070</v>
      </c>
    </row>
    <row r="94" spans="1:3" ht="12" customHeight="1" x14ac:dyDescent="0.2">
      <c r="A94" s="254" t="s">
        <v>99</v>
      </c>
      <c r="B94" s="9" t="s">
        <v>53</v>
      </c>
      <c r="C94" s="363">
        <f>75000+4401892+2491000</f>
        <v>6967892</v>
      </c>
    </row>
    <row r="95" spans="1:3" ht="12" customHeight="1" x14ac:dyDescent="0.2">
      <c r="A95" s="247" t="s">
        <v>100</v>
      </c>
      <c r="B95" s="7" t="s">
        <v>159</v>
      </c>
      <c r="C95" s="303">
        <f>13275+17258+773000+1015000+281135</f>
        <v>2099668</v>
      </c>
    </row>
    <row r="96" spans="1:3" ht="12" customHeight="1" x14ac:dyDescent="0.2">
      <c r="A96" s="247" t="s">
        <v>101</v>
      </c>
      <c r="B96" s="7" t="s">
        <v>129</v>
      </c>
      <c r="C96" s="909">
        <f>16099000+3082677+397000+194467+34200000+156511+2681000+3300000+44100-8245+77000</f>
        <v>60223510</v>
      </c>
    </row>
    <row r="97" spans="1:3" ht="12" customHeight="1" x14ac:dyDescent="0.2">
      <c r="A97" s="247" t="s">
        <v>102</v>
      </c>
      <c r="B97" s="10" t="s">
        <v>160</v>
      </c>
      <c r="C97" s="307"/>
    </row>
    <row r="98" spans="1:3" ht="12" customHeight="1" x14ac:dyDescent="0.2">
      <c r="A98" s="247" t="s">
        <v>113</v>
      </c>
      <c r="B98" s="18" t="s">
        <v>161</v>
      </c>
      <c r="C98" s="307">
        <f>5950000+16000000+4093000</f>
        <v>26043000</v>
      </c>
    </row>
    <row r="99" spans="1:3" ht="12" customHeight="1" x14ac:dyDescent="0.2">
      <c r="A99" s="247" t="s">
        <v>103</v>
      </c>
      <c r="B99" s="7" t="s">
        <v>539</v>
      </c>
      <c r="C99" s="307"/>
    </row>
    <row r="100" spans="1:3" ht="12" customHeight="1" x14ac:dyDescent="0.2">
      <c r="A100" s="247" t="s">
        <v>104</v>
      </c>
      <c r="B100" s="83" t="s">
        <v>487</v>
      </c>
      <c r="C100" s="307"/>
    </row>
    <row r="101" spans="1:3" ht="12" customHeight="1" x14ac:dyDescent="0.2">
      <c r="A101" s="247" t="s">
        <v>114</v>
      </c>
      <c r="B101" s="83" t="s">
        <v>488</v>
      </c>
      <c r="C101" s="307"/>
    </row>
    <row r="102" spans="1:3" ht="12" customHeight="1" x14ac:dyDescent="0.2">
      <c r="A102" s="247" t="s">
        <v>115</v>
      </c>
      <c r="B102" s="83" t="s">
        <v>306</v>
      </c>
      <c r="C102" s="307"/>
    </row>
    <row r="103" spans="1:3" ht="12" customHeight="1" x14ac:dyDescent="0.2">
      <c r="A103" s="247" t="s">
        <v>116</v>
      </c>
      <c r="B103" s="84" t="s">
        <v>307</v>
      </c>
      <c r="C103" s="307"/>
    </row>
    <row r="104" spans="1:3" ht="12" customHeight="1" x14ac:dyDescent="0.2">
      <c r="A104" s="247" t="s">
        <v>117</v>
      </c>
      <c r="B104" s="84" t="s">
        <v>308</v>
      </c>
      <c r="C104" s="307"/>
    </row>
    <row r="105" spans="1:3" ht="12" customHeight="1" x14ac:dyDescent="0.2">
      <c r="A105" s="247" t="s">
        <v>119</v>
      </c>
      <c r="B105" s="83" t="s">
        <v>309</v>
      </c>
      <c r="C105" s="307"/>
    </row>
    <row r="106" spans="1:3" ht="12" customHeight="1" x14ac:dyDescent="0.2">
      <c r="A106" s="247" t="s">
        <v>162</v>
      </c>
      <c r="B106" s="83" t="s">
        <v>310</v>
      </c>
      <c r="C106" s="307"/>
    </row>
    <row r="107" spans="1:3" ht="12" customHeight="1" x14ac:dyDescent="0.2">
      <c r="A107" s="247" t="s">
        <v>304</v>
      </c>
      <c r="B107" s="84" t="s">
        <v>311</v>
      </c>
      <c r="C107" s="307"/>
    </row>
    <row r="108" spans="1:3" ht="12" customHeight="1" x14ac:dyDescent="0.2">
      <c r="A108" s="255" t="s">
        <v>305</v>
      </c>
      <c r="B108" s="85" t="s">
        <v>312</v>
      </c>
      <c r="C108" s="307"/>
    </row>
    <row r="109" spans="1:3" ht="12" customHeight="1" x14ac:dyDescent="0.2">
      <c r="A109" s="247" t="s">
        <v>489</v>
      </c>
      <c r="B109" s="85" t="s">
        <v>313</v>
      </c>
      <c r="C109" s="307"/>
    </row>
    <row r="110" spans="1:3" ht="12" customHeight="1" x14ac:dyDescent="0.2">
      <c r="A110" s="247" t="s">
        <v>490</v>
      </c>
      <c r="B110" s="84" t="s">
        <v>314</v>
      </c>
      <c r="C110" s="303">
        <f>5950000+16000000+4093000</f>
        <v>26043000</v>
      </c>
    </row>
    <row r="111" spans="1:3" ht="12" customHeight="1" x14ac:dyDescent="0.2">
      <c r="A111" s="247" t="s">
        <v>491</v>
      </c>
      <c r="B111" s="10" t="s">
        <v>54</v>
      </c>
      <c r="C111" s="154"/>
    </row>
    <row r="112" spans="1:3" ht="12" customHeight="1" x14ac:dyDescent="0.2">
      <c r="A112" s="248" t="s">
        <v>492</v>
      </c>
      <c r="B112" s="7" t="s">
        <v>540</v>
      </c>
      <c r="C112" s="153"/>
    </row>
    <row r="113" spans="1:3" ht="12" customHeight="1" thickBot="1" x14ac:dyDescent="0.25">
      <c r="A113" s="256" t="s">
        <v>494</v>
      </c>
      <c r="B113" s="86" t="s">
        <v>541</v>
      </c>
      <c r="C113" s="157"/>
    </row>
    <row r="114" spans="1:3" ht="12" customHeight="1" thickBot="1" x14ac:dyDescent="0.25">
      <c r="A114" s="26" t="s">
        <v>24</v>
      </c>
      <c r="B114" s="24" t="s">
        <v>315</v>
      </c>
      <c r="C114" s="150">
        <f>+C115+C117+C119</f>
        <v>14676073</v>
      </c>
    </row>
    <row r="115" spans="1:3" ht="12" customHeight="1" x14ac:dyDescent="0.2">
      <c r="A115" s="246" t="s">
        <v>105</v>
      </c>
      <c r="B115" s="7" t="s">
        <v>179</v>
      </c>
      <c r="C115" s="921">
        <f>12873483+377190+3000+1422400</f>
        <v>14676073</v>
      </c>
    </row>
    <row r="116" spans="1:3" ht="12" customHeight="1" x14ac:dyDescent="0.2">
      <c r="A116" s="246" t="s">
        <v>106</v>
      </c>
      <c r="B116" s="11" t="s">
        <v>319</v>
      </c>
      <c r="C116" s="332">
        <v>12873483</v>
      </c>
    </row>
    <row r="117" spans="1:3" ht="12" customHeight="1" x14ac:dyDescent="0.2">
      <c r="A117" s="246" t="s">
        <v>107</v>
      </c>
      <c r="B117" s="11" t="s">
        <v>163</v>
      </c>
      <c r="C117" s="154"/>
    </row>
    <row r="118" spans="1:3" ht="12" customHeight="1" x14ac:dyDescent="0.2">
      <c r="A118" s="246" t="s">
        <v>108</v>
      </c>
      <c r="B118" s="11" t="s">
        <v>320</v>
      </c>
      <c r="C118" s="303"/>
    </row>
    <row r="119" spans="1:3" ht="12" customHeight="1" x14ac:dyDescent="0.2">
      <c r="A119" s="246" t="s">
        <v>109</v>
      </c>
      <c r="B119" s="147" t="s">
        <v>181</v>
      </c>
      <c r="C119" s="303"/>
    </row>
    <row r="120" spans="1:3" ht="12" customHeight="1" x14ac:dyDescent="0.2">
      <c r="A120" s="246" t="s">
        <v>118</v>
      </c>
      <c r="B120" s="146" t="s">
        <v>382</v>
      </c>
      <c r="C120" s="303"/>
    </row>
    <row r="121" spans="1:3" ht="12" customHeight="1" x14ac:dyDescent="0.2">
      <c r="A121" s="246" t="s">
        <v>120</v>
      </c>
      <c r="B121" s="228" t="s">
        <v>325</v>
      </c>
      <c r="C121" s="303"/>
    </row>
    <row r="122" spans="1:3" ht="12" customHeight="1" x14ac:dyDescent="0.2">
      <c r="A122" s="246" t="s">
        <v>164</v>
      </c>
      <c r="B122" s="84" t="s">
        <v>308</v>
      </c>
      <c r="C122" s="308"/>
    </row>
    <row r="123" spans="1:3" ht="12" customHeight="1" x14ac:dyDescent="0.2">
      <c r="A123" s="246" t="s">
        <v>165</v>
      </c>
      <c r="B123" s="84" t="s">
        <v>324</v>
      </c>
      <c r="C123" s="308"/>
    </row>
    <row r="124" spans="1:3" ht="12" customHeight="1" x14ac:dyDescent="0.2">
      <c r="A124" s="246" t="s">
        <v>166</v>
      </c>
      <c r="B124" s="84" t="s">
        <v>323</v>
      </c>
      <c r="C124" s="308"/>
    </row>
    <row r="125" spans="1:3" ht="12" customHeight="1" x14ac:dyDescent="0.2">
      <c r="A125" s="246" t="s">
        <v>316</v>
      </c>
      <c r="B125" s="84" t="s">
        <v>311</v>
      </c>
      <c r="C125" s="308"/>
    </row>
    <row r="126" spans="1:3" ht="12" customHeight="1" x14ac:dyDescent="0.2">
      <c r="A126" s="246" t="s">
        <v>317</v>
      </c>
      <c r="B126" s="84" t="s">
        <v>322</v>
      </c>
      <c r="C126" s="308"/>
    </row>
    <row r="127" spans="1:3" ht="12" customHeight="1" thickBot="1" x14ac:dyDescent="0.25">
      <c r="A127" s="255" t="s">
        <v>318</v>
      </c>
      <c r="B127" s="84" t="s">
        <v>321</v>
      </c>
      <c r="C127" s="307"/>
    </row>
    <row r="128" spans="1:3" ht="12" customHeight="1" thickBot="1" x14ac:dyDescent="0.25">
      <c r="A128" s="26" t="s">
        <v>25</v>
      </c>
      <c r="B128" s="79" t="s">
        <v>496</v>
      </c>
      <c r="C128" s="150">
        <f>+C93+C114</f>
        <v>110010143</v>
      </c>
    </row>
    <row r="129" spans="1:11" ht="12" customHeight="1" thickBot="1" x14ac:dyDescent="0.25">
      <c r="A129" s="26" t="s">
        <v>26</v>
      </c>
      <c r="B129" s="79" t="s">
        <v>497</v>
      </c>
      <c r="C129" s="150">
        <f>+C130+C131+C132</f>
        <v>4444000</v>
      </c>
    </row>
    <row r="130" spans="1:11" s="60" customFormat="1" ht="12" customHeight="1" x14ac:dyDescent="0.2">
      <c r="A130" s="246" t="s">
        <v>216</v>
      </c>
      <c r="B130" s="8" t="s">
        <v>542</v>
      </c>
      <c r="C130" s="303">
        <v>4444000</v>
      </c>
    </row>
    <row r="131" spans="1:11" ht="12" customHeight="1" x14ac:dyDescent="0.2">
      <c r="A131" s="246" t="s">
        <v>219</v>
      </c>
      <c r="B131" s="8" t="s">
        <v>499</v>
      </c>
      <c r="C131" s="137"/>
    </row>
    <row r="132" spans="1:11" ht="12" customHeight="1" thickBot="1" x14ac:dyDescent="0.25">
      <c r="A132" s="255" t="s">
        <v>220</v>
      </c>
      <c r="B132" s="6" t="s">
        <v>543</v>
      </c>
      <c r="C132" s="137"/>
    </row>
    <row r="133" spans="1:11" ht="12" customHeight="1" thickBot="1" x14ac:dyDescent="0.25">
      <c r="A133" s="26" t="s">
        <v>27</v>
      </c>
      <c r="B133" s="79" t="s">
        <v>501</v>
      </c>
      <c r="C133" s="150">
        <f>+C134+C135+C136+C137+C138+C139</f>
        <v>0</v>
      </c>
    </row>
    <row r="134" spans="1:11" ht="12" customHeight="1" x14ac:dyDescent="0.2">
      <c r="A134" s="246" t="s">
        <v>92</v>
      </c>
      <c r="B134" s="8" t="s">
        <v>502</v>
      </c>
      <c r="C134" s="137"/>
    </row>
    <row r="135" spans="1:11" ht="12" customHeight="1" x14ac:dyDescent="0.2">
      <c r="A135" s="246" t="s">
        <v>93</v>
      </c>
      <c r="B135" s="8" t="s">
        <v>503</v>
      </c>
      <c r="C135" s="137"/>
    </row>
    <row r="136" spans="1:11" ht="12" customHeight="1" x14ac:dyDescent="0.2">
      <c r="A136" s="246" t="s">
        <v>94</v>
      </c>
      <c r="B136" s="8" t="s">
        <v>504</v>
      </c>
      <c r="C136" s="137"/>
    </row>
    <row r="137" spans="1:11" ht="12" customHeight="1" x14ac:dyDescent="0.2">
      <c r="A137" s="246" t="s">
        <v>151</v>
      </c>
      <c r="B137" s="8" t="s">
        <v>544</v>
      </c>
      <c r="C137" s="137"/>
    </row>
    <row r="138" spans="1:11" ht="12" customHeight="1" x14ac:dyDescent="0.2">
      <c r="A138" s="246" t="s">
        <v>152</v>
      </c>
      <c r="B138" s="8" t="s">
        <v>506</v>
      </c>
      <c r="C138" s="137"/>
    </row>
    <row r="139" spans="1:11" s="60" customFormat="1" ht="12" customHeight="1" thickBot="1" x14ac:dyDescent="0.25">
      <c r="A139" s="255" t="s">
        <v>153</v>
      </c>
      <c r="B139" s="6" t="s">
        <v>507</v>
      </c>
      <c r="C139" s="137"/>
    </row>
    <row r="140" spans="1:11" ht="12" customHeight="1" thickBot="1" x14ac:dyDescent="0.25">
      <c r="A140" s="26" t="s">
        <v>28</v>
      </c>
      <c r="B140" s="79" t="s">
        <v>545</v>
      </c>
      <c r="C140" s="155">
        <f>+C141+C142+C144+C145+C143</f>
        <v>0</v>
      </c>
      <c r="K140" s="136"/>
    </row>
    <row r="141" spans="1:11" x14ac:dyDescent="0.2">
      <c r="A141" s="246" t="s">
        <v>95</v>
      </c>
      <c r="B141" s="8" t="s">
        <v>326</v>
      </c>
      <c r="C141" s="137"/>
    </row>
    <row r="142" spans="1:11" ht="12" customHeight="1" x14ac:dyDescent="0.2">
      <c r="A142" s="246" t="s">
        <v>96</v>
      </c>
      <c r="B142" s="8" t="s">
        <v>327</v>
      </c>
      <c r="C142" s="137"/>
    </row>
    <row r="143" spans="1:11" s="60" customFormat="1" ht="12" customHeight="1" x14ac:dyDescent="0.2">
      <c r="A143" s="246" t="s">
        <v>240</v>
      </c>
      <c r="B143" s="8" t="s">
        <v>546</v>
      </c>
      <c r="C143" s="137"/>
    </row>
    <row r="144" spans="1:11" s="60" customFormat="1" ht="12" customHeight="1" x14ac:dyDescent="0.2">
      <c r="A144" s="246" t="s">
        <v>241</v>
      </c>
      <c r="B144" s="8" t="s">
        <v>509</v>
      </c>
      <c r="C144" s="137"/>
    </row>
    <row r="145" spans="1:3" s="60" customFormat="1" ht="12" customHeight="1" thickBot="1" x14ac:dyDescent="0.25">
      <c r="A145" s="255" t="s">
        <v>242</v>
      </c>
      <c r="B145" s="6" t="s">
        <v>345</v>
      </c>
      <c r="C145" s="137"/>
    </row>
    <row r="146" spans="1:3" s="60" customFormat="1" ht="12" customHeight="1" thickBot="1" x14ac:dyDescent="0.25">
      <c r="A146" s="26" t="s">
        <v>29</v>
      </c>
      <c r="B146" s="79" t="s">
        <v>510</v>
      </c>
      <c r="C146" s="158">
        <f>+C147+C148+C149+C150+C151</f>
        <v>0</v>
      </c>
    </row>
    <row r="147" spans="1:3" s="60" customFormat="1" ht="12" customHeight="1" x14ac:dyDescent="0.2">
      <c r="A147" s="246" t="s">
        <v>97</v>
      </c>
      <c r="B147" s="8" t="s">
        <v>511</v>
      </c>
      <c r="C147" s="137"/>
    </row>
    <row r="148" spans="1:3" s="60" customFormat="1" ht="12" customHeight="1" x14ac:dyDescent="0.2">
      <c r="A148" s="246" t="s">
        <v>98</v>
      </c>
      <c r="B148" s="8" t="s">
        <v>512</v>
      </c>
      <c r="C148" s="137"/>
    </row>
    <row r="149" spans="1:3" s="60" customFormat="1" ht="12" customHeight="1" x14ac:dyDescent="0.2">
      <c r="A149" s="246" t="s">
        <v>252</v>
      </c>
      <c r="B149" s="8" t="s">
        <v>513</v>
      </c>
      <c r="C149" s="137"/>
    </row>
    <row r="150" spans="1:3" ht="12.75" customHeight="1" x14ac:dyDescent="0.2">
      <c r="A150" s="246" t="s">
        <v>253</v>
      </c>
      <c r="B150" s="8" t="s">
        <v>547</v>
      </c>
      <c r="C150" s="137"/>
    </row>
    <row r="151" spans="1:3" ht="12.75" customHeight="1" thickBot="1" x14ac:dyDescent="0.25">
      <c r="A151" s="255" t="s">
        <v>515</v>
      </c>
      <c r="B151" s="6" t="s">
        <v>516</v>
      </c>
      <c r="C151" s="138"/>
    </row>
    <row r="152" spans="1:3" ht="12.75" customHeight="1" thickBot="1" x14ac:dyDescent="0.25">
      <c r="A152" s="299" t="s">
        <v>30</v>
      </c>
      <c r="B152" s="79" t="s">
        <v>517</v>
      </c>
      <c r="C152" s="158"/>
    </row>
    <row r="153" spans="1:3" ht="12" customHeight="1" thickBot="1" x14ac:dyDescent="0.25">
      <c r="A153" s="299" t="s">
        <v>31</v>
      </c>
      <c r="B153" s="79" t="s">
        <v>518</v>
      </c>
      <c r="C153" s="158"/>
    </row>
    <row r="154" spans="1:3" ht="15" customHeight="1" thickBot="1" x14ac:dyDescent="0.25">
      <c r="A154" s="26" t="s">
        <v>32</v>
      </c>
      <c r="B154" s="79" t="s">
        <v>519</v>
      </c>
      <c r="C154" s="242">
        <f>+C129+C133+C140+C146+C152+C153</f>
        <v>4444000</v>
      </c>
    </row>
    <row r="155" spans="1:3" ht="13.5" thickBot="1" x14ac:dyDescent="0.25">
      <c r="A155" s="257" t="s">
        <v>33</v>
      </c>
      <c r="B155" s="217" t="s">
        <v>520</v>
      </c>
      <c r="C155" s="242">
        <f>+C128+C154</f>
        <v>114454143</v>
      </c>
    </row>
    <row r="156" spans="1:3" ht="15" customHeight="1" thickBot="1" x14ac:dyDescent="0.25"/>
    <row r="157" spans="1:3" ht="14.25" customHeight="1" thickBot="1" x14ac:dyDescent="0.25">
      <c r="A157" s="133" t="s">
        <v>548</v>
      </c>
      <c r="B157" s="134"/>
      <c r="C157" s="78"/>
    </row>
    <row r="158" spans="1:3" ht="13.5" thickBot="1" x14ac:dyDescent="0.25">
      <c r="A158" s="133" t="s">
        <v>175</v>
      </c>
      <c r="B158" s="134"/>
      <c r="C158" s="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8/2018.(IV.27.) önkormányzati rendelethez</oddHeader>
  </headerFooter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tabSelected="1" zoomScale="115" zoomScaleNormal="11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12.6640625" style="502" bestFit="1" customWidth="1"/>
    <col min="4" max="4" width="9.33203125" style="132" customWidth="1"/>
    <col min="5" max="5" width="10" style="596" hidden="1" customWidth="1"/>
    <col min="6" max="6" width="10.5" style="596" hidden="1" customWidth="1"/>
    <col min="7" max="16384" width="9.33203125" style="132"/>
  </cols>
  <sheetData>
    <row r="1" spans="1:6" s="111" customFormat="1" ht="21" customHeight="1" thickBot="1" x14ac:dyDescent="0.25">
      <c r="A1" s="110"/>
      <c r="B1" s="112"/>
      <c r="C1" s="264"/>
      <c r="E1" s="596"/>
      <c r="F1" s="596"/>
    </row>
    <row r="2" spans="1:6" s="265" customFormat="1" ht="36" customHeight="1" x14ac:dyDescent="0.2">
      <c r="A2" s="222" t="s">
        <v>173</v>
      </c>
      <c r="B2" s="199" t="s">
        <v>467</v>
      </c>
      <c r="C2" s="213" t="s">
        <v>65</v>
      </c>
      <c r="E2" s="597"/>
      <c r="F2" s="597"/>
    </row>
    <row r="3" spans="1:6" s="265" customFormat="1" ht="24.75" thickBot="1" x14ac:dyDescent="0.25">
      <c r="A3" s="258" t="s">
        <v>172</v>
      </c>
      <c r="B3" s="200" t="s">
        <v>353</v>
      </c>
      <c r="C3" s="214" t="s">
        <v>58</v>
      </c>
      <c r="E3" s="597"/>
      <c r="F3" s="597"/>
    </row>
    <row r="4" spans="1:6" s="266" customFormat="1" ht="15.95" customHeight="1" thickBot="1" x14ac:dyDescent="0.3">
      <c r="A4" s="114"/>
      <c r="B4" s="114"/>
      <c r="C4" s="115" t="s">
        <v>597</v>
      </c>
      <c r="E4" s="597"/>
      <c r="F4" s="597"/>
    </row>
    <row r="5" spans="1:6" ht="13.5" thickBot="1" x14ac:dyDescent="0.25">
      <c r="A5" s="223" t="s">
        <v>174</v>
      </c>
      <c r="B5" s="116" t="s">
        <v>59</v>
      </c>
      <c r="C5" s="117" t="s">
        <v>60</v>
      </c>
    </row>
    <row r="6" spans="1:6" s="267" customFormat="1" ht="12.95" customHeight="1" thickBot="1" x14ac:dyDescent="0.25">
      <c r="A6" s="92" t="s">
        <v>469</v>
      </c>
      <c r="B6" s="93" t="s">
        <v>470</v>
      </c>
      <c r="C6" s="94" t="s">
        <v>471</v>
      </c>
      <c r="E6" s="598"/>
      <c r="F6" s="598"/>
    </row>
    <row r="7" spans="1:6" s="267" customFormat="1" ht="15.95" customHeight="1" thickBot="1" x14ac:dyDescent="0.25">
      <c r="A7" s="118"/>
      <c r="B7" s="119" t="s">
        <v>61</v>
      </c>
      <c r="C7" s="120"/>
      <c r="E7" s="598"/>
      <c r="F7" s="598"/>
    </row>
    <row r="8" spans="1:6" s="215" customFormat="1" ht="12" customHeight="1" thickBot="1" x14ac:dyDescent="0.25">
      <c r="A8" s="92" t="s">
        <v>23</v>
      </c>
      <c r="B8" s="121" t="s">
        <v>551</v>
      </c>
      <c r="C8" s="164">
        <f>SUM(C9:C19)</f>
        <v>8986898</v>
      </c>
      <c r="E8" s="599" t="e">
        <f>'9.2.1. sz. mell'!C8+#REF!+'9.2.3. sz. mell.'!C8</f>
        <v>#REF!</v>
      </c>
      <c r="F8" s="599" t="e">
        <f t="shared" ref="F8:F42" si="0">C8-E8</f>
        <v>#REF!</v>
      </c>
    </row>
    <row r="9" spans="1:6" s="215" customFormat="1" ht="12" customHeight="1" x14ac:dyDescent="0.2">
      <c r="A9" s="259" t="s">
        <v>99</v>
      </c>
      <c r="B9" s="9" t="s">
        <v>229</v>
      </c>
      <c r="C9" s="204"/>
      <c r="E9" s="599" t="e">
        <f>'9.2.1. sz. mell'!C9+#REF!+'9.2.3. sz. mell.'!C9</f>
        <v>#REF!</v>
      </c>
      <c r="F9" s="599" t="e">
        <f t="shared" si="0"/>
        <v>#REF!</v>
      </c>
    </row>
    <row r="10" spans="1:6" s="215" customFormat="1" ht="12" customHeight="1" x14ac:dyDescent="0.2">
      <c r="A10" s="260" t="s">
        <v>100</v>
      </c>
      <c r="B10" s="7" t="s">
        <v>230</v>
      </c>
      <c r="C10" s="48">
        <v>6228440</v>
      </c>
      <c r="E10" s="599" t="e">
        <f>'9.2.1. sz. mell'!C10+#REF!+'9.2.3. sz. mell.'!C10</f>
        <v>#REF!</v>
      </c>
      <c r="F10" s="599" t="e">
        <f t="shared" si="0"/>
        <v>#REF!</v>
      </c>
    </row>
    <row r="11" spans="1:6" s="215" customFormat="1" ht="12" customHeight="1" x14ac:dyDescent="0.2">
      <c r="A11" s="260" t="s">
        <v>101</v>
      </c>
      <c r="B11" s="7" t="s">
        <v>231</v>
      </c>
      <c r="C11" s="48">
        <f>300000+52200</f>
        <v>352200</v>
      </c>
      <c r="E11" s="599" t="e">
        <f>'9.2.1. sz. mell'!C11+#REF!+'9.2.3. sz. mell.'!C11</f>
        <v>#REF!</v>
      </c>
      <c r="F11" s="599" t="e">
        <f t="shared" si="0"/>
        <v>#REF!</v>
      </c>
    </row>
    <row r="12" spans="1:6" s="215" customFormat="1" ht="12" customHeight="1" x14ac:dyDescent="0.2">
      <c r="A12" s="260" t="s">
        <v>102</v>
      </c>
      <c r="B12" s="7" t="s">
        <v>232</v>
      </c>
      <c r="C12" s="48"/>
      <c r="E12" s="599" t="e">
        <f>'9.2.1. sz. mell'!C12+#REF!+'9.2.3. sz. mell.'!C12</f>
        <v>#REF!</v>
      </c>
      <c r="F12" s="599" t="e">
        <f t="shared" si="0"/>
        <v>#REF!</v>
      </c>
    </row>
    <row r="13" spans="1:6" s="215" customFormat="1" ht="12" customHeight="1" x14ac:dyDescent="0.2">
      <c r="A13" s="260" t="s">
        <v>136</v>
      </c>
      <c r="B13" s="7" t="s">
        <v>233</v>
      </c>
      <c r="C13" s="48"/>
      <c r="E13" s="599" t="e">
        <f>'9.2.1. sz. mell'!C13+#REF!+'9.2.3. sz. mell.'!C13</f>
        <v>#REF!</v>
      </c>
      <c r="F13" s="599" t="e">
        <f t="shared" si="0"/>
        <v>#REF!</v>
      </c>
    </row>
    <row r="14" spans="1:6" s="215" customFormat="1" ht="12" customHeight="1" x14ac:dyDescent="0.2">
      <c r="A14" s="260" t="s">
        <v>103</v>
      </c>
      <c r="B14" s="7" t="s">
        <v>354</v>
      </c>
      <c r="C14" s="48">
        <f>1791000+14094</f>
        <v>1805094</v>
      </c>
      <c r="E14" s="599" t="e">
        <f>'9.2.1. sz. mell'!C14+#REF!+'9.2.3. sz. mell.'!C14</f>
        <v>#REF!</v>
      </c>
      <c r="F14" s="599" t="e">
        <f t="shared" si="0"/>
        <v>#REF!</v>
      </c>
    </row>
    <row r="15" spans="1:6" s="215" customFormat="1" ht="12" customHeight="1" x14ac:dyDescent="0.2">
      <c r="A15" s="260" t="s">
        <v>104</v>
      </c>
      <c r="B15" s="6" t="s">
        <v>355</v>
      </c>
      <c r="C15" s="48"/>
      <c r="E15" s="599" t="e">
        <f>'9.2.1. sz. mell'!C15+#REF!+'9.2.3. sz. mell.'!C15</f>
        <v>#REF!</v>
      </c>
      <c r="F15" s="599" t="e">
        <f t="shared" si="0"/>
        <v>#REF!</v>
      </c>
    </row>
    <row r="16" spans="1:6" s="215" customFormat="1" ht="12" customHeight="1" x14ac:dyDescent="0.2">
      <c r="A16" s="260" t="s">
        <v>114</v>
      </c>
      <c r="B16" s="7" t="s">
        <v>236</v>
      </c>
      <c r="C16" s="165"/>
      <c r="E16" s="599" t="e">
        <f>'9.2.1. sz. mell'!C16+#REF!+'9.2.3. sz. mell.'!C16</f>
        <v>#REF!</v>
      </c>
      <c r="F16" s="599" t="e">
        <f t="shared" si="0"/>
        <v>#REF!</v>
      </c>
    </row>
    <row r="17" spans="1:6" s="268" customFormat="1" ht="12" customHeight="1" x14ac:dyDescent="0.2">
      <c r="A17" s="260" t="s">
        <v>115</v>
      </c>
      <c r="B17" s="7" t="s">
        <v>237</v>
      </c>
      <c r="C17" s="48"/>
      <c r="E17" s="599" t="e">
        <f>'9.2.1. sz. mell'!C17+#REF!+'9.2.3. sz. mell.'!C17</f>
        <v>#REF!</v>
      </c>
      <c r="F17" s="599" t="e">
        <f t="shared" si="0"/>
        <v>#REF!</v>
      </c>
    </row>
    <row r="18" spans="1:6" s="268" customFormat="1" ht="12" customHeight="1" x14ac:dyDescent="0.2">
      <c r="A18" s="260" t="s">
        <v>116</v>
      </c>
      <c r="B18" s="7" t="s">
        <v>478</v>
      </c>
      <c r="C18" s="953"/>
      <c r="E18" s="599" t="e">
        <f>'9.2.1. sz. mell'!C18+#REF!+'9.2.3. sz. mell.'!C18</f>
        <v>#REF!</v>
      </c>
      <c r="F18" s="599" t="e">
        <f t="shared" si="0"/>
        <v>#REF!</v>
      </c>
    </row>
    <row r="19" spans="1:6" s="268" customFormat="1" ht="12" customHeight="1" thickBot="1" x14ac:dyDescent="0.25">
      <c r="A19" s="260" t="s">
        <v>117</v>
      </c>
      <c r="B19" s="6" t="s">
        <v>238</v>
      </c>
      <c r="C19" s="953">
        <f>100000+501164</f>
        <v>601164</v>
      </c>
      <c r="E19" s="599" t="e">
        <f>'9.2.1. sz. mell'!C19+#REF!+'9.2.3. sz. mell.'!C19</f>
        <v>#REF!</v>
      </c>
      <c r="F19" s="599" t="e">
        <f t="shared" si="0"/>
        <v>#REF!</v>
      </c>
    </row>
    <row r="20" spans="1:6" s="215" customFormat="1" ht="12" customHeight="1" thickBot="1" x14ac:dyDescent="0.25">
      <c r="A20" s="92" t="s">
        <v>24</v>
      </c>
      <c r="B20" s="121" t="s">
        <v>356</v>
      </c>
      <c r="C20" s="164">
        <f>SUM(C21:C23)</f>
        <v>2772415</v>
      </c>
      <c r="E20" s="599" t="e">
        <f>'9.2.1. sz. mell'!C20+#REF!+'9.2.3. sz. mell.'!C20</f>
        <v>#REF!</v>
      </c>
      <c r="F20" s="599" t="e">
        <f t="shared" si="0"/>
        <v>#REF!</v>
      </c>
    </row>
    <row r="21" spans="1:6" s="268" customFormat="1" ht="12" customHeight="1" x14ac:dyDescent="0.2">
      <c r="A21" s="260" t="s">
        <v>105</v>
      </c>
      <c r="B21" s="8" t="s">
        <v>206</v>
      </c>
      <c r="C21" s="162"/>
      <c r="E21" s="599" t="e">
        <f>'9.2.1. sz. mell'!C21+#REF!+'9.2.3. sz. mell.'!C21</f>
        <v>#REF!</v>
      </c>
      <c r="F21" s="599" t="e">
        <f t="shared" si="0"/>
        <v>#REF!</v>
      </c>
    </row>
    <row r="22" spans="1:6" s="268" customFormat="1" ht="12" customHeight="1" x14ac:dyDescent="0.2">
      <c r="A22" s="260" t="s">
        <v>106</v>
      </c>
      <c r="B22" s="7" t="s">
        <v>357</v>
      </c>
      <c r="C22" s="162"/>
      <c r="E22" s="599" t="e">
        <f>'9.2.1. sz. mell'!C22+#REF!+'9.2.3. sz. mell.'!C22</f>
        <v>#REF!</v>
      </c>
      <c r="F22" s="599" t="e">
        <f t="shared" si="0"/>
        <v>#REF!</v>
      </c>
    </row>
    <row r="23" spans="1:6" s="268" customFormat="1" ht="12" customHeight="1" x14ac:dyDescent="0.2">
      <c r="A23" s="260" t="s">
        <v>107</v>
      </c>
      <c r="B23" s="7" t="s">
        <v>358</v>
      </c>
      <c r="C23" s="889">
        <f>3096237-344442+20620</f>
        <v>2772415</v>
      </c>
      <c r="E23" s="599" t="e">
        <f>'9.2.1. sz. mell'!C23+#REF!+'9.2.3. sz. mell.'!C23</f>
        <v>#REF!</v>
      </c>
      <c r="F23" s="599" t="e">
        <f t="shared" si="0"/>
        <v>#REF!</v>
      </c>
    </row>
    <row r="24" spans="1:6" s="268" customFormat="1" ht="12" customHeight="1" thickBot="1" x14ac:dyDescent="0.25">
      <c r="A24" s="260" t="s">
        <v>108</v>
      </c>
      <c r="B24" s="7" t="s">
        <v>552</v>
      </c>
      <c r="C24" s="162"/>
      <c r="E24" s="599" t="e">
        <f>'9.2.1. sz. mell'!C24+#REF!+'9.2.3. sz. mell.'!C24</f>
        <v>#REF!</v>
      </c>
      <c r="F24" s="599" t="e">
        <f t="shared" si="0"/>
        <v>#REF!</v>
      </c>
    </row>
    <row r="25" spans="1:6" s="268" customFormat="1" ht="12" customHeight="1" thickBot="1" x14ac:dyDescent="0.25">
      <c r="A25" s="95" t="s">
        <v>25</v>
      </c>
      <c r="B25" s="79" t="s">
        <v>150</v>
      </c>
      <c r="C25" s="189"/>
      <c r="E25" s="599" t="e">
        <f>'9.2.1. sz. mell'!C25+#REF!+'9.2.3. sz. mell.'!C25</f>
        <v>#REF!</v>
      </c>
      <c r="F25" s="599" t="e">
        <f t="shared" si="0"/>
        <v>#REF!</v>
      </c>
    </row>
    <row r="26" spans="1:6" s="268" customFormat="1" ht="12" customHeight="1" thickBot="1" x14ac:dyDescent="0.25">
      <c r="A26" s="95" t="s">
        <v>26</v>
      </c>
      <c r="B26" s="79" t="s">
        <v>553</v>
      </c>
      <c r="C26" s="164">
        <f>+C27+C28+C29</f>
        <v>0</v>
      </c>
      <c r="E26" s="599" t="e">
        <f>'9.2.1. sz. mell'!C26+#REF!+'9.2.3. sz. mell.'!C26</f>
        <v>#REF!</v>
      </c>
      <c r="F26" s="599" t="e">
        <f t="shared" si="0"/>
        <v>#REF!</v>
      </c>
    </row>
    <row r="27" spans="1:6" s="268" customFormat="1" ht="12" customHeight="1" x14ac:dyDescent="0.2">
      <c r="A27" s="261" t="s">
        <v>216</v>
      </c>
      <c r="B27" s="262" t="s">
        <v>211</v>
      </c>
      <c r="C27" s="46"/>
      <c r="E27" s="599" t="e">
        <f>'9.2.1. sz. mell'!C27+#REF!+'9.2.3. sz. mell.'!C27</f>
        <v>#REF!</v>
      </c>
      <c r="F27" s="599" t="e">
        <f t="shared" si="0"/>
        <v>#REF!</v>
      </c>
    </row>
    <row r="28" spans="1:6" s="268" customFormat="1" ht="12" customHeight="1" x14ac:dyDescent="0.2">
      <c r="A28" s="261" t="s">
        <v>219</v>
      </c>
      <c r="B28" s="262" t="s">
        <v>357</v>
      </c>
      <c r="C28" s="162"/>
      <c r="E28" s="599" t="e">
        <f>'9.2.1. sz. mell'!C28+#REF!+'9.2.3. sz. mell.'!C28</f>
        <v>#REF!</v>
      </c>
      <c r="F28" s="599" t="e">
        <f t="shared" si="0"/>
        <v>#REF!</v>
      </c>
    </row>
    <row r="29" spans="1:6" s="268" customFormat="1" ht="12" customHeight="1" x14ac:dyDescent="0.2">
      <c r="A29" s="261" t="s">
        <v>220</v>
      </c>
      <c r="B29" s="263" t="s">
        <v>359</v>
      </c>
      <c r="C29" s="162"/>
      <c r="E29" s="599" t="e">
        <f>'9.2.1. sz. mell'!C29+#REF!+'9.2.3. sz. mell.'!C29</f>
        <v>#REF!</v>
      </c>
      <c r="F29" s="599" t="e">
        <f t="shared" si="0"/>
        <v>#REF!</v>
      </c>
    </row>
    <row r="30" spans="1:6" s="268" customFormat="1" ht="12" customHeight="1" thickBot="1" x14ac:dyDescent="0.25">
      <c r="A30" s="260" t="s">
        <v>221</v>
      </c>
      <c r="B30" s="82" t="s">
        <v>554</v>
      </c>
      <c r="C30" s="49"/>
      <c r="E30" s="599" t="e">
        <f>'9.2.1. sz. mell'!C30+#REF!+'9.2.3. sz. mell.'!C30</f>
        <v>#REF!</v>
      </c>
      <c r="F30" s="599" t="e">
        <f t="shared" si="0"/>
        <v>#REF!</v>
      </c>
    </row>
    <row r="31" spans="1:6" s="268" customFormat="1" ht="12" customHeight="1" thickBot="1" x14ac:dyDescent="0.25">
      <c r="A31" s="95" t="s">
        <v>27</v>
      </c>
      <c r="B31" s="79" t="s">
        <v>360</v>
      </c>
      <c r="C31" s="164">
        <f>+C32+C33+C34</f>
        <v>0</v>
      </c>
      <c r="E31" s="599" t="e">
        <f>'9.2.1. sz. mell'!C31+#REF!+'9.2.3. sz. mell.'!C31</f>
        <v>#REF!</v>
      </c>
      <c r="F31" s="599" t="e">
        <f t="shared" si="0"/>
        <v>#REF!</v>
      </c>
    </row>
    <row r="32" spans="1:6" s="268" customFormat="1" ht="12" customHeight="1" x14ac:dyDescent="0.2">
      <c r="A32" s="261" t="s">
        <v>92</v>
      </c>
      <c r="B32" s="262" t="s">
        <v>243</v>
      </c>
      <c r="C32" s="46"/>
      <c r="E32" s="599" t="e">
        <f>'9.2.1. sz. mell'!C32+#REF!+'9.2.3. sz. mell.'!C32</f>
        <v>#REF!</v>
      </c>
      <c r="F32" s="599" t="e">
        <f t="shared" si="0"/>
        <v>#REF!</v>
      </c>
    </row>
    <row r="33" spans="1:6" s="268" customFormat="1" ht="12" customHeight="1" x14ac:dyDescent="0.2">
      <c r="A33" s="261" t="s">
        <v>93</v>
      </c>
      <c r="B33" s="263" t="s">
        <v>244</v>
      </c>
      <c r="C33" s="165"/>
      <c r="E33" s="599" t="e">
        <f>'9.2.1. sz. mell'!C33+#REF!+'9.2.3. sz. mell.'!C33</f>
        <v>#REF!</v>
      </c>
      <c r="F33" s="599" t="e">
        <f t="shared" si="0"/>
        <v>#REF!</v>
      </c>
    </row>
    <row r="34" spans="1:6" s="268" customFormat="1" ht="12" customHeight="1" thickBot="1" x14ac:dyDescent="0.25">
      <c r="A34" s="260" t="s">
        <v>94</v>
      </c>
      <c r="B34" s="82" t="s">
        <v>245</v>
      </c>
      <c r="C34" s="49"/>
      <c r="E34" s="599" t="e">
        <f>'9.2.1. sz. mell'!C34+#REF!+'9.2.3. sz. mell.'!C34</f>
        <v>#REF!</v>
      </c>
      <c r="F34" s="599" t="e">
        <f t="shared" si="0"/>
        <v>#REF!</v>
      </c>
    </row>
    <row r="35" spans="1:6" s="215" customFormat="1" ht="12" customHeight="1" thickBot="1" x14ac:dyDescent="0.25">
      <c r="A35" s="95" t="s">
        <v>28</v>
      </c>
      <c r="B35" s="79" t="s">
        <v>331</v>
      </c>
      <c r="C35" s="189"/>
      <c r="E35" s="599" t="e">
        <f>'9.2.1. sz. mell'!C35+#REF!+'9.2.3. sz. mell.'!C35</f>
        <v>#REF!</v>
      </c>
      <c r="F35" s="599" t="e">
        <f t="shared" si="0"/>
        <v>#REF!</v>
      </c>
    </row>
    <row r="36" spans="1:6" s="215" customFormat="1" ht="12" customHeight="1" thickBot="1" x14ac:dyDescent="0.25">
      <c r="A36" s="95" t="s">
        <v>29</v>
      </c>
      <c r="B36" s="79" t="s">
        <v>361</v>
      </c>
      <c r="C36" s="206"/>
      <c r="E36" s="599" t="e">
        <f>'9.2.1. sz. mell'!C36+#REF!+'9.2.3. sz. mell.'!C36</f>
        <v>#REF!</v>
      </c>
      <c r="F36" s="599" t="e">
        <f t="shared" si="0"/>
        <v>#REF!</v>
      </c>
    </row>
    <row r="37" spans="1:6" s="215" customFormat="1" ht="12" customHeight="1" thickBot="1" x14ac:dyDescent="0.25">
      <c r="A37" s="92" t="s">
        <v>30</v>
      </c>
      <c r="B37" s="79" t="s">
        <v>362</v>
      </c>
      <c r="C37" s="207">
        <f>+C8+C20+C25+C26+C31+C35+C36</f>
        <v>11759313</v>
      </c>
      <c r="E37" s="599" t="e">
        <f>'9.2.1. sz. mell'!C37+#REF!+'9.2.3. sz. mell.'!C37</f>
        <v>#REF!</v>
      </c>
      <c r="F37" s="599" t="e">
        <f t="shared" si="0"/>
        <v>#REF!</v>
      </c>
    </row>
    <row r="38" spans="1:6" s="215" customFormat="1" ht="12" customHeight="1" thickBot="1" x14ac:dyDescent="0.25">
      <c r="A38" s="122" t="s">
        <v>31</v>
      </c>
      <c r="B38" s="79" t="s">
        <v>363</v>
      </c>
      <c r="C38" s="207">
        <f>+C39+C40+C41</f>
        <v>231428620</v>
      </c>
      <c r="E38" s="599" t="e">
        <f>'9.2.1. sz. mell'!C38+#REF!+'9.2.3. sz. mell.'!C38</f>
        <v>#REF!</v>
      </c>
      <c r="F38" s="599" t="e">
        <f t="shared" si="0"/>
        <v>#REF!</v>
      </c>
    </row>
    <row r="39" spans="1:6" s="215" customFormat="1" ht="12" customHeight="1" x14ac:dyDescent="0.2">
      <c r="A39" s="261" t="s">
        <v>364</v>
      </c>
      <c r="B39" s="262" t="s">
        <v>188</v>
      </c>
      <c r="C39" s="887">
        <f>3148853+63321</f>
        <v>3212174</v>
      </c>
      <c r="E39" s="599" t="e">
        <f>'9.2.1. sz. mell'!C39+#REF!+'9.2.3. sz. mell.'!C39</f>
        <v>#REF!</v>
      </c>
      <c r="F39" s="599" t="e">
        <f t="shared" si="0"/>
        <v>#REF!</v>
      </c>
    </row>
    <row r="40" spans="1:6" s="215" customFormat="1" ht="12" customHeight="1" x14ac:dyDescent="0.2">
      <c r="A40" s="261" t="s">
        <v>365</v>
      </c>
      <c r="B40" s="263" t="s">
        <v>14</v>
      </c>
      <c r="C40" s="165"/>
      <c r="E40" s="599" t="e">
        <f>'9.2.1. sz. mell'!C40+#REF!+'9.2.3. sz. mell.'!C40</f>
        <v>#REF!</v>
      </c>
      <c r="F40" s="599" t="e">
        <f t="shared" si="0"/>
        <v>#REF!</v>
      </c>
    </row>
    <row r="41" spans="1:6" s="268" customFormat="1" ht="12" customHeight="1" thickBot="1" x14ac:dyDescent="0.25">
      <c r="A41" s="260" t="s">
        <v>366</v>
      </c>
      <c r="B41" s="82" t="s">
        <v>367</v>
      </c>
      <c r="C41" s="911">
        <f>228217724-1278</f>
        <v>228216446</v>
      </c>
      <c r="E41" s="599" t="e">
        <f>'9.2.1. sz. mell'!C41+#REF!+'9.2.3. sz. mell.'!C41</f>
        <v>#REF!</v>
      </c>
      <c r="F41" s="599" t="e">
        <f t="shared" si="0"/>
        <v>#REF!</v>
      </c>
    </row>
    <row r="42" spans="1:6" s="268" customFormat="1" ht="15" customHeight="1" thickBot="1" x14ac:dyDescent="0.25">
      <c r="A42" s="122" t="s">
        <v>32</v>
      </c>
      <c r="B42" s="123" t="s">
        <v>368</v>
      </c>
      <c r="C42" s="210">
        <f>+C37+C38</f>
        <v>243187933</v>
      </c>
      <c r="E42" s="599" t="e">
        <f>'9.2.1. sz. mell'!C42+#REF!+'9.2.3. sz. mell.'!C42</f>
        <v>#REF!</v>
      </c>
      <c r="F42" s="599" t="e">
        <f t="shared" si="0"/>
        <v>#REF!</v>
      </c>
    </row>
    <row r="43" spans="1:6" s="268" customFormat="1" ht="15" customHeight="1" x14ac:dyDescent="0.2">
      <c r="A43" s="124"/>
      <c r="B43" s="125"/>
      <c r="C43" s="208"/>
      <c r="E43" s="599" t="e">
        <f>'9.2.1. sz. mell'!C43+#REF!+'9.2.3. sz. mell.'!C43</f>
        <v>#REF!</v>
      </c>
      <c r="F43" s="596"/>
    </row>
    <row r="44" spans="1:6" ht="13.5" thickBot="1" x14ac:dyDescent="0.25">
      <c r="A44" s="126"/>
      <c r="B44" s="127"/>
      <c r="C44" s="209"/>
      <c r="E44" s="599" t="e">
        <f>'9.2.1. sz. mell'!C44+#REF!+'9.2.3. sz. mell.'!C44</f>
        <v>#REF!</v>
      </c>
    </row>
    <row r="45" spans="1:6" s="267" customFormat="1" ht="16.5" customHeight="1" thickBot="1" x14ac:dyDescent="0.25">
      <c r="A45" s="128"/>
      <c r="B45" s="129" t="s">
        <v>62</v>
      </c>
      <c r="C45" s="210"/>
      <c r="E45" s="599" t="e">
        <f>'9.2.1. sz. mell'!C45+#REF!+'9.2.3. sz. mell.'!C45</f>
        <v>#REF!</v>
      </c>
      <c r="F45" s="598"/>
    </row>
    <row r="46" spans="1:6" s="269" customFormat="1" ht="12" customHeight="1" thickBot="1" x14ac:dyDescent="0.25">
      <c r="A46" s="95" t="s">
        <v>23</v>
      </c>
      <c r="B46" s="79" t="s">
        <v>369</v>
      </c>
      <c r="C46" s="164">
        <f>SUM(C47:C51)</f>
        <v>238267953</v>
      </c>
      <c r="E46" s="599" t="e">
        <f>'9.2.1. sz. mell'!C46+#REF!+'9.2.3. sz. mell.'!C46</f>
        <v>#REF!</v>
      </c>
      <c r="F46" s="599" t="e">
        <f t="shared" ref="F46:F58" si="1">C46-E46</f>
        <v>#REF!</v>
      </c>
    </row>
    <row r="47" spans="1:6" ht="12" customHeight="1" x14ac:dyDescent="0.2">
      <c r="A47" s="260" t="s">
        <v>99</v>
      </c>
      <c r="B47" s="8" t="s">
        <v>53</v>
      </c>
      <c r="C47" s="887">
        <f>139878591-175365-569836+152400</f>
        <v>139285790</v>
      </c>
      <c r="E47" s="599" t="e">
        <f>'9.2.1. sz. mell'!C47+#REF!+'9.2.3. sz. mell.'!C47</f>
        <v>#REF!</v>
      </c>
      <c r="F47" s="599" t="e">
        <f t="shared" si="1"/>
        <v>#REF!</v>
      </c>
    </row>
    <row r="48" spans="1:6" ht="12" customHeight="1" x14ac:dyDescent="0.2">
      <c r="A48" s="260" t="s">
        <v>100</v>
      </c>
      <c r="B48" s="7" t="s">
        <v>159</v>
      </c>
      <c r="C48" s="889">
        <f>29776525-18991+3298+98926-416745+62043</f>
        <v>29505056</v>
      </c>
      <c r="E48" s="599" t="e">
        <f>'9.2.1. sz. mell'!C48+#REF!+'9.2.3. sz. mell.'!C48</f>
        <v>#REF!</v>
      </c>
      <c r="F48" s="599" t="e">
        <f t="shared" si="1"/>
        <v>#REF!</v>
      </c>
    </row>
    <row r="49" spans="1:10" ht="12" customHeight="1" x14ac:dyDescent="0.2">
      <c r="A49" s="260" t="s">
        <v>101</v>
      </c>
      <c r="B49" s="7" t="s">
        <v>129</v>
      </c>
      <c r="C49" s="889">
        <f>45442679-83792-152400+20620</f>
        <v>45227107</v>
      </c>
      <c r="E49" s="599" t="e">
        <f>'9.2.1. sz. mell'!C49+#REF!+'9.2.3. sz. mell.'!C49</f>
        <v>#REF!</v>
      </c>
      <c r="F49" s="599" t="e">
        <f t="shared" si="1"/>
        <v>#REF!</v>
      </c>
    </row>
    <row r="50" spans="1:10" ht="12" customHeight="1" x14ac:dyDescent="0.2">
      <c r="A50" s="260" t="s">
        <v>102</v>
      </c>
      <c r="B50" s="7" t="s">
        <v>160</v>
      </c>
      <c r="C50" s="48">
        <v>24250000</v>
      </c>
      <c r="E50" s="599" t="e">
        <f>'9.2.1. sz. mell'!C50+#REF!+'9.2.3. sz. mell.'!C50</f>
        <v>#REF!</v>
      </c>
      <c r="F50" s="599" t="e">
        <f t="shared" si="1"/>
        <v>#REF!</v>
      </c>
    </row>
    <row r="51" spans="1:10" ht="12" customHeight="1" thickBot="1" x14ac:dyDescent="0.25">
      <c r="A51" s="260" t="s">
        <v>136</v>
      </c>
      <c r="B51" s="7" t="s">
        <v>161</v>
      </c>
      <c r="C51" s="48"/>
      <c r="E51" s="599" t="e">
        <f>'9.2.1. sz. mell'!C51+#REF!+'9.2.3. sz. mell.'!C51</f>
        <v>#REF!</v>
      </c>
      <c r="F51" s="599" t="e">
        <f t="shared" si="1"/>
        <v>#REF!</v>
      </c>
    </row>
    <row r="52" spans="1:10" ht="12" customHeight="1" thickBot="1" x14ac:dyDescent="0.25">
      <c r="A52" s="95" t="s">
        <v>24</v>
      </c>
      <c r="B52" s="79" t="s">
        <v>370</v>
      </c>
      <c r="C52" s="164">
        <f>SUM(C53:C55)</f>
        <v>4919980</v>
      </c>
      <c r="E52" s="599" t="e">
        <f>'9.2.1. sz. mell'!C52+#REF!+'9.2.3. sz. mell.'!C52</f>
        <v>#REF!</v>
      </c>
      <c r="F52" s="599" t="e">
        <f t="shared" si="1"/>
        <v>#REF!</v>
      </c>
    </row>
    <row r="53" spans="1:10" s="269" customFormat="1" ht="12" customHeight="1" x14ac:dyDescent="0.2">
      <c r="A53" s="260" t="s">
        <v>105</v>
      </c>
      <c r="B53" s="8" t="s">
        <v>179</v>
      </c>
      <c r="C53" s="46">
        <v>4919980</v>
      </c>
      <c r="E53" s="599" t="e">
        <f>'9.2.1. sz. mell'!C53+#REF!+'9.2.3. sz. mell.'!C53</f>
        <v>#REF!</v>
      </c>
      <c r="F53" s="599" t="e">
        <f t="shared" si="1"/>
        <v>#REF!</v>
      </c>
    </row>
    <row r="54" spans="1:10" ht="12" customHeight="1" x14ac:dyDescent="0.2">
      <c r="A54" s="260" t="s">
        <v>106</v>
      </c>
      <c r="B54" s="7" t="s">
        <v>163</v>
      </c>
      <c r="C54" s="48"/>
      <c r="E54" s="599" t="e">
        <f>'9.2.1. sz. mell'!C54+#REF!+'9.2.3. sz. mell.'!C54</f>
        <v>#REF!</v>
      </c>
      <c r="F54" s="599" t="e">
        <f t="shared" si="1"/>
        <v>#REF!</v>
      </c>
    </row>
    <row r="55" spans="1:10" ht="12" customHeight="1" x14ac:dyDescent="0.2">
      <c r="A55" s="260" t="s">
        <v>107</v>
      </c>
      <c r="B55" s="7" t="s">
        <v>63</v>
      </c>
      <c r="C55" s="48"/>
      <c r="E55" s="599" t="e">
        <f>'9.2.1. sz. mell'!C55+#REF!+'9.2.3. sz. mell.'!C55</f>
        <v>#REF!</v>
      </c>
      <c r="F55" s="599" t="e">
        <f t="shared" si="1"/>
        <v>#REF!</v>
      </c>
    </row>
    <row r="56" spans="1:10" ht="12" customHeight="1" thickBot="1" x14ac:dyDescent="0.25">
      <c r="A56" s="260" t="s">
        <v>108</v>
      </c>
      <c r="B56" s="7" t="s">
        <v>555</v>
      </c>
      <c r="C56" s="48"/>
      <c r="E56" s="599" t="e">
        <f>'9.2.1. sz. mell'!C56+#REF!+'9.2.3. sz. mell.'!C56</f>
        <v>#REF!</v>
      </c>
      <c r="F56" s="599" t="e">
        <f t="shared" si="1"/>
        <v>#REF!</v>
      </c>
    </row>
    <row r="57" spans="1:10" ht="12" customHeight="1" thickBot="1" x14ac:dyDescent="0.25">
      <c r="A57" s="95" t="s">
        <v>25</v>
      </c>
      <c r="B57" s="79" t="s">
        <v>18</v>
      </c>
      <c r="C57" s="189"/>
      <c r="E57" s="599" t="e">
        <f>'9.2.1. sz. mell'!C57+#REF!+'9.2.3. sz. mell.'!C57</f>
        <v>#REF!</v>
      </c>
      <c r="F57" s="599" t="e">
        <f t="shared" si="1"/>
        <v>#REF!</v>
      </c>
    </row>
    <row r="58" spans="1:10" ht="15" customHeight="1" thickBot="1" x14ac:dyDescent="0.25">
      <c r="A58" s="95" t="s">
        <v>26</v>
      </c>
      <c r="B58" s="130" t="s">
        <v>556</v>
      </c>
      <c r="C58" s="211">
        <f>+C46+C52+C57</f>
        <v>243187933</v>
      </c>
      <c r="E58" s="599" t="e">
        <f>'9.2.1. sz. mell'!C58+#REF!+'9.2.3. sz. mell.'!C58</f>
        <v>#REF!</v>
      </c>
      <c r="F58" s="599" t="e">
        <f t="shared" si="1"/>
        <v>#REF!</v>
      </c>
    </row>
    <row r="59" spans="1:10" ht="13.5" thickBot="1" x14ac:dyDescent="0.25">
      <c r="C59" s="501"/>
      <c r="E59" s="599" t="e">
        <f>'9.2.1. sz. mell'!C59+#REF!+'9.2.3. sz. mell.'!C59</f>
        <v>#REF!</v>
      </c>
      <c r="F59" s="600"/>
    </row>
    <row r="60" spans="1:10" ht="15" customHeight="1" thickBot="1" x14ac:dyDescent="0.25">
      <c r="A60" s="133" t="s">
        <v>548</v>
      </c>
      <c r="B60" s="134"/>
      <c r="C60" s="601">
        <v>46</v>
      </c>
      <c r="E60" s="599" t="e">
        <f>'9.2.1. sz. mell'!C60+#REF!+'9.2.3. sz. mell.'!C60</f>
        <v>#REF!</v>
      </c>
      <c r="F60" s="599" t="e">
        <f>C60-E60</f>
        <v>#REF!</v>
      </c>
    </row>
    <row r="61" spans="1:10" ht="14.25" customHeight="1" thickBot="1" x14ac:dyDescent="0.25">
      <c r="A61" s="133" t="s">
        <v>175</v>
      </c>
      <c r="B61" s="134"/>
      <c r="C61" s="78"/>
      <c r="E61" s="599" t="e">
        <f>'9.2.1. sz. mell'!C61+#REF!+'9.2.3. sz. mell.'!C61</f>
        <v>#REF!</v>
      </c>
      <c r="F61" s="599" t="e">
        <f>C61-E61</f>
        <v>#REF!</v>
      </c>
    </row>
    <row r="62" spans="1:10" x14ac:dyDescent="0.2">
      <c r="J62" s="692"/>
    </row>
    <row r="66" spans="4:4" x14ac:dyDescent="0.2">
      <c r="D66" s="69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&amp;R13. mellékleta 8/2018.(IV.27.) önkormányzati rendelethez</oddHeader>
  </headerFooter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abSelected="1" zoomScale="130" zoomScaleNormal="130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132" customWidth="1"/>
    <col min="4" max="16384" width="9.33203125" style="132"/>
  </cols>
  <sheetData>
    <row r="1" spans="1:3" s="111" customFormat="1" ht="21" customHeight="1" thickBot="1" x14ac:dyDescent="0.25">
      <c r="A1" s="110"/>
      <c r="B1" s="112"/>
      <c r="C1" s="264"/>
    </row>
    <row r="2" spans="1:3" s="265" customFormat="1" ht="35.25" customHeight="1" x14ac:dyDescent="0.2">
      <c r="A2" s="222" t="s">
        <v>173</v>
      </c>
      <c r="B2" s="199" t="s">
        <v>550</v>
      </c>
      <c r="C2" s="213" t="s">
        <v>65</v>
      </c>
    </row>
    <row r="3" spans="1:3" s="265" customFormat="1" ht="24.75" thickBot="1" x14ac:dyDescent="0.25">
      <c r="A3" s="258" t="s">
        <v>172</v>
      </c>
      <c r="B3" s="200" t="s">
        <v>371</v>
      </c>
      <c r="C3" s="214" t="s">
        <v>65</v>
      </c>
    </row>
    <row r="4" spans="1:3" s="266" customFormat="1" ht="15.95" customHeight="1" thickBot="1" x14ac:dyDescent="0.3">
      <c r="A4" s="114"/>
      <c r="B4" s="114"/>
      <c r="C4" s="115" t="s">
        <v>597</v>
      </c>
    </row>
    <row r="5" spans="1:3" ht="13.5" thickBot="1" x14ac:dyDescent="0.25">
      <c r="A5" s="223" t="s">
        <v>174</v>
      </c>
      <c r="B5" s="116" t="s">
        <v>59</v>
      </c>
      <c r="C5" s="117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94" t="s">
        <v>471</v>
      </c>
    </row>
    <row r="7" spans="1:3" s="267" customFormat="1" ht="15.95" customHeight="1" thickBot="1" x14ac:dyDescent="0.25">
      <c r="A7" s="118"/>
      <c r="B7" s="119" t="s">
        <v>61</v>
      </c>
      <c r="C7" s="120"/>
    </row>
    <row r="8" spans="1:3" s="215" customFormat="1" ht="12" customHeight="1" thickBot="1" x14ac:dyDescent="0.25">
      <c r="A8" s="92" t="s">
        <v>23</v>
      </c>
      <c r="B8" s="121" t="s">
        <v>551</v>
      </c>
      <c r="C8" s="164">
        <f>SUM(C9:C19)</f>
        <v>2071734</v>
      </c>
    </row>
    <row r="9" spans="1:3" s="215" customFormat="1" ht="12" customHeight="1" x14ac:dyDescent="0.2">
      <c r="A9" s="259" t="s">
        <v>99</v>
      </c>
      <c r="B9" s="9" t="s">
        <v>229</v>
      </c>
      <c r="C9" s="204"/>
    </row>
    <row r="10" spans="1:3" s="215" customFormat="1" ht="12" customHeight="1" x14ac:dyDescent="0.2">
      <c r="A10" s="260" t="s">
        <v>100</v>
      </c>
      <c r="B10" s="7" t="s">
        <v>230</v>
      </c>
      <c r="C10" s="162">
        <f>1198440+380000</f>
        <v>1578440</v>
      </c>
    </row>
    <row r="11" spans="1:3" s="215" customFormat="1" ht="12" customHeight="1" x14ac:dyDescent="0.2">
      <c r="A11" s="260" t="s">
        <v>101</v>
      </c>
      <c r="B11" s="7" t="s">
        <v>231</v>
      </c>
      <c r="C11" s="48">
        <f>52200</f>
        <v>52200</v>
      </c>
    </row>
    <row r="12" spans="1:3" s="215" customFormat="1" ht="12" customHeight="1" x14ac:dyDescent="0.2">
      <c r="A12" s="260" t="s">
        <v>102</v>
      </c>
      <c r="B12" s="7" t="s">
        <v>232</v>
      </c>
      <c r="C12" s="48"/>
    </row>
    <row r="13" spans="1:3" s="215" customFormat="1" ht="12" customHeight="1" x14ac:dyDescent="0.2">
      <c r="A13" s="260" t="s">
        <v>136</v>
      </c>
      <c r="B13" s="7" t="s">
        <v>233</v>
      </c>
      <c r="C13" s="48"/>
    </row>
    <row r="14" spans="1:3" s="215" customFormat="1" ht="12" customHeight="1" x14ac:dyDescent="0.2">
      <c r="A14" s="260" t="s">
        <v>103</v>
      </c>
      <c r="B14" s="7" t="s">
        <v>354</v>
      </c>
      <c r="C14" s="48">
        <f>324000+103000+14094</f>
        <v>441094</v>
      </c>
    </row>
    <row r="15" spans="1:3" s="215" customFormat="1" ht="12" customHeight="1" x14ac:dyDescent="0.2">
      <c r="A15" s="260" t="s">
        <v>104</v>
      </c>
      <c r="B15" s="6" t="s">
        <v>355</v>
      </c>
      <c r="C15" s="48"/>
    </row>
    <row r="16" spans="1:3" s="215" customFormat="1" ht="12" customHeight="1" x14ac:dyDescent="0.2">
      <c r="A16" s="260" t="s">
        <v>114</v>
      </c>
      <c r="B16" s="7" t="s">
        <v>236</v>
      </c>
      <c r="C16" s="205"/>
    </row>
    <row r="17" spans="1:3" s="268" customFormat="1" ht="12" customHeight="1" x14ac:dyDescent="0.2">
      <c r="A17" s="260" t="s">
        <v>115</v>
      </c>
      <c r="B17" s="7" t="s">
        <v>237</v>
      </c>
      <c r="C17" s="162"/>
    </row>
    <row r="18" spans="1:3" s="268" customFormat="1" ht="12" customHeight="1" x14ac:dyDescent="0.2">
      <c r="A18" s="260" t="s">
        <v>116</v>
      </c>
      <c r="B18" s="7" t="s">
        <v>478</v>
      </c>
      <c r="C18" s="163"/>
    </row>
    <row r="19" spans="1:3" s="268" customFormat="1" ht="12" customHeight="1" thickBot="1" x14ac:dyDescent="0.25">
      <c r="A19" s="260" t="s">
        <v>117</v>
      </c>
      <c r="B19" s="6" t="s">
        <v>238</v>
      </c>
      <c r="C19" s="163"/>
    </row>
    <row r="20" spans="1:3" s="215" customFormat="1" ht="12" customHeight="1" thickBot="1" x14ac:dyDescent="0.25">
      <c r="A20" s="92" t="s">
        <v>24</v>
      </c>
      <c r="B20" s="121" t="s">
        <v>356</v>
      </c>
      <c r="C20" s="164">
        <f>SUM(C21:C23)</f>
        <v>2772415</v>
      </c>
    </row>
    <row r="21" spans="1:3" s="268" customFormat="1" ht="12" customHeight="1" x14ac:dyDescent="0.2">
      <c r="A21" s="260" t="s">
        <v>105</v>
      </c>
      <c r="B21" s="8" t="s">
        <v>206</v>
      </c>
      <c r="C21" s="162"/>
    </row>
    <row r="22" spans="1:3" s="268" customFormat="1" ht="12" customHeight="1" x14ac:dyDescent="0.2">
      <c r="A22" s="260" t="s">
        <v>106</v>
      </c>
      <c r="B22" s="7" t="s">
        <v>357</v>
      </c>
      <c r="C22" s="162"/>
    </row>
    <row r="23" spans="1:3" s="268" customFormat="1" ht="12" customHeight="1" x14ac:dyDescent="0.2">
      <c r="A23" s="260" t="s">
        <v>107</v>
      </c>
      <c r="B23" s="7" t="s">
        <v>358</v>
      </c>
      <c r="C23" s="889">
        <f>3096237-344442+20620</f>
        <v>2772415</v>
      </c>
    </row>
    <row r="24" spans="1:3" s="268" customFormat="1" ht="12" customHeight="1" thickBot="1" x14ac:dyDescent="0.25">
      <c r="A24" s="260" t="s">
        <v>108</v>
      </c>
      <c r="B24" s="7" t="s">
        <v>552</v>
      </c>
      <c r="C24" s="952"/>
    </row>
    <row r="25" spans="1:3" s="268" customFormat="1" ht="12" customHeight="1" thickBot="1" x14ac:dyDescent="0.25">
      <c r="A25" s="95" t="s">
        <v>25</v>
      </c>
      <c r="B25" s="79" t="s">
        <v>150</v>
      </c>
      <c r="C25" s="189"/>
    </row>
    <row r="26" spans="1:3" s="268" customFormat="1" ht="12" customHeight="1" thickBot="1" x14ac:dyDescent="0.25">
      <c r="A26" s="95" t="s">
        <v>26</v>
      </c>
      <c r="B26" s="79" t="s">
        <v>553</v>
      </c>
      <c r="C26" s="164">
        <f>+C27+C28+C29</f>
        <v>0</v>
      </c>
    </row>
    <row r="27" spans="1:3" s="268" customFormat="1" ht="12" customHeight="1" x14ac:dyDescent="0.2">
      <c r="A27" s="261" t="s">
        <v>216</v>
      </c>
      <c r="B27" s="262" t="s">
        <v>211</v>
      </c>
      <c r="C27" s="46"/>
    </row>
    <row r="28" spans="1:3" s="268" customFormat="1" ht="12" customHeight="1" x14ac:dyDescent="0.2">
      <c r="A28" s="261" t="s">
        <v>219</v>
      </c>
      <c r="B28" s="262" t="s">
        <v>357</v>
      </c>
      <c r="C28" s="162"/>
    </row>
    <row r="29" spans="1:3" s="268" customFormat="1" ht="12" customHeight="1" x14ac:dyDescent="0.2">
      <c r="A29" s="261" t="s">
        <v>220</v>
      </c>
      <c r="B29" s="263" t="s">
        <v>359</v>
      </c>
      <c r="C29" s="162"/>
    </row>
    <row r="30" spans="1:3" s="268" customFormat="1" ht="12" customHeight="1" thickBot="1" x14ac:dyDescent="0.25">
      <c r="A30" s="260" t="s">
        <v>221</v>
      </c>
      <c r="B30" s="82" t="s">
        <v>554</v>
      </c>
      <c r="C30" s="49"/>
    </row>
    <row r="31" spans="1:3" s="268" customFormat="1" ht="12" customHeight="1" thickBot="1" x14ac:dyDescent="0.25">
      <c r="A31" s="95" t="s">
        <v>27</v>
      </c>
      <c r="B31" s="79" t="s">
        <v>360</v>
      </c>
      <c r="C31" s="164">
        <f>+C32+C33+C34</f>
        <v>0</v>
      </c>
    </row>
    <row r="32" spans="1:3" s="268" customFormat="1" ht="12" customHeight="1" x14ac:dyDescent="0.2">
      <c r="A32" s="261" t="s">
        <v>92</v>
      </c>
      <c r="B32" s="262" t="s">
        <v>243</v>
      </c>
      <c r="C32" s="46"/>
    </row>
    <row r="33" spans="1:3" s="268" customFormat="1" ht="12" customHeight="1" x14ac:dyDescent="0.2">
      <c r="A33" s="261" t="s">
        <v>93</v>
      </c>
      <c r="B33" s="263" t="s">
        <v>244</v>
      </c>
      <c r="C33" s="165"/>
    </row>
    <row r="34" spans="1:3" s="268" customFormat="1" ht="12" customHeight="1" thickBot="1" x14ac:dyDescent="0.25">
      <c r="A34" s="260" t="s">
        <v>94</v>
      </c>
      <c r="B34" s="82" t="s">
        <v>245</v>
      </c>
      <c r="C34" s="49"/>
    </row>
    <row r="35" spans="1:3" s="215" customFormat="1" ht="12" customHeight="1" thickBot="1" x14ac:dyDescent="0.25">
      <c r="A35" s="95" t="s">
        <v>28</v>
      </c>
      <c r="B35" s="79" t="s">
        <v>331</v>
      </c>
      <c r="C35" s="189"/>
    </row>
    <row r="36" spans="1:3" s="215" customFormat="1" ht="12" customHeight="1" thickBot="1" x14ac:dyDescent="0.25">
      <c r="A36" s="95" t="s">
        <v>29</v>
      </c>
      <c r="B36" s="79" t="s">
        <v>361</v>
      </c>
      <c r="C36" s="206"/>
    </row>
    <row r="37" spans="1:3" s="215" customFormat="1" ht="12" customHeight="1" thickBot="1" x14ac:dyDescent="0.25">
      <c r="A37" s="92" t="s">
        <v>30</v>
      </c>
      <c r="B37" s="79" t="s">
        <v>362</v>
      </c>
      <c r="C37" s="207">
        <f>+C8+C20+C25+C26+C31+C35+C36</f>
        <v>4844149</v>
      </c>
    </row>
    <row r="38" spans="1:3" s="215" customFormat="1" ht="12" customHeight="1" thickBot="1" x14ac:dyDescent="0.25">
      <c r="A38" s="122" t="s">
        <v>31</v>
      </c>
      <c r="B38" s="79" t="s">
        <v>363</v>
      </c>
      <c r="C38" s="207">
        <f>+C39+C40+C41</f>
        <v>23655984</v>
      </c>
    </row>
    <row r="39" spans="1:3" s="215" customFormat="1" ht="12" customHeight="1" x14ac:dyDescent="0.2">
      <c r="A39" s="261" t="s">
        <v>364</v>
      </c>
      <c r="B39" s="262" t="s">
        <v>188</v>
      </c>
      <c r="C39" s="46">
        <f>3148853+63321</f>
        <v>3212174</v>
      </c>
    </row>
    <row r="40" spans="1:3" s="215" customFormat="1" ht="12" customHeight="1" x14ac:dyDescent="0.2">
      <c r="A40" s="261" t="s">
        <v>365</v>
      </c>
      <c r="B40" s="263" t="s">
        <v>14</v>
      </c>
      <c r="C40" s="165"/>
    </row>
    <row r="41" spans="1:3" s="268" customFormat="1" ht="12" customHeight="1" thickBot="1" x14ac:dyDescent="0.25">
      <c r="A41" s="260" t="s">
        <v>366</v>
      </c>
      <c r="B41" s="82" t="s">
        <v>367</v>
      </c>
      <c r="C41" s="911">
        <f>20503833+3298-63321</f>
        <v>20443810</v>
      </c>
    </row>
    <row r="42" spans="1:3" s="268" customFormat="1" ht="15" customHeight="1" thickBot="1" x14ac:dyDescent="0.25">
      <c r="A42" s="122" t="s">
        <v>32</v>
      </c>
      <c r="B42" s="123" t="s">
        <v>368</v>
      </c>
      <c r="C42" s="210">
        <f>+C37+C38</f>
        <v>28500133</v>
      </c>
    </row>
    <row r="43" spans="1:3" s="268" customFormat="1" ht="15" customHeight="1" x14ac:dyDescent="0.2">
      <c r="A43" s="124"/>
      <c r="B43" s="125"/>
      <c r="C43" s="208"/>
    </row>
    <row r="44" spans="1:3" ht="13.5" thickBot="1" x14ac:dyDescent="0.25">
      <c r="A44" s="126"/>
      <c r="B44" s="127"/>
      <c r="C44" s="209"/>
    </row>
    <row r="45" spans="1:3" s="267" customFormat="1" ht="16.5" customHeight="1" thickBot="1" x14ac:dyDescent="0.25">
      <c r="A45" s="128"/>
      <c r="B45" s="129" t="s">
        <v>62</v>
      </c>
      <c r="C45" s="210"/>
    </row>
    <row r="46" spans="1:3" s="269" customFormat="1" ht="12" customHeight="1" thickBot="1" x14ac:dyDescent="0.25">
      <c r="A46" s="95" t="s">
        <v>23</v>
      </c>
      <c r="B46" s="79" t="s">
        <v>369</v>
      </c>
      <c r="C46" s="164">
        <f>SUM(C47:C51)</f>
        <v>28500133</v>
      </c>
    </row>
    <row r="47" spans="1:3" ht="12" customHeight="1" x14ac:dyDescent="0.2">
      <c r="A47" s="260" t="s">
        <v>99</v>
      </c>
      <c r="B47" s="8" t="s">
        <v>53</v>
      </c>
      <c r="C47" s="46">
        <f>481000+2215000-175365</f>
        <v>2520635</v>
      </c>
    </row>
    <row r="48" spans="1:3" ht="12" customHeight="1" x14ac:dyDescent="0.2">
      <c r="A48" s="260" t="s">
        <v>100</v>
      </c>
      <c r="B48" s="7" t="s">
        <v>159</v>
      </c>
      <c r="C48" s="48">
        <f>114000+461687-18991+3298</f>
        <v>559994</v>
      </c>
    </row>
    <row r="49" spans="1:3" ht="12" customHeight="1" x14ac:dyDescent="0.2">
      <c r="A49" s="260" t="s">
        <v>101</v>
      </c>
      <c r="B49" s="7" t="s">
        <v>129</v>
      </c>
      <c r="C49" s="889">
        <f>324000+352000+137126+419550-83792+20620</f>
        <v>1169504</v>
      </c>
    </row>
    <row r="50" spans="1:3" ht="12" customHeight="1" x14ac:dyDescent="0.2">
      <c r="A50" s="260" t="s">
        <v>102</v>
      </c>
      <c r="B50" s="7" t="s">
        <v>160</v>
      </c>
      <c r="C50" s="48">
        <v>24250000</v>
      </c>
    </row>
    <row r="51" spans="1:3" ht="12" customHeight="1" thickBot="1" x14ac:dyDescent="0.25">
      <c r="A51" s="260" t="s">
        <v>136</v>
      </c>
      <c r="B51" s="7" t="s">
        <v>161</v>
      </c>
      <c r="C51" s="48"/>
    </row>
    <row r="52" spans="1:3" ht="12" customHeight="1" thickBot="1" x14ac:dyDescent="0.25">
      <c r="A52" s="95" t="s">
        <v>24</v>
      </c>
      <c r="B52" s="79" t="s">
        <v>370</v>
      </c>
      <c r="C52" s="164">
        <f>SUM(C53:C55)</f>
        <v>0</v>
      </c>
    </row>
    <row r="53" spans="1:3" s="269" customFormat="1" ht="12" customHeight="1" x14ac:dyDescent="0.2">
      <c r="A53" s="260" t="s">
        <v>105</v>
      </c>
      <c r="B53" s="8" t="s">
        <v>179</v>
      </c>
      <c r="C53" s="46"/>
    </row>
    <row r="54" spans="1:3" ht="12" customHeight="1" x14ac:dyDescent="0.2">
      <c r="A54" s="260" t="s">
        <v>106</v>
      </c>
      <c r="B54" s="7" t="s">
        <v>163</v>
      </c>
      <c r="C54" s="48"/>
    </row>
    <row r="55" spans="1:3" ht="12" customHeight="1" x14ac:dyDescent="0.2">
      <c r="A55" s="260" t="s">
        <v>107</v>
      </c>
      <c r="B55" s="7" t="s">
        <v>63</v>
      </c>
      <c r="C55" s="48"/>
    </row>
    <row r="56" spans="1:3" ht="12" customHeight="1" thickBot="1" x14ac:dyDescent="0.25">
      <c r="A56" s="260" t="s">
        <v>108</v>
      </c>
      <c r="B56" s="7" t="s">
        <v>555</v>
      </c>
      <c r="C56" s="48"/>
    </row>
    <row r="57" spans="1:3" ht="15" customHeight="1" thickBot="1" x14ac:dyDescent="0.25">
      <c r="A57" s="95" t="s">
        <v>25</v>
      </c>
      <c r="B57" s="79" t="s">
        <v>18</v>
      </c>
      <c r="C57" s="189"/>
    </row>
    <row r="58" spans="1:3" ht="13.5" thickBot="1" x14ac:dyDescent="0.25">
      <c r="A58" s="95" t="s">
        <v>26</v>
      </c>
      <c r="B58" s="130" t="s">
        <v>556</v>
      </c>
      <c r="C58" s="211">
        <f>+C46+C52+C57</f>
        <v>28500133</v>
      </c>
    </row>
    <row r="59" spans="1:3" ht="15" customHeight="1" thickBot="1" x14ac:dyDescent="0.25">
      <c r="C59" s="212"/>
    </row>
    <row r="60" spans="1:3" ht="14.25" customHeight="1" thickBot="1" x14ac:dyDescent="0.25">
      <c r="A60" s="133" t="s">
        <v>548</v>
      </c>
      <c r="B60" s="134"/>
      <c r="C60" s="78"/>
    </row>
    <row r="61" spans="1:3" ht="13.5" thickBot="1" x14ac:dyDescent="0.25">
      <c r="A61" s="133" t="s">
        <v>175</v>
      </c>
      <c r="B61" s="134"/>
      <c r="C61" s="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 mellékleta 8/2018.(IV.27.)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tabSelected="1" zoomScale="130" zoomScaleNormal="130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02" customWidth="1"/>
    <col min="4" max="16384" width="9.33203125" style="132"/>
  </cols>
  <sheetData>
    <row r="1" spans="1:3" s="111" customFormat="1" ht="21" customHeight="1" thickBot="1" x14ac:dyDescent="0.25">
      <c r="A1" s="110"/>
      <c r="B1" s="112"/>
      <c r="C1" s="264"/>
    </row>
    <row r="2" spans="1:3" s="265" customFormat="1" ht="33.75" customHeight="1" x14ac:dyDescent="0.2">
      <c r="A2" s="222" t="s">
        <v>173</v>
      </c>
      <c r="B2" s="199" t="s">
        <v>550</v>
      </c>
      <c r="C2" s="213" t="s">
        <v>65</v>
      </c>
    </row>
    <row r="3" spans="1:3" s="265" customFormat="1" ht="24.75" thickBot="1" x14ac:dyDescent="0.25">
      <c r="A3" s="258" t="s">
        <v>172</v>
      </c>
      <c r="B3" s="200" t="s">
        <v>557</v>
      </c>
      <c r="C3" s="214" t="s">
        <v>385</v>
      </c>
    </row>
    <row r="4" spans="1:3" s="266" customFormat="1" ht="15.95" customHeight="1" thickBot="1" x14ac:dyDescent="0.3">
      <c r="A4" s="114"/>
      <c r="B4" s="114"/>
      <c r="C4" s="115" t="s">
        <v>597</v>
      </c>
    </row>
    <row r="5" spans="1:3" ht="13.5" thickBot="1" x14ac:dyDescent="0.25">
      <c r="A5" s="223" t="s">
        <v>174</v>
      </c>
      <c r="B5" s="116" t="s">
        <v>59</v>
      </c>
      <c r="C5" s="117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94" t="s">
        <v>471</v>
      </c>
    </row>
    <row r="7" spans="1:3" s="267" customFormat="1" ht="15.95" customHeight="1" thickBot="1" x14ac:dyDescent="0.25">
      <c r="A7" s="118"/>
      <c r="B7" s="119" t="s">
        <v>61</v>
      </c>
      <c r="C7" s="120"/>
    </row>
    <row r="8" spans="1:3" s="215" customFormat="1" ht="12" customHeight="1" thickBot="1" x14ac:dyDescent="0.25">
      <c r="A8" s="92" t="s">
        <v>23</v>
      </c>
      <c r="B8" s="121" t="s">
        <v>551</v>
      </c>
      <c r="C8" s="164">
        <f>SUM(C9:C19)</f>
        <v>6280164</v>
      </c>
    </row>
    <row r="9" spans="1:3" s="215" customFormat="1" ht="12" customHeight="1" x14ac:dyDescent="0.2">
      <c r="A9" s="259" t="s">
        <v>99</v>
      </c>
      <c r="B9" s="9" t="s">
        <v>229</v>
      </c>
      <c r="C9" s="204"/>
    </row>
    <row r="10" spans="1:3" s="215" customFormat="1" ht="12" customHeight="1" x14ac:dyDescent="0.2">
      <c r="A10" s="260" t="s">
        <v>100</v>
      </c>
      <c r="B10" s="7" t="s">
        <v>230</v>
      </c>
      <c r="C10" s="48">
        <v>4150000</v>
      </c>
    </row>
    <row r="11" spans="1:3" s="215" customFormat="1" ht="12" customHeight="1" x14ac:dyDescent="0.2">
      <c r="A11" s="260" t="s">
        <v>101</v>
      </c>
      <c r="B11" s="7" t="s">
        <v>231</v>
      </c>
      <c r="C11" s="48">
        <v>300000</v>
      </c>
    </row>
    <row r="12" spans="1:3" s="215" customFormat="1" ht="12" customHeight="1" x14ac:dyDescent="0.2">
      <c r="A12" s="260" t="s">
        <v>102</v>
      </c>
      <c r="B12" s="7" t="s">
        <v>232</v>
      </c>
      <c r="C12" s="48"/>
    </row>
    <row r="13" spans="1:3" s="215" customFormat="1" ht="12" customHeight="1" x14ac:dyDescent="0.2">
      <c r="A13" s="260" t="s">
        <v>136</v>
      </c>
      <c r="B13" s="7" t="s">
        <v>233</v>
      </c>
      <c r="C13" s="48"/>
    </row>
    <row r="14" spans="1:3" s="215" customFormat="1" ht="12" customHeight="1" x14ac:dyDescent="0.2">
      <c r="A14" s="260" t="s">
        <v>103</v>
      </c>
      <c r="B14" s="7" t="s">
        <v>354</v>
      </c>
      <c r="C14" s="48">
        <v>1229000</v>
      </c>
    </row>
    <row r="15" spans="1:3" s="215" customFormat="1" ht="12" customHeight="1" x14ac:dyDescent="0.2">
      <c r="A15" s="260" t="s">
        <v>104</v>
      </c>
      <c r="B15" s="6" t="s">
        <v>355</v>
      </c>
      <c r="C15" s="48"/>
    </row>
    <row r="16" spans="1:3" s="215" customFormat="1" ht="12" customHeight="1" x14ac:dyDescent="0.2">
      <c r="A16" s="260" t="s">
        <v>114</v>
      </c>
      <c r="B16" s="7" t="s">
        <v>236</v>
      </c>
      <c r="C16" s="205"/>
    </row>
    <row r="17" spans="1:3" s="268" customFormat="1" ht="12" customHeight="1" x14ac:dyDescent="0.2">
      <c r="A17" s="260" t="s">
        <v>115</v>
      </c>
      <c r="B17" s="7" t="s">
        <v>237</v>
      </c>
      <c r="C17" s="162"/>
    </row>
    <row r="18" spans="1:3" s="268" customFormat="1" ht="12" customHeight="1" x14ac:dyDescent="0.2">
      <c r="A18" s="260" t="s">
        <v>116</v>
      </c>
      <c r="B18" s="7" t="s">
        <v>478</v>
      </c>
      <c r="C18" s="163"/>
    </row>
    <row r="19" spans="1:3" s="268" customFormat="1" ht="12" customHeight="1" thickBot="1" x14ac:dyDescent="0.25">
      <c r="A19" s="260" t="s">
        <v>117</v>
      </c>
      <c r="B19" s="6" t="s">
        <v>238</v>
      </c>
      <c r="C19" s="910">
        <f>100000+501164</f>
        <v>601164</v>
      </c>
    </row>
    <row r="20" spans="1:3" s="215" customFormat="1" ht="12" customHeight="1" thickBot="1" x14ac:dyDescent="0.25">
      <c r="A20" s="92" t="s">
        <v>24</v>
      </c>
      <c r="B20" s="121" t="s">
        <v>356</v>
      </c>
      <c r="C20" s="164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162"/>
    </row>
    <row r="22" spans="1:3" s="268" customFormat="1" ht="12" customHeight="1" x14ac:dyDescent="0.2">
      <c r="A22" s="260" t="s">
        <v>106</v>
      </c>
      <c r="B22" s="7" t="s">
        <v>357</v>
      </c>
      <c r="C22" s="162"/>
    </row>
    <row r="23" spans="1:3" s="268" customFormat="1" ht="12" customHeight="1" x14ac:dyDescent="0.2">
      <c r="A23" s="260" t="s">
        <v>107</v>
      </c>
      <c r="B23" s="7" t="s">
        <v>358</v>
      </c>
      <c r="C23" s="162"/>
    </row>
    <row r="24" spans="1:3" s="268" customFormat="1" ht="12" customHeight="1" thickBot="1" x14ac:dyDescent="0.25">
      <c r="A24" s="260" t="s">
        <v>108</v>
      </c>
      <c r="B24" s="7" t="s">
        <v>552</v>
      </c>
      <c r="C24" s="162"/>
    </row>
    <row r="25" spans="1:3" s="268" customFormat="1" ht="12" customHeight="1" thickBot="1" x14ac:dyDescent="0.25">
      <c r="A25" s="95" t="s">
        <v>25</v>
      </c>
      <c r="B25" s="79" t="s">
        <v>150</v>
      </c>
      <c r="C25" s="189"/>
    </row>
    <row r="26" spans="1:3" s="268" customFormat="1" ht="12" customHeight="1" thickBot="1" x14ac:dyDescent="0.25">
      <c r="A26" s="95" t="s">
        <v>26</v>
      </c>
      <c r="B26" s="79" t="s">
        <v>553</v>
      </c>
      <c r="C26" s="164">
        <f>+C27+C28+C29</f>
        <v>0</v>
      </c>
    </row>
    <row r="27" spans="1:3" s="268" customFormat="1" ht="12" customHeight="1" x14ac:dyDescent="0.2">
      <c r="A27" s="261" t="s">
        <v>216</v>
      </c>
      <c r="B27" s="262" t="s">
        <v>211</v>
      </c>
      <c r="C27" s="46"/>
    </row>
    <row r="28" spans="1:3" s="268" customFormat="1" ht="12" customHeight="1" x14ac:dyDescent="0.2">
      <c r="A28" s="261" t="s">
        <v>219</v>
      </c>
      <c r="B28" s="262" t="s">
        <v>357</v>
      </c>
      <c r="C28" s="162"/>
    </row>
    <row r="29" spans="1:3" s="268" customFormat="1" ht="12" customHeight="1" x14ac:dyDescent="0.2">
      <c r="A29" s="261" t="s">
        <v>220</v>
      </c>
      <c r="B29" s="263" t="s">
        <v>359</v>
      </c>
      <c r="C29" s="162"/>
    </row>
    <row r="30" spans="1:3" s="268" customFormat="1" ht="12" customHeight="1" thickBot="1" x14ac:dyDescent="0.25">
      <c r="A30" s="260" t="s">
        <v>221</v>
      </c>
      <c r="B30" s="82" t="s">
        <v>554</v>
      </c>
      <c r="C30" s="49"/>
    </row>
    <row r="31" spans="1:3" s="268" customFormat="1" ht="12" customHeight="1" thickBot="1" x14ac:dyDescent="0.25">
      <c r="A31" s="95" t="s">
        <v>27</v>
      </c>
      <c r="B31" s="79" t="s">
        <v>360</v>
      </c>
      <c r="C31" s="164">
        <f>+C32+C33+C34</f>
        <v>0</v>
      </c>
    </row>
    <row r="32" spans="1:3" s="268" customFormat="1" ht="12" customHeight="1" x14ac:dyDescent="0.2">
      <c r="A32" s="261" t="s">
        <v>92</v>
      </c>
      <c r="B32" s="262" t="s">
        <v>243</v>
      </c>
      <c r="C32" s="46"/>
    </row>
    <row r="33" spans="1:4" s="268" customFormat="1" ht="12" customHeight="1" x14ac:dyDescent="0.2">
      <c r="A33" s="261" t="s">
        <v>93</v>
      </c>
      <c r="B33" s="263" t="s">
        <v>244</v>
      </c>
      <c r="C33" s="165"/>
    </row>
    <row r="34" spans="1:4" s="268" customFormat="1" ht="12" customHeight="1" thickBot="1" x14ac:dyDescent="0.25">
      <c r="A34" s="260" t="s">
        <v>94</v>
      </c>
      <c r="B34" s="82" t="s">
        <v>245</v>
      </c>
      <c r="C34" s="49"/>
    </row>
    <row r="35" spans="1:4" s="215" customFormat="1" ht="12" customHeight="1" thickBot="1" x14ac:dyDescent="0.25">
      <c r="A35" s="95" t="s">
        <v>28</v>
      </c>
      <c r="B35" s="79" t="s">
        <v>331</v>
      </c>
      <c r="C35" s="189"/>
    </row>
    <row r="36" spans="1:4" s="215" customFormat="1" ht="12" customHeight="1" thickBot="1" x14ac:dyDescent="0.25">
      <c r="A36" s="95" t="s">
        <v>29</v>
      </c>
      <c r="B36" s="79" t="s">
        <v>361</v>
      </c>
      <c r="C36" s="206"/>
    </row>
    <row r="37" spans="1:4" s="215" customFormat="1" ht="12" customHeight="1" thickBot="1" x14ac:dyDescent="0.25">
      <c r="A37" s="92" t="s">
        <v>30</v>
      </c>
      <c r="B37" s="79" t="s">
        <v>362</v>
      </c>
      <c r="C37" s="207">
        <f>+C8+C20+C25+C26+C31+C35+C36</f>
        <v>6280164</v>
      </c>
    </row>
    <row r="38" spans="1:4" s="215" customFormat="1" ht="12" customHeight="1" thickBot="1" x14ac:dyDescent="0.25">
      <c r="A38" s="122" t="s">
        <v>31</v>
      </c>
      <c r="B38" s="79" t="s">
        <v>363</v>
      </c>
      <c r="C38" s="207">
        <f>+C39+C40+C41</f>
        <v>201339882</v>
      </c>
    </row>
    <row r="39" spans="1:4" s="215" customFormat="1" ht="12" customHeight="1" x14ac:dyDescent="0.2">
      <c r="A39" s="261" t="s">
        <v>364</v>
      </c>
      <c r="B39" s="262" t="s">
        <v>188</v>
      </c>
      <c r="C39" s="46"/>
      <c r="D39" s="314"/>
    </row>
    <row r="40" spans="1:4" s="215" customFormat="1" ht="12" customHeight="1" x14ac:dyDescent="0.2">
      <c r="A40" s="261" t="s">
        <v>365</v>
      </c>
      <c r="B40" s="263" t="s">
        <v>14</v>
      </c>
      <c r="C40" s="165"/>
    </row>
    <row r="41" spans="1:4" s="268" customFormat="1" ht="12" customHeight="1" thickBot="1" x14ac:dyDescent="0.25">
      <c r="A41" s="260" t="s">
        <v>366</v>
      </c>
      <c r="B41" s="82" t="s">
        <v>367</v>
      </c>
      <c r="C41" s="911">
        <f>202666658-1388819+62043</f>
        <v>201339882</v>
      </c>
    </row>
    <row r="42" spans="1:4" s="268" customFormat="1" ht="15" customHeight="1" thickBot="1" x14ac:dyDescent="0.25">
      <c r="A42" s="122" t="s">
        <v>32</v>
      </c>
      <c r="B42" s="123" t="s">
        <v>368</v>
      </c>
      <c r="C42" s="210">
        <f>+C37+C38</f>
        <v>207620046</v>
      </c>
    </row>
    <row r="43" spans="1:4" s="268" customFormat="1" ht="15" customHeight="1" x14ac:dyDescent="0.2">
      <c r="A43" s="124"/>
      <c r="B43" s="125"/>
      <c r="C43" s="208"/>
    </row>
    <row r="44" spans="1:4" ht="13.5" thickBot="1" x14ac:dyDescent="0.25">
      <c r="A44" s="126"/>
      <c r="B44" s="127"/>
      <c r="C44" s="209"/>
    </row>
    <row r="45" spans="1:4" s="267" customFormat="1" ht="16.5" customHeight="1" thickBot="1" x14ac:dyDescent="0.25">
      <c r="A45" s="128"/>
      <c r="B45" s="129" t="s">
        <v>62</v>
      </c>
      <c r="C45" s="210"/>
    </row>
    <row r="46" spans="1:4" s="269" customFormat="1" ht="12" customHeight="1" thickBot="1" x14ac:dyDescent="0.25">
      <c r="A46" s="95" t="s">
        <v>23</v>
      </c>
      <c r="B46" s="79" t="s">
        <v>369</v>
      </c>
      <c r="C46" s="164">
        <f>SUM(C47:C51)</f>
        <v>202700066</v>
      </c>
    </row>
    <row r="47" spans="1:4" ht="12" customHeight="1" x14ac:dyDescent="0.2">
      <c r="A47" s="260" t="s">
        <v>99</v>
      </c>
      <c r="B47" s="8" t="s">
        <v>53</v>
      </c>
      <c r="C47" s="887">
        <f>134654515-569836+152400</f>
        <v>134237079</v>
      </c>
    </row>
    <row r="48" spans="1:4" ht="12" customHeight="1" x14ac:dyDescent="0.2">
      <c r="A48" s="260" t="s">
        <v>100</v>
      </c>
      <c r="B48" s="7" t="s">
        <v>159</v>
      </c>
      <c r="C48" s="889">
        <f>28757160-416745+98926+62043</f>
        <v>28501384</v>
      </c>
    </row>
    <row r="49" spans="1:3" ht="12" customHeight="1" x14ac:dyDescent="0.2">
      <c r="A49" s="260" t="s">
        <v>101</v>
      </c>
      <c r="B49" s="7" t="s">
        <v>129</v>
      </c>
      <c r="C49" s="889">
        <f>40114003-152400</f>
        <v>39961603</v>
      </c>
    </row>
    <row r="50" spans="1:3" ht="12" customHeight="1" x14ac:dyDescent="0.2">
      <c r="A50" s="260" t="s">
        <v>102</v>
      </c>
      <c r="B50" s="7" t="s">
        <v>160</v>
      </c>
      <c r="C50" s="48"/>
    </row>
    <row r="51" spans="1:3" ht="12" customHeight="1" thickBot="1" x14ac:dyDescent="0.25">
      <c r="A51" s="260" t="s">
        <v>136</v>
      </c>
      <c r="B51" s="7" t="s">
        <v>161</v>
      </c>
      <c r="C51" s="48"/>
    </row>
    <row r="52" spans="1:3" ht="12" customHeight="1" thickBot="1" x14ac:dyDescent="0.25">
      <c r="A52" s="95" t="s">
        <v>24</v>
      </c>
      <c r="B52" s="79" t="s">
        <v>370</v>
      </c>
      <c r="C52" s="164">
        <f>SUM(C53:C55)</f>
        <v>4919980</v>
      </c>
    </row>
    <row r="53" spans="1:3" s="269" customFormat="1" ht="12" customHeight="1" x14ac:dyDescent="0.2">
      <c r="A53" s="260" t="s">
        <v>105</v>
      </c>
      <c r="B53" s="8" t="s">
        <v>179</v>
      </c>
      <c r="C53" s="46">
        <v>4919980</v>
      </c>
    </row>
    <row r="54" spans="1:3" ht="12" customHeight="1" x14ac:dyDescent="0.2">
      <c r="A54" s="260" t="s">
        <v>106</v>
      </c>
      <c r="B54" s="7" t="s">
        <v>163</v>
      </c>
      <c r="C54" s="48"/>
    </row>
    <row r="55" spans="1:3" ht="12" customHeight="1" x14ac:dyDescent="0.2">
      <c r="A55" s="260" t="s">
        <v>107</v>
      </c>
      <c r="B55" s="7" t="s">
        <v>63</v>
      </c>
      <c r="C55" s="48"/>
    </row>
    <row r="56" spans="1:3" ht="12" customHeight="1" thickBot="1" x14ac:dyDescent="0.25">
      <c r="A56" s="260" t="s">
        <v>108</v>
      </c>
      <c r="B56" s="7" t="s">
        <v>555</v>
      </c>
      <c r="C56" s="48"/>
    </row>
    <row r="57" spans="1:3" ht="15" customHeight="1" thickBot="1" x14ac:dyDescent="0.25">
      <c r="A57" s="95" t="s">
        <v>25</v>
      </c>
      <c r="B57" s="79" t="s">
        <v>18</v>
      </c>
      <c r="C57" s="189"/>
    </row>
    <row r="58" spans="1:3" ht="13.5" thickBot="1" x14ac:dyDescent="0.25">
      <c r="A58" s="95" t="s">
        <v>26</v>
      </c>
      <c r="B58" s="130" t="s">
        <v>556</v>
      </c>
      <c r="C58" s="211">
        <f>+C46+C52+C57</f>
        <v>207620046</v>
      </c>
    </row>
    <row r="59" spans="1:3" ht="15" customHeight="1" thickBot="1" x14ac:dyDescent="0.25">
      <c r="C59" s="501"/>
    </row>
    <row r="60" spans="1:3" ht="14.25" customHeight="1" thickBot="1" x14ac:dyDescent="0.25">
      <c r="A60" s="133" t="s">
        <v>548</v>
      </c>
      <c r="B60" s="134"/>
      <c r="C60" s="78">
        <v>46</v>
      </c>
    </row>
    <row r="61" spans="1:3" ht="13.5" thickBot="1" x14ac:dyDescent="0.25">
      <c r="A61" s="133" t="s">
        <v>175</v>
      </c>
      <c r="B61" s="134"/>
      <c r="C61" s="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&amp;R15. melléklet a  8/2018.(IV.27.)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15" zoomScaleNormal="11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3" customHeight="1" x14ac:dyDescent="0.2">
      <c r="A2" s="222" t="s">
        <v>173</v>
      </c>
      <c r="B2" s="199" t="s">
        <v>411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353</v>
      </c>
      <c r="C3" s="544" t="s">
        <v>58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11615878</v>
      </c>
    </row>
    <row r="9" spans="1:3" s="215" customFormat="1" ht="12" customHeight="1" x14ac:dyDescent="0.2">
      <c r="A9" s="259" t="s">
        <v>99</v>
      </c>
      <c r="B9" s="9" t="s">
        <v>229</v>
      </c>
      <c r="C9" s="550"/>
    </row>
    <row r="10" spans="1:3" s="215" customFormat="1" ht="12" customHeight="1" x14ac:dyDescent="0.2">
      <c r="A10" s="260" t="s">
        <v>100</v>
      </c>
      <c r="B10" s="7" t="s">
        <v>230</v>
      </c>
      <c r="C10" s="551">
        <v>850000</v>
      </c>
    </row>
    <row r="11" spans="1:3" s="215" customFormat="1" ht="12" customHeight="1" x14ac:dyDescent="0.2">
      <c r="A11" s="260" t="s">
        <v>101</v>
      </c>
      <c r="B11" s="7" t="s">
        <v>231</v>
      </c>
      <c r="C11" s="551">
        <v>4200000</v>
      </c>
    </row>
    <row r="12" spans="1:3" s="215" customFormat="1" ht="12" customHeight="1" x14ac:dyDescent="0.2">
      <c r="A12" s="260" t="s">
        <v>102</v>
      </c>
      <c r="B12" s="7" t="s">
        <v>232</v>
      </c>
      <c r="C12" s="551">
        <v>0</v>
      </c>
    </row>
    <row r="13" spans="1:3" s="215" customFormat="1" ht="12" customHeight="1" x14ac:dyDescent="0.2">
      <c r="A13" s="260" t="s">
        <v>136</v>
      </c>
      <c r="B13" s="7" t="s">
        <v>233</v>
      </c>
      <c r="C13" s="551">
        <v>638880</v>
      </c>
    </row>
    <row r="14" spans="1:3" s="215" customFormat="1" ht="12" customHeight="1" x14ac:dyDescent="0.2">
      <c r="A14" s="260" t="s">
        <v>103</v>
      </c>
      <c r="B14" s="7" t="s">
        <v>354</v>
      </c>
      <c r="C14" s="551">
        <v>1535998</v>
      </c>
    </row>
    <row r="15" spans="1:3" s="215" customFormat="1" ht="12" customHeight="1" x14ac:dyDescent="0.2">
      <c r="A15" s="260" t="s">
        <v>104</v>
      </c>
      <c r="B15" s="6" t="s">
        <v>355</v>
      </c>
      <c r="C15" s="551">
        <v>4390000</v>
      </c>
    </row>
    <row r="16" spans="1:3" s="215" customFormat="1" ht="12" customHeight="1" x14ac:dyDescent="0.2">
      <c r="A16" s="260" t="s">
        <v>114</v>
      </c>
      <c r="B16" s="7" t="s">
        <v>236</v>
      </c>
      <c r="C16" s="551">
        <v>1000</v>
      </c>
    </row>
    <row r="17" spans="1:3" s="268" customFormat="1" ht="12" customHeight="1" x14ac:dyDescent="0.2">
      <c r="A17" s="260" t="s">
        <v>115</v>
      </c>
      <c r="B17" s="7" t="s">
        <v>237</v>
      </c>
      <c r="C17" s="551">
        <v>0</v>
      </c>
    </row>
    <row r="18" spans="1:3" s="268" customFormat="1" ht="12" customHeight="1" x14ac:dyDescent="0.2">
      <c r="A18" s="260" t="s">
        <v>116</v>
      </c>
      <c r="B18" s="7" t="s">
        <v>478</v>
      </c>
      <c r="C18" s="551">
        <v>0</v>
      </c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1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11615878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292575023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v>665045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289157846+479604+110000+2068488+718040-624000</f>
        <v>291909978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304190901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301483921</v>
      </c>
    </row>
    <row r="46" spans="1:3" ht="12" customHeight="1" x14ac:dyDescent="0.2">
      <c r="A46" s="260" t="s">
        <v>99</v>
      </c>
      <c r="B46" s="8" t="s">
        <v>53</v>
      </c>
      <c r="C46" s="887">
        <f>187166011+408000+1630390-80000+80000</f>
        <v>189204401</v>
      </c>
    </row>
    <row r="47" spans="1:3" ht="12" customHeight="1" x14ac:dyDescent="0.2">
      <c r="A47" s="260" t="s">
        <v>100</v>
      </c>
      <c r="B47" s="7" t="s">
        <v>159</v>
      </c>
      <c r="C47" s="889">
        <f>40197175+71604+308098+14040</f>
        <v>40590917</v>
      </c>
    </row>
    <row r="48" spans="1:3" ht="12" customHeight="1" x14ac:dyDescent="0.2">
      <c r="A48" s="260" t="s">
        <v>101</v>
      </c>
      <c r="B48" s="7" t="s">
        <v>129</v>
      </c>
      <c r="C48" s="889">
        <f>71308603+110000+60000+130000+80000+624000-624000</f>
        <v>71688603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662"/>
    </row>
    <row r="51" spans="1:3" ht="12" customHeight="1" thickBot="1" x14ac:dyDescent="0.25">
      <c r="A51" s="95" t="s">
        <v>24</v>
      </c>
      <c r="B51" s="79" t="s">
        <v>370</v>
      </c>
      <c r="C51" s="549">
        <f>SUM(C52:C54)</f>
        <v>2706980</v>
      </c>
    </row>
    <row r="52" spans="1:3" s="269" customFormat="1" ht="12" customHeight="1" x14ac:dyDescent="0.2">
      <c r="A52" s="260" t="s">
        <v>105</v>
      </c>
      <c r="B52" s="8" t="s">
        <v>179</v>
      </c>
      <c r="C52" s="555">
        <f>2157380-60000</f>
        <v>2097380</v>
      </c>
    </row>
    <row r="53" spans="1:3" ht="12" customHeight="1" x14ac:dyDescent="0.2">
      <c r="A53" s="260" t="s">
        <v>106</v>
      </c>
      <c r="B53" s="7" t="s">
        <v>163</v>
      </c>
      <c r="C53" s="662">
        <v>609600</v>
      </c>
    </row>
    <row r="54" spans="1:3" ht="12" customHeight="1" x14ac:dyDescent="0.2">
      <c r="A54" s="260" t="s">
        <v>107</v>
      </c>
      <c r="B54" s="7" t="s">
        <v>63</v>
      </c>
      <c r="C54" s="662"/>
    </row>
    <row r="55" spans="1:3" ht="12" customHeight="1" thickBot="1" x14ac:dyDescent="0.25">
      <c r="A55" s="260" t="s">
        <v>108</v>
      </c>
      <c r="B55" s="7" t="s">
        <v>555</v>
      </c>
      <c r="C55" s="662"/>
    </row>
    <row r="56" spans="1:3" ht="15" customHeight="1" thickBot="1" x14ac:dyDescent="0.25">
      <c r="A56" s="95" t="s">
        <v>25</v>
      </c>
      <c r="B56" s="79" t="s">
        <v>18</v>
      </c>
      <c r="C56" s="554"/>
    </row>
    <row r="57" spans="1:3" ht="13.5" thickBot="1" x14ac:dyDescent="0.25">
      <c r="A57" s="95" t="s">
        <v>26</v>
      </c>
      <c r="B57" s="130" t="s">
        <v>556</v>
      </c>
      <c r="C57" s="913">
        <f>+C45+C51+C56</f>
        <v>304190901</v>
      </c>
    </row>
    <row r="58" spans="1:3" ht="15" customHeight="1" thickBot="1" x14ac:dyDescent="0.25">
      <c r="C58" s="663"/>
    </row>
    <row r="59" spans="1:3" ht="14.25" customHeight="1" thickBot="1" x14ac:dyDescent="0.25">
      <c r="A59" s="133" t="s">
        <v>548</v>
      </c>
      <c r="B59" s="134"/>
      <c r="C59" s="954">
        <v>54.7</v>
      </c>
    </row>
    <row r="60" spans="1:3" ht="13.5" thickBot="1" x14ac:dyDescent="0.25">
      <c r="A60" s="133" t="s">
        <v>175</v>
      </c>
      <c r="B60" s="134"/>
      <c r="C60" s="5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&amp;R16. melléklet a 8/2018.(IV.27.)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3.75" customHeight="1" x14ac:dyDescent="0.2">
      <c r="A2" s="222" t="s">
        <v>173</v>
      </c>
      <c r="B2" s="199" t="s">
        <v>411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371</v>
      </c>
      <c r="C3" s="544" t="s">
        <v>65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11298378</v>
      </c>
    </row>
    <row r="9" spans="1:3" s="215" customFormat="1" ht="12" customHeight="1" x14ac:dyDescent="0.2">
      <c r="A9" s="259" t="s">
        <v>99</v>
      </c>
      <c r="B9" s="9" t="s">
        <v>229</v>
      </c>
      <c r="C9" s="550"/>
    </row>
    <row r="10" spans="1:3" s="215" customFormat="1" ht="12" customHeight="1" x14ac:dyDescent="0.2">
      <c r="A10" s="260" t="s">
        <v>100</v>
      </c>
      <c r="B10" s="7" t="s">
        <v>230</v>
      </c>
      <c r="C10" s="551">
        <v>600000</v>
      </c>
    </row>
    <row r="11" spans="1:3" s="215" customFormat="1" ht="12" customHeight="1" x14ac:dyDescent="0.2">
      <c r="A11" s="260" t="s">
        <v>101</v>
      </c>
      <c r="B11" s="7" t="s">
        <v>231</v>
      </c>
      <c r="C11" s="551">
        <v>4200000</v>
      </c>
    </row>
    <row r="12" spans="1:3" s="215" customFormat="1" ht="12" customHeight="1" x14ac:dyDescent="0.2">
      <c r="A12" s="260" t="s">
        <v>102</v>
      </c>
      <c r="B12" s="7" t="s">
        <v>232</v>
      </c>
      <c r="C12" s="551">
        <v>0</v>
      </c>
    </row>
    <row r="13" spans="1:3" s="215" customFormat="1" ht="12" customHeight="1" x14ac:dyDescent="0.2">
      <c r="A13" s="260" t="s">
        <v>136</v>
      </c>
      <c r="B13" s="7" t="s">
        <v>233</v>
      </c>
      <c r="C13" s="551">
        <v>638880</v>
      </c>
    </row>
    <row r="14" spans="1:3" s="215" customFormat="1" ht="12" customHeight="1" x14ac:dyDescent="0.2">
      <c r="A14" s="260" t="s">
        <v>103</v>
      </c>
      <c r="B14" s="7" t="s">
        <v>354</v>
      </c>
      <c r="C14" s="551">
        <v>1468498</v>
      </c>
    </row>
    <row r="15" spans="1:3" s="215" customFormat="1" ht="12" customHeight="1" x14ac:dyDescent="0.2">
      <c r="A15" s="260" t="s">
        <v>104</v>
      </c>
      <c r="B15" s="6" t="s">
        <v>355</v>
      </c>
      <c r="C15" s="551">
        <v>4390000</v>
      </c>
    </row>
    <row r="16" spans="1:3" s="215" customFormat="1" ht="12" customHeight="1" x14ac:dyDescent="0.2">
      <c r="A16" s="260" t="s">
        <v>114</v>
      </c>
      <c r="B16" s="7" t="s">
        <v>236</v>
      </c>
      <c r="C16" s="551">
        <v>1000</v>
      </c>
    </row>
    <row r="17" spans="1:3" s="268" customFormat="1" ht="12" customHeight="1" x14ac:dyDescent="0.2">
      <c r="A17" s="260" t="s">
        <v>115</v>
      </c>
      <c r="B17" s="7" t="s">
        <v>237</v>
      </c>
      <c r="C17" s="551">
        <v>0</v>
      </c>
    </row>
    <row r="18" spans="1:3" s="268" customFormat="1" ht="12" customHeight="1" x14ac:dyDescent="0.2">
      <c r="A18" s="260" t="s">
        <v>116</v>
      </c>
      <c r="B18" s="7" t="s">
        <v>478</v>
      </c>
      <c r="C18" s="551">
        <v>0</v>
      </c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1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11298378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292575023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v>665045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289157846+479604+110000+2068488+718040-624000</f>
        <v>291909978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303873401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301166421</v>
      </c>
    </row>
    <row r="46" spans="1:3" ht="12" customHeight="1" x14ac:dyDescent="0.2">
      <c r="A46" s="260" t="s">
        <v>99</v>
      </c>
      <c r="B46" s="8" t="s">
        <v>53</v>
      </c>
      <c r="C46" s="887">
        <f>187166011+408000+1630390-80000+80000</f>
        <v>189204401</v>
      </c>
    </row>
    <row r="47" spans="1:3" ht="12" customHeight="1" x14ac:dyDescent="0.2">
      <c r="A47" s="260" t="s">
        <v>100</v>
      </c>
      <c r="B47" s="7" t="s">
        <v>159</v>
      </c>
      <c r="C47" s="889">
        <f>40197175+71604+308098+14040</f>
        <v>40590917</v>
      </c>
    </row>
    <row r="48" spans="1:3" ht="12" customHeight="1" x14ac:dyDescent="0.2">
      <c r="A48" s="260" t="s">
        <v>101</v>
      </c>
      <c r="B48" s="7" t="s">
        <v>129</v>
      </c>
      <c r="C48" s="889">
        <f>70991103+110000+60000+130000+624000-624000+80000</f>
        <v>71371103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551"/>
    </row>
    <row r="51" spans="1:3" ht="12" customHeight="1" thickBot="1" x14ac:dyDescent="0.25">
      <c r="A51" s="95" t="s">
        <v>24</v>
      </c>
      <c r="B51" s="79" t="s">
        <v>370</v>
      </c>
      <c r="C51" s="566">
        <f>SUM(C52:C54)</f>
        <v>2706980</v>
      </c>
    </row>
    <row r="52" spans="1:3" s="269" customFormat="1" ht="12" customHeight="1" x14ac:dyDescent="0.2">
      <c r="A52" s="260" t="s">
        <v>105</v>
      </c>
      <c r="B52" s="8" t="s">
        <v>179</v>
      </c>
      <c r="C52" s="46">
        <f>2157380-60000</f>
        <v>2097380</v>
      </c>
    </row>
    <row r="53" spans="1:3" ht="12" customHeight="1" x14ac:dyDescent="0.2">
      <c r="A53" s="260" t="s">
        <v>106</v>
      </c>
      <c r="B53" s="7" t="s">
        <v>163</v>
      </c>
      <c r="C53" s="551">
        <v>609600</v>
      </c>
    </row>
    <row r="54" spans="1:3" ht="12" customHeight="1" x14ac:dyDescent="0.2">
      <c r="A54" s="260" t="s">
        <v>107</v>
      </c>
      <c r="B54" s="7" t="s">
        <v>63</v>
      </c>
      <c r="C54" s="551"/>
    </row>
    <row r="55" spans="1:3" ht="12" customHeight="1" thickBot="1" x14ac:dyDescent="0.25">
      <c r="A55" s="260" t="s">
        <v>108</v>
      </c>
      <c r="B55" s="7" t="s">
        <v>555</v>
      </c>
      <c r="C55" s="551"/>
    </row>
    <row r="56" spans="1:3" ht="15" customHeight="1" thickBot="1" x14ac:dyDescent="0.25">
      <c r="A56" s="95" t="s">
        <v>25</v>
      </c>
      <c r="B56" s="79" t="s">
        <v>18</v>
      </c>
      <c r="C56" s="567"/>
    </row>
    <row r="57" spans="1:3" ht="13.5" thickBot="1" x14ac:dyDescent="0.25">
      <c r="A57" s="95" t="s">
        <v>26</v>
      </c>
      <c r="B57" s="130" t="s">
        <v>556</v>
      </c>
      <c r="C57" s="914">
        <f>+C45+C51+C56</f>
        <v>303873401</v>
      </c>
    </row>
    <row r="58" spans="1:3" ht="15" customHeight="1" thickBot="1" x14ac:dyDescent="0.25">
      <c r="C58" s="663"/>
    </row>
    <row r="59" spans="1:3" ht="14.25" customHeight="1" thickBot="1" x14ac:dyDescent="0.25">
      <c r="A59" s="133" t="s">
        <v>548</v>
      </c>
      <c r="B59" s="134"/>
      <c r="C59" s="954">
        <v>54.7</v>
      </c>
    </row>
    <row r="60" spans="1:3" ht="13.5" thickBot="1" x14ac:dyDescent="0.25">
      <c r="A60" s="133" t="s">
        <v>175</v>
      </c>
      <c r="B60" s="134"/>
      <c r="C60" s="5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az a 8/2018.(IV.27.)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6" customHeight="1" x14ac:dyDescent="0.2">
      <c r="A2" s="222" t="s">
        <v>173</v>
      </c>
      <c r="B2" s="199" t="s">
        <v>595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353</v>
      </c>
      <c r="C3" s="544" t="s">
        <v>58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12914000</v>
      </c>
    </row>
    <row r="9" spans="1:3" s="215" customFormat="1" ht="12" customHeight="1" x14ac:dyDescent="0.2">
      <c r="A9" s="259" t="s">
        <v>99</v>
      </c>
      <c r="B9" s="9" t="s">
        <v>229</v>
      </c>
      <c r="C9" s="550">
        <f>150000-130000</f>
        <v>20000</v>
      </c>
    </row>
    <row r="10" spans="1:3" s="215" customFormat="1" ht="12" customHeight="1" x14ac:dyDescent="0.2">
      <c r="A10" s="260" t="s">
        <v>100</v>
      </c>
      <c r="B10" s="7" t="s">
        <v>230</v>
      </c>
      <c r="C10" s="551">
        <v>10382678</v>
      </c>
    </row>
    <row r="11" spans="1:3" s="215" customFormat="1" ht="12" customHeight="1" x14ac:dyDescent="0.2">
      <c r="A11" s="260" t="s">
        <v>101</v>
      </c>
      <c r="B11" s="7" t="s">
        <v>231</v>
      </c>
      <c r="C11" s="551">
        <v>50000</v>
      </c>
    </row>
    <row r="12" spans="1:3" s="215" customFormat="1" ht="12" customHeight="1" x14ac:dyDescent="0.2">
      <c r="A12" s="260" t="s">
        <v>102</v>
      </c>
      <c r="B12" s="7" t="s">
        <v>232</v>
      </c>
      <c r="C12" s="551"/>
    </row>
    <row r="13" spans="1:3" s="215" customFormat="1" ht="12" customHeight="1" x14ac:dyDescent="0.2">
      <c r="A13" s="260" t="s">
        <v>136</v>
      </c>
      <c r="B13" s="7" t="s">
        <v>233</v>
      </c>
      <c r="C13" s="551"/>
    </row>
    <row r="14" spans="1:3" s="215" customFormat="1" ht="12" customHeight="1" x14ac:dyDescent="0.2">
      <c r="A14" s="260" t="s">
        <v>103</v>
      </c>
      <c r="B14" s="7" t="s">
        <v>354</v>
      </c>
      <c r="C14" s="551">
        <v>1291322</v>
      </c>
    </row>
    <row r="15" spans="1:3" s="215" customFormat="1" ht="12" customHeight="1" x14ac:dyDescent="0.2">
      <c r="A15" s="260" t="s">
        <v>104</v>
      </c>
      <c r="B15" s="6" t="s">
        <v>355</v>
      </c>
      <c r="C15" s="551">
        <v>1170000</v>
      </c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12914000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85142641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v>361287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84577606+203748</f>
        <v>84781354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98056641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95377937</v>
      </c>
    </row>
    <row r="46" spans="1:3" ht="12" customHeight="1" x14ac:dyDescent="0.2">
      <c r="A46" s="260" t="s">
        <v>99</v>
      </c>
      <c r="B46" s="8" t="s">
        <v>53</v>
      </c>
      <c r="C46" s="887">
        <f>44090923+170500+69000</f>
        <v>44330423</v>
      </c>
    </row>
    <row r="47" spans="1:3" ht="12" customHeight="1" x14ac:dyDescent="0.2">
      <c r="A47" s="260" t="s">
        <v>100</v>
      </c>
      <c r="B47" s="7" t="s">
        <v>159</v>
      </c>
      <c r="C47" s="889">
        <f>8671204+33248+12110</f>
        <v>8716562</v>
      </c>
    </row>
    <row r="48" spans="1:3" ht="12" customHeight="1" x14ac:dyDescent="0.2">
      <c r="A48" s="260" t="s">
        <v>101</v>
      </c>
      <c r="B48" s="7" t="s">
        <v>129</v>
      </c>
      <c r="C48" s="889">
        <f>42412062-81110</f>
        <v>42330952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662"/>
    </row>
    <row r="51" spans="1:3" ht="12" customHeight="1" thickBot="1" x14ac:dyDescent="0.25">
      <c r="A51" s="95" t="s">
        <v>24</v>
      </c>
      <c r="B51" s="79" t="s">
        <v>370</v>
      </c>
      <c r="C51" s="549">
        <f>SUM(C52:C54)</f>
        <v>2678704</v>
      </c>
    </row>
    <row r="52" spans="1:3" s="269" customFormat="1" ht="12" customHeight="1" x14ac:dyDescent="0.2">
      <c r="A52" s="260" t="s">
        <v>105</v>
      </c>
      <c r="B52" s="8" t="s">
        <v>179</v>
      </c>
      <c r="C52" s="555">
        <v>2678704</v>
      </c>
    </row>
    <row r="53" spans="1:3" ht="12" customHeight="1" x14ac:dyDescent="0.2">
      <c r="A53" s="260" t="s">
        <v>106</v>
      </c>
      <c r="B53" s="7" t="s">
        <v>163</v>
      </c>
      <c r="C53" s="662"/>
    </row>
    <row r="54" spans="1:3" ht="12" customHeight="1" x14ac:dyDescent="0.2">
      <c r="A54" s="260" t="s">
        <v>107</v>
      </c>
      <c r="B54" s="7" t="s">
        <v>63</v>
      </c>
      <c r="C54" s="662"/>
    </row>
    <row r="55" spans="1:3" ht="12" customHeight="1" thickBot="1" x14ac:dyDescent="0.25">
      <c r="A55" s="260" t="s">
        <v>108</v>
      </c>
      <c r="B55" s="7" t="s">
        <v>555</v>
      </c>
      <c r="C55" s="662"/>
    </row>
    <row r="56" spans="1:3" ht="15" customHeight="1" thickBot="1" x14ac:dyDescent="0.25">
      <c r="A56" s="95" t="s">
        <v>25</v>
      </c>
      <c r="B56" s="79" t="s">
        <v>18</v>
      </c>
      <c r="C56" s="554"/>
    </row>
    <row r="57" spans="1:3" ht="13.5" thickBot="1" x14ac:dyDescent="0.25">
      <c r="A57" s="95" t="s">
        <v>26</v>
      </c>
      <c r="B57" s="130" t="s">
        <v>556</v>
      </c>
      <c r="C57" s="913">
        <f>+C45+C51+C56</f>
        <v>98056641</v>
      </c>
    </row>
    <row r="58" spans="1:3" ht="15" customHeight="1" thickBot="1" x14ac:dyDescent="0.25">
      <c r="C58" s="560"/>
    </row>
    <row r="59" spans="1:3" ht="14.25" customHeight="1" thickBot="1" x14ac:dyDescent="0.25">
      <c r="A59" s="133" t="s">
        <v>548</v>
      </c>
      <c r="B59" s="134"/>
      <c r="C59" s="563">
        <v>16.75</v>
      </c>
    </row>
    <row r="60" spans="1:3" ht="13.5" thickBot="1" x14ac:dyDescent="0.25">
      <c r="A60" s="133" t="s">
        <v>175</v>
      </c>
      <c r="B60" s="134"/>
      <c r="C60" s="5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az 8/2018.(IV.27.)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3" customHeight="1" x14ac:dyDescent="0.2">
      <c r="A2" s="222" t="s">
        <v>173</v>
      </c>
      <c r="B2" s="199" t="s">
        <v>595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371</v>
      </c>
      <c r="C3" s="544" t="s">
        <v>65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12174000</v>
      </c>
    </row>
    <row r="9" spans="1:3" s="215" customFormat="1" ht="12" customHeight="1" x14ac:dyDescent="0.2">
      <c r="A9" s="259" t="s">
        <v>99</v>
      </c>
      <c r="B9" s="9" t="s">
        <v>229</v>
      </c>
      <c r="C9" s="550">
        <f>150000-130000</f>
        <v>20000</v>
      </c>
    </row>
    <row r="10" spans="1:3" s="215" customFormat="1" ht="12" customHeight="1" x14ac:dyDescent="0.2">
      <c r="A10" s="260" t="s">
        <v>100</v>
      </c>
      <c r="B10" s="7" t="s">
        <v>230</v>
      </c>
      <c r="C10" s="551">
        <v>9800000</v>
      </c>
    </row>
    <row r="11" spans="1:3" s="215" customFormat="1" ht="12" customHeight="1" x14ac:dyDescent="0.2">
      <c r="A11" s="260" t="s">
        <v>101</v>
      </c>
      <c r="B11" s="7" t="s">
        <v>231</v>
      </c>
      <c r="C11" s="551">
        <v>50000</v>
      </c>
    </row>
    <row r="12" spans="1:3" s="215" customFormat="1" ht="12" customHeight="1" x14ac:dyDescent="0.2">
      <c r="A12" s="260" t="s">
        <v>102</v>
      </c>
      <c r="B12" s="7" t="s">
        <v>232</v>
      </c>
      <c r="C12" s="551"/>
    </row>
    <row r="13" spans="1:3" s="215" customFormat="1" ht="12" customHeight="1" x14ac:dyDescent="0.2">
      <c r="A13" s="260" t="s">
        <v>136</v>
      </c>
      <c r="B13" s="7" t="s">
        <v>233</v>
      </c>
      <c r="C13" s="551"/>
    </row>
    <row r="14" spans="1:3" s="215" customFormat="1" ht="12" customHeight="1" x14ac:dyDescent="0.2">
      <c r="A14" s="260" t="s">
        <v>103</v>
      </c>
      <c r="B14" s="7" t="s">
        <v>354</v>
      </c>
      <c r="C14" s="551">
        <v>1134000</v>
      </c>
    </row>
    <row r="15" spans="1:3" s="215" customFormat="1" ht="12" customHeight="1" x14ac:dyDescent="0.2">
      <c r="A15" s="260" t="s">
        <v>104</v>
      </c>
      <c r="B15" s="6" t="s">
        <v>355</v>
      </c>
      <c r="C15" s="551">
        <v>1170000</v>
      </c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12174000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85142641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v>361287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84577606+203748</f>
        <v>84781354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97316641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94637937</v>
      </c>
    </row>
    <row r="46" spans="1:3" ht="12" customHeight="1" x14ac:dyDescent="0.2">
      <c r="A46" s="260" t="s">
        <v>99</v>
      </c>
      <c r="B46" s="8" t="s">
        <v>53</v>
      </c>
      <c r="C46" s="887">
        <f>44090923+170500+69000</f>
        <v>44330423</v>
      </c>
    </row>
    <row r="47" spans="1:3" ht="12" customHeight="1" x14ac:dyDescent="0.2">
      <c r="A47" s="260" t="s">
        <v>100</v>
      </c>
      <c r="B47" s="7" t="s">
        <v>159</v>
      </c>
      <c r="C47" s="889">
        <f>8671204+33248+12110</f>
        <v>8716562</v>
      </c>
    </row>
    <row r="48" spans="1:3" ht="12" customHeight="1" x14ac:dyDescent="0.2">
      <c r="A48" s="260" t="s">
        <v>101</v>
      </c>
      <c r="B48" s="7" t="s">
        <v>129</v>
      </c>
      <c r="C48" s="889">
        <f>41672062-81110</f>
        <v>41590952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662"/>
    </row>
    <row r="51" spans="1:3" ht="12" customHeight="1" thickBot="1" x14ac:dyDescent="0.25">
      <c r="A51" s="95" t="s">
        <v>24</v>
      </c>
      <c r="B51" s="79" t="s">
        <v>370</v>
      </c>
      <c r="C51" s="549">
        <f>SUM(C52:C54)</f>
        <v>2678704</v>
      </c>
    </row>
    <row r="52" spans="1:3" s="269" customFormat="1" ht="12" customHeight="1" x14ac:dyDescent="0.2">
      <c r="A52" s="260" t="s">
        <v>105</v>
      </c>
      <c r="B52" s="8" t="s">
        <v>179</v>
      </c>
      <c r="C52" s="555">
        <v>2678704</v>
      </c>
    </row>
    <row r="53" spans="1:3" ht="12" customHeight="1" x14ac:dyDescent="0.2">
      <c r="A53" s="260" t="s">
        <v>106</v>
      </c>
      <c r="B53" s="7" t="s">
        <v>163</v>
      </c>
      <c r="C53" s="662"/>
    </row>
    <row r="54" spans="1:3" ht="12" customHeight="1" x14ac:dyDescent="0.2">
      <c r="A54" s="260" t="s">
        <v>107</v>
      </c>
      <c r="B54" s="7" t="s">
        <v>63</v>
      </c>
      <c r="C54" s="662"/>
    </row>
    <row r="55" spans="1:3" ht="12" customHeight="1" thickBot="1" x14ac:dyDescent="0.25">
      <c r="A55" s="260" t="s">
        <v>108</v>
      </c>
      <c r="B55" s="7" t="s">
        <v>555</v>
      </c>
      <c r="C55" s="662"/>
    </row>
    <row r="56" spans="1:3" ht="15" customHeight="1" thickBot="1" x14ac:dyDescent="0.25">
      <c r="A56" s="95" t="s">
        <v>25</v>
      </c>
      <c r="B56" s="79" t="s">
        <v>18</v>
      </c>
      <c r="C56" s="554"/>
    </row>
    <row r="57" spans="1:3" ht="13.5" thickBot="1" x14ac:dyDescent="0.25">
      <c r="A57" s="95" t="s">
        <v>26</v>
      </c>
      <c r="B57" s="130" t="s">
        <v>556</v>
      </c>
      <c r="C57" s="913">
        <f>+C45+C51+C56</f>
        <v>97316641</v>
      </c>
    </row>
    <row r="58" spans="1:3" ht="15" customHeight="1" thickBot="1" x14ac:dyDescent="0.25">
      <c r="C58" s="560"/>
    </row>
    <row r="59" spans="1:3" ht="14.25" customHeight="1" thickBot="1" x14ac:dyDescent="0.25">
      <c r="A59" s="133" t="s">
        <v>548</v>
      </c>
      <c r="B59" s="134"/>
      <c r="C59" s="563">
        <v>16.75</v>
      </c>
    </row>
    <row r="60" spans="1:3" ht="13.5" thickBot="1" x14ac:dyDescent="0.25">
      <c r="A60" s="133" t="s">
        <v>175</v>
      </c>
      <c r="B60" s="134"/>
      <c r="C60" s="5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az 8/2018.(IV.27.)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tabSelected="1" zoomScale="115" zoomScaleNormal="115" zoomScaleSheetLayoutView="100" workbookViewId="0">
      <selection activeCell="J91" sqref="J91"/>
    </sheetView>
  </sheetViews>
  <sheetFormatPr defaultRowHeight="15.75" x14ac:dyDescent="0.25"/>
  <cols>
    <col min="1" max="1" width="9.5" style="218" customWidth="1"/>
    <col min="2" max="2" width="79" style="218" customWidth="1"/>
    <col min="3" max="3" width="21.6640625" style="382" customWidth="1"/>
    <col min="4" max="4" width="19.33203125" style="229" hidden="1" customWidth="1"/>
    <col min="5" max="5" width="15.83203125" style="229" hidden="1" customWidth="1"/>
    <col min="6" max="6" width="21.83203125" style="229" hidden="1" customWidth="1"/>
    <col min="7" max="16384" width="9.33203125" style="229"/>
  </cols>
  <sheetData>
    <row r="1" spans="1:6" ht="15.95" customHeight="1" x14ac:dyDescent="0.25">
      <c r="A1" s="987" t="s">
        <v>20</v>
      </c>
      <c r="B1" s="987"/>
      <c r="C1" s="987"/>
    </row>
    <row r="2" spans="1:6" ht="15.95" customHeight="1" thickBot="1" x14ac:dyDescent="0.3">
      <c r="A2" s="986" t="s">
        <v>139</v>
      </c>
      <c r="B2" s="986"/>
      <c r="C2" s="159" t="s">
        <v>596</v>
      </c>
    </row>
    <row r="3" spans="1:6" ht="38.1" customHeight="1" thickBot="1" x14ac:dyDescent="0.3">
      <c r="A3" s="22" t="s">
        <v>74</v>
      </c>
      <c r="B3" s="23" t="s">
        <v>22</v>
      </c>
      <c r="C3" s="30" t="s">
        <v>620</v>
      </c>
      <c r="D3" s="218" t="s">
        <v>603</v>
      </c>
      <c r="E3" s="218" t="s">
        <v>604</v>
      </c>
      <c r="F3" s="218" t="s">
        <v>605</v>
      </c>
    </row>
    <row r="4" spans="1:6" s="230" customFormat="1" ht="12" customHeight="1" thickBot="1" x14ac:dyDescent="0.25">
      <c r="A4" s="224" t="s">
        <v>469</v>
      </c>
      <c r="B4" s="225" t="s">
        <v>470</v>
      </c>
      <c r="C4" s="226" t="s">
        <v>471</v>
      </c>
    </row>
    <row r="5" spans="1:6" s="231" customFormat="1" ht="12" customHeight="1" thickBot="1" x14ac:dyDescent="0.25">
      <c r="A5" s="19" t="s">
        <v>23</v>
      </c>
      <c r="B5" s="20" t="s">
        <v>200</v>
      </c>
      <c r="C5" s="150">
        <f t="shared" ref="C5:C68" si="0">SUM(D5:F5)</f>
        <v>1123360277</v>
      </c>
      <c r="D5" s="326">
        <f>+D6+D7+D8+D9+D10+D11</f>
        <v>1123360277</v>
      </c>
      <c r="E5" s="150">
        <f>+E6+E7+E8+E9+E10+E11</f>
        <v>0</v>
      </c>
      <c r="F5" s="150">
        <f>+F6+F7+F8+F9+F10+F11</f>
        <v>0</v>
      </c>
    </row>
    <row r="6" spans="1:6" s="231" customFormat="1" ht="12" customHeight="1" x14ac:dyDescent="0.2">
      <c r="A6" s="14" t="s">
        <v>99</v>
      </c>
      <c r="B6" s="232" t="s">
        <v>201</v>
      </c>
      <c r="C6" s="372">
        <f t="shared" si="0"/>
        <v>227855923</v>
      </c>
      <c r="D6" s="332">
        <v>227855923</v>
      </c>
      <c r="E6" s="270"/>
      <c r="F6" s="270"/>
    </row>
    <row r="7" spans="1:6" s="231" customFormat="1" ht="12" customHeight="1" x14ac:dyDescent="0.2">
      <c r="A7" s="13" t="s">
        <v>100</v>
      </c>
      <c r="B7" s="233" t="s">
        <v>202</v>
      </c>
      <c r="C7" s="373">
        <f t="shared" si="0"/>
        <v>224734134</v>
      </c>
      <c r="D7" s="303">
        <v>224734134</v>
      </c>
      <c r="E7" s="154"/>
      <c r="F7" s="154"/>
    </row>
    <row r="8" spans="1:6" s="231" customFormat="1" ht="12" customHeight="1" x14ac:dyDescent="0.2">
      <c r="A8" s="13" t="s">
        <v>101</v>
      </c>
      <c r="B8" s="233" t="s">
        <v>584</v>
      </c>
      <c r="C8" s="373">
        <f t="shared" si="0"/>
        <v>446554345</v>
      </c>
      <c r="D8" s="303">
        <f>126991000+65060600+192410145+62092600</f>
        <v>446554345</v>
      </c>
      <c r="E8" s="154"/>
      <c r="F8" s="154"/>
    </row>
    <row r="9" spans="1:6" s="231" customFormat="1" ht="12" customHeight="1" x14ac:dyDescent="0.2">
      <c r="A9" s="13" t="s">
        <v>102</v>
      </c>
      <c r="B9" s="233" t="s">
        <v>204</v>
      </c>
      <c r="C9" s="373">
        <f t="shared" si="0"/>
        <v>16122040</v>
      </c>
      <c r="D9" s="303">
        <v>16122040</v>
      </c>
      <c r="E9" s="154"/>
      <c r="F9" s="154"/>
    </row>
    <row r="10" spans="1:6" s="231" customFormat="1" ht="12" customHeight="1" x14ac:dyDescent="0.2">
      <c r="A10" s="13" t="s">
        <v>136</v>
      </c>
      <c r="B10" s="146" t="s">
        <v>472</v>
      </c>
      <c r="C10" s="516">
        <f t="shared" si="0"/>
        <v>208093835</v>
      </c>
      <c r="D10" s="303">
        <f>16254886+190231327+1309600+298022</f>
        <v>208093835</v>
      </c>
      <c r="E10" s="154"/>
      <c r="F10" s="154"/>
    </row>
    <row r="11" spans="1:6" s="231" customFormat="1" ht="12" customHeight="1" thickBot="1" x14ac:dyDescent="0.25">
      <c r="A11" s="15" t="s">
        <v>103</v>
      </c>
      <c r="B11" s="147" t="s">
        <v>473</v>
      </c>
      <c r="C11" s="374">
        <f t="shared" si="0"/>
        <v>0</v>
      </c>
      <c r="D11" s="137"/>
      <c r="E11" s="151"/>
      <c r="F11" s="151"/>
    </row>
    <row r="12" spans="1:6" s="231" customFormat="1" ht="12" customHeight="1" thickBot="1" x14ac:dyDescent="0.25">
      <c r="A12" s="19" t="s">
        <v>24</v>
      </c>
      <c r="B12" s="145" t="s">
        <v>205</v>
      </c>
      <c r="C12" s="150">
        <f t="shared" si="0"/>
        <v>31342415</v>
      </c>
      <c r="D12" s="326">
        <f>+D13+D14+D15+D16+D17</f>
        <v>28225558</v>
      </c>
      <c r="E12" s="150">
        <f>+E13+E14+E15+E16+E17</f>
        <v>3116857</v>
      </c>
      <c r="F12" s="150">
        <f>+F13+F14+F15+F16+F17</f>
        <v>0</v>
      </c>
    </row>
    <row r="13" spans="1:6" s="231" customFormat="1" ht="12" customHeight="1" x14ac:dyDescent="0.2">
      <c r="A13" s="14" t="s">
        <v>105</v>
      </c>
      <c r="B13" s="232" t="s">
        <v>206</v>
      </c>
      <c r="C13" s="227">
        <f t="shared" si="0"/>
        <v>0</v>
      </c>
      <c r="D13" s="328"/>
      <c r="E13" s="152"/>
      <c r="F13" s="152"/>
    </row>
    <row r="14" spans="1:6" s="231" customFormat="1" ht="12" customHeight="1" x14ac:dyDescent="0.2">
      <c r="A14" s="13" t="s">
        <v>106</v>
      </c>
      <c r="B14" s="233" t="s">
        <v>207</v>
      </c>
      <c r="C14" s="378">
        <f t="shared" si="0"/>
        <v>0</v>
      </c>
      <c r="D14" s="137"/>
      <c r="E14" s="151"/>
      <c r="F14" s="151"/>
    </row>
    <row r="15" spans="1:6" s="231" customFormat="1" ht="12" customHeight="1" x14ac:dyDescent="0.2">
      <c r="A15" s="13" t="s">
        <v>107</v>
      </c>
      <c r="B15" s="233" t="s">
        <v>376</v>
      </c>
      <c r="C15" s="373">
        <f t="shared" si="0"/>
        <v>0</v>
      </c>
      <c r="D15" s="137"/>
      <c r="E15" s="151"/>
      <c r="F15" s="151"/>
    </row>
    <row r="16" spans="1:6" s="231" customFormat="1" ht="12" customHeight="1" x14ac:dyDescent="0.2">
      <c r="A16" s="13" t="s">
        <v>108</v>
      </c>
      <c r="B16" s="233" t="s">
        <v>377</v>
      </c>
      <c r="C16" s="373">
        <f t="shared" si="0"/>
        <v>0</v>
      </c>
      <c r="D16" s="137"/>
      <c r="E16" s="151"/>
      <c r="F16" s="151"/>
    </row>
    <row r="17" spans="1:6" s="231" customFormat="1" ht="12" customHeight="1" x14ac:dyDescent="0.2">
      <c r="A17" s="13" t="s">
        <v>109</v>
      </c>
      <c r="B17" s="233" t="s">
        <v>208</v>
      </c>
      <c r="C17" s="516">
        <f t="shared" si="0"/>
        <v>31342415</v>
      </c>
      <c r="D17" s="303">
        <f>4320000+24250000-344442</f>
        <v>28225558</v>
      </c>
      <c r="E17" s="305">
        <f>3096237+20620</f>
        <v>3116857</v>
      </c>
      <c r="F17" s="154"/>
    </row>
    <row r="18" spans="1:6" s="231" customFormat="1" ht="12" customHeight="1" thickBot="1" x14ac:dyDescent="0.25">
      <c r="A18" s="15" t="s">
        <v>118</v>
      </c>
      <c r="B18" s="147" t="s">
        <v>209</v>
      </c>
      <c r="C18" s="374">
        <f t="shared" si="0"/>
        <v>0</v>
      </c>
      <c r="D18" s="138"/>
      <c r="E18" s="221"/>
      <c r="F18" s="221"/>
    </row>
    <row r="19" spans="1:6" s="231" customFormat="1" ht="12" customHeight="1" thickBot="1" x14ac:dyDescent="0.25">
      <c r="A19" s="19" t="s">
        <v>25</v>
      </c>
      <c r="B19" s="20" t="s">
        <v>210</v>
      </c>
      <c r="C19" s="150">
        <f t="shared" si="0"/>
        <v>13442271</v>
      </c>
      <c r="D19" s="326">
        <f>+D20+D21+D22+D23+D24</f>
        <v>13442271</v>
      </c>
      <c r="E19" s="150">
        <f>+E20+E21+E22+E23+E24</f>
        <v>0</v>
      </c>
      <c r="F19" s="150">
        <f>+F20+F21+F22+F23+F24</f>
        <v>0</v>
      </c>
    </row>
    <row r="20" spans="1:6" s="231" customFormat="1" ht="12" customHeight="1" x14ac:dyDescent="0.2">
      <c r="A20" s="14" t="s">
        <v>88</v>
      </c>
      <c r="B20" s="232" t="s">
        <v>211</v>
      </c>
      <c r="C20" s="227">
        <f t="shared" si="0"/>
        <v>0</v>
      </c>
      <c r="D20" s="332"/>
      <c r="E20" s="302"/>
      <c r="F20" s="302"/>
    </row>
    <row r="21" spans="1:6" s="231" customFormat="1" ht="12" customHeight="1" x14ac:dyDescent="0.2">
      <c r="A21" s="13" t="s">
        <v>89</v>
      </c>
      <c r="B21" s="233" t="s">
        <v>212</v>
      </c>
      <c r="C21" s="378">
        <f t="shared" si="0"/>
        <v>0</v>
      </c>
      <c r="D21" s="303"/>
      <c r="E21" s="154"/>
      <c r="F21" s="154"/>
    </row>
    <row r="22" spans="1:6" s="231" customFormat="1" ht="12" customHeight="1" x14ac:dyDescent="0.2">
      <c r="A22" s="13" t="s">
        <v>90</v>
      </c>
      <c r="B22" s="233" t="s">
        <v>378</v>
      </c>
      <c r="C22" s="378">
        <f t="shared" si="0"/>
        <v>0</v>
      </c>
      <c r="D22" s="303"/>
      <c r="E22" s="154"/>
      <c r="F22" s="154"/>
    </row>
    <row r="23" spans="1:6" s="231" customFormat="1" ht="12" customHeight="1" x14ac:dyDescent="0.2">
      <c r="A23" s="13" t="s">
        <v>91</v>
      </c>
      <c r="B23" s="233" t="s">
        <v>379</v>
      </c>
      <c r="C23" s="378">
        <f t="shared" si="0"/>
        <v>0</v>
      </c>
      <c r="D23" s="303"/>
      <c r="E23" s="154"/>
      <c r="F23" s="154"/>
    </row>
    <row r="24" spans="1:6" s="231" customFormat="1" ht="12" customHeight="1" x14ac:dyDescent="0.2">
      <c r="A24" s="13" t="s">
        <v>147</v>
      </c>
      <c r="B24" s="233" t="s">
        <v>213</v>
      </c>
      <c r="C24" s="373">
        <f t="shared" si="0"/>
        <v>13442271</v>
      </c>
      <c r="D24" s="303">
        <f>5866130+3779393+3796748</f>
        <v>13442271</v>
      </c>
      <c r="E24" s="154"/>
      <c r="F24" s="154"/>
    </row>
    <row r="25" spans="1:6" s="231" customFormat="1" ht="12" customHeight="1" thickBot="1" x14ac:dyDescent="0.25">
      <c r="A25" s="15" t="s">
        <v>148</v>
      </c>
      <c r="B25" s="234" t="s">
        <v>214</v>
      </c>
      <c r="C25" s="379">
        <f t="shared" si="0"/>
        <v>13442271</v>
      </c>
      <c r="D25" s="307">
        <f>9645523+3796748</f>
        <v>13442271</v>
      </c>
      <c r="E25" s="221"/>
      <c r="F25" s="153"/>
    </row>
    <row r="26" spans="1:6" s="231" customFormat="1" ht="12" customHeight="1" thickBot="1" x14ac:dyDescent="0.25">
      <c r="A26" s="19" t="s">
        <v>149</v>
      </c>
      <c r="B26" s="20" t="s">
        <v>215</v>
      </c>
      <c r="C26" s="150">
        <f t="shared" si="0"/>
        <v>352658000</v>
      </c>
      <c r="D26" s="329">
        <f>+D27+D31+D32+D33</f>
        <v>352658000</v>
      </c>
      <c r="E26" s="155">
        <f>+E27+E31+E32+E33</f>
        <v>0</v>
      </c>
      <c r="F26" s="155">
        <f>+F27+F31+F32+F33</f>
        <v>0</v>
      </c>
    </row>
    <row r="27" spans="1:6" s="231" customFormat="1" ht="12" customHeight="1" x14ac:dyDescent="0.2">
      <c r="A27" s="14" t="s">
        <v>216</v>
      </c>
      <c r="B27" s="232" t="s">
        <v>474</v>
      </c>
      <c r="C27" s="227">
        <f t="shared" si="0"/>
        <v>308654000</v>
      </c>
      <c r="D27" s="362">
        <f>SUM(D28:D30)</f>
        <v>308654000</v>
      </c>
      <c r="E27" s="227"/>
      <c r="F27" s="227"/>
    </row>
    <row r="28" spans="1:6" s="231" customFormat="1" ht="12" customHeight="1" x14ac:dyDescent="0.2">
      <c r="A28" s="13" t="s">
        <v>217</v>
      </c>
      <c r="B28" s="233" t="s">
        <v>222</v>
      </c>
      <c r="C28" s="378">
        <f t="shared" si="0"/>
        <v>77500000</v>
      </c>
      <c r="D28" s="137">
        <v>77500000</v>
      </c>
      <c r="E28" s="151"/>
      <c r="F28" s="151"/>
    </row>
    <row r="29" spans="1:6" s="231" customFormat="1" ht="12" customHeight="1" x14ac:dyDescent="0.2">
      <c r="A29" s="13" t="s">
        <v>218</v>
      </c>
      <c r="B29" s="233" t="s">
        <v>576</v>
      </c>
      <c r="C29" s="373">
        <f t="shared" si="0"/>
        <v>231154000</v>
      </c>
      <c r="D29" s="137">
        <v>231154000</v>
      </c>
      <c r="E29" s="151"/>
      <c r="F29" s="151"/>
    </row>
    <row r="30" spans="1:6" s="231" customFormat="1" ht="12" customHeight="1" x14ac:dyDescent="0.2">
      <c r="A30" s="13" t="s">
        <v>475</v>
      </c>
      <c r="B30" s="233" t="s">
        <v>573</v>
      </c>
      <c r="C30" s="378">
        <f t="shared" si="0"/>
        <v>0</v>
      </c>
      <c r="D30" s="303"/>
      <c r="E30" s="154"/>
      <c r="F30" s="154"/>
    </row>
    <row r="31" spans="1:6" s="231" customFormat="1" ht="12" customHeight="1" x14ac:dyDescent="0.2">
      <c r="A31" s="13" t="s">
        <v>219</v>
      </c>
      <c r="B31" s="233" t="s">
        <v>224</v>
      </c>
      <c r="C31" s="378">
        <f t="shared" si="0"/>
        <v>28000000</v>
      </c>
      <c r="D31" s="137">
        <v>28000000</v>
      </c>
      <c r="E31" s="151"/>
      <c r="F31" s="154"/>
    </row>
    <row r="32" spans="1:6" s="231" customFormat="1" ht="12" customHeight="1" x14ac:dyDescent="0.2">
      <c r="A32" s="13" t="s">
        <v>220</v>
      </c>
      <c r="B32" s="233" t="s">
        <v>225</v>
      </c>
      <c r="C32" s="516">
        <f t="shared" si="0"/>
        <v>4000</v>
      </c>
      <c r="D32" s="137">
        <f>4504000-4500000</f>
        <v>4000</v>
      </c>
      <c r="E32" s="151"/>
      <c r="F32" s="154"/>
    </row>
    <row r="33" spans="1:6" s="231" customFormat="1" ht="12" customHeight="1" thickBot="1" x14ac:dyDescent="0.25">
      <c r="A33" s="15" t="s">
        <v>221</v>
      </c>
      <c r="B33" s="234" t="s">
        <v>226</v>
      </c>
      <c r="C33" s="923">
        <f t="shared" si="0"/>
        <v>16000000</v>
      </c>
      <c r="D33" s="307">
        <f>11500000+4500000</f>
        <v>16000000</v>
      </c>
      <c r="E33" s="221"/>
      <c r="F33" s="221"/>
    </row>
    <row r="34" spans="1:6" s="231" customFormat="1" ht="12" customHeight="1" thickBot="1" x14ac:dyDescent="0.25">
      <c r="A34" s="19" t="s">
        <v>27</v>
      </c>
      <c r="B34" s="20" t="s">
        <v>477</v>
      </c>
      <c r="C34" s="150">
        <f t="shared" si="0"/>
        <v>230550775</v>
      </c>
      <c r="D34" s="326">
        <f>SUM(D35:D45)</f>
        <v>24848963</v>
      </c>
      <c r="E34" s="150">
        <f>SUM(E35:E45)</f>
        <v>2005440</v>
      </c>
      <c r="F34" s="150">
        <f>SUM(F35:F45)</f>
        <v>203696372</v>
      </c>
    </row>
    <row r="35" spans="1:6" s="231" customFormat="1" ht="12" customHeight="1" x14ac:dyDescent="0.2">
      <c r="A35" s="14" t="s">
        <v>92</v>
      </c>
      <c r="B35" s="232" t="s">
        <v>229</v>
      </c>
      <c r="C35" s="372">
        <f t="shared" si="0"/>
        <v>20000</v>
      </c>
      <c r="D35" s="332"/>
      <c r="E35" s="270"/>
      <c r="F35" s="270">
        <v>20000</v>
      </c>
    </row>
    <row r="36" spans="1:6" s="231" customFormat="1" ht="12" customHeight="1" x14ac:dyDescent="0.2">
      <c r="A36" s="13" t="s">
        <v>93</v>
      </c>
      <c r="B36" s="233" t="s">
        <v>230</v>
      </c>
      <c r="C36" s="373">
        <f t="shared" si="0"/>
        <v>61855197</v>
      </c>
      <c r="D36" s="303">
        <f>13910169+100000</f>
        <v>14010169</v>
      </c>
      <c r="E36" s="154">
        <f>1198440+380000</f>
        <v>1578440</v>
      </c>
      <c r="F36" s="270">
        <v>46266588</v>
      </c>
    </row>
    <row r="37" spans="1:6" s="231" customFormat="1" ht="12" customHeight="1" x14ac:dyDescent="0.2">
      <c r="A37" s="13" t="s">
        <v>94</v>
      </c>
      <c r="B37" s="233" t="s">
        <v>231</v>
      </c>
      <c r="C37" s="373">
        <f t="shared" si="0"/>
        <v>90069200</v>
      </c>
      <c r="D37" s="303">
        <f>500000+300000+50000+1400000+947000+300000+52200</f>
        <v>3549200</v>
      </c>
      <c r="E37" s="154"/>
      <c r="F37" s="270">
        <v>86520000</v>
      </c>
    </row>
    <row r="38" spans="1:6" s="231" customFormat="1" ht="12" customHeight="1" x14ac:dyDescent="0.2">
      <c r="A38" s="13" t="s">
        <v>151</v>
      </c>
      <c r="B38" s="233" t="s">
        <v>232</v>
      </c>
      <c r="C38" s="373">
        <f t="shared" si="0"/>
        <v>430000</v>
      </c>
      <c r="D38" s="303">
        <v>430000</v>
      </c>
      <c r="E38" s="154"/>
      <c r="F38" s="270"/>
    </row>
    <row r="39" spans="1:6" s="231" customFormat="1" ht="12" customHeight="1" x14ac:dyDescent="0.2">
      <c r="A39" s="13" t="s">
        <v>152</v>
      </c>
      <c r="B39" s="233" t="s">
        <v>233</v>
      </c>
      <c r="C39" s="373">
        <f t="shared" si="0"/>
        <v>21166618</v>
      </c>
      <c r="D39" s="303"/>
      <c r="E39" s="154"/>
      <c r="F39" s="270">
        <v>21166618</v>
      </c>
    </row>
    <row r="40" spans="1:6" s="231" customFormat="1" ht="12" customHeight="1" x14ac:dyDescent="0.2">
      <c r="A40" s="13" t="s">
        <v>153</v>
      </c>
      <c r="B40" s="233" t="s">
        <v>234</v>
      </c>
      <c r="C40" s="373">
        <f t="shared" si="0"/>
        <v>37668760</v>
      </c>
      <c r="D40" s="303">
        <f>5162000+81000+13500+378000+81000+14094</f>
        <v>5729594</v>
      </c>
      <c r="E40" s="154">
        <f>324000+103000</f>
        <v>427000</v>
      </c>
      <c r="F40" s="270">
        <v>31512166</v>
      </c>
    </row>
    <row r="41" spans="1:6" s="231" customFormat="1" ht="12" customHeight="1" x14ac:dyDescent="0.2">
      <c r="A41" s="13" t="s">
        <v>154</v>
      </c>
      <c r="B41" s="233" t="s">
        <v>235</v>
      </c>
      <c r="C41" s="373">
        <f t="shared" si="0"/>
        <v>18210000</v>
      </c>
      <c r="D41" s="303"/>
      <c r="E41" s="154"/>
      <c r="F41" s="270">
        <v>18210000</v>
      </c>
    </row>
    <row r="42" spans="1:6" s="231" customFormat="1" ht="12" customHeight="1" x14ac:dyDescent="0.2">
      <c r="A42" s="13" t="s">
        <v>155</v>
      </c>
      <c r="B42" s="233" t="s">
        <v>585</v>
      </c>
      <c r="C42" s="373">
        <f t="shared" si="0"/>
        <v>31000</v>
      </c>
      <c r="D42" s="303">
        <v>30000</v>
      </c>
      <c r="E42" s="154"/>
      <c r="F42" s="270">
        <v>1000</v>
      </c>
    </row>
    <row r="43" spans="1:6" s="231" customFormat="1" ht="12" customHeight="1" x14ac:dyDescent="0.2">
      <c r="A43" s="13" t="s">
        <v>227</v>
      </c>
      <c r="B43" s="233" t="s">
        <v>237</v>
      </c>
      <c r="C43" s="373">
        <f t="shared" si="0"/>
        <v>0</v>
      </c>
      <c r="D43" s="303"/>
      <c r="E43" s="154"/>
      <c r="F43" s="270"/>
    </row>
    <row r="44" spans="1:6" s="231" customFormat="1" ht="12" customHeight="1" x14ac:dyDescent="0.2">
      <c r="A44" s="15" t="s">
        <v>228</v>
      </c>
      <c r="B44" s="234" t="s">
        <v>478</v>
      </c>
      <c r="C44" s="373">
        <f t="shared" si="0"/>
        <v>500000</v>
      </c>
      <c r="D44" s="307">
        <v>500000</v>
      </c>
      <c r="E44" s="221"/>
      <c r="F44" s="221"/>
    </row>
    <row r="45" spans="1:6" s="231" customFormat="1" ht="12" customHeight="1" thickBot="1" x14ac:dyDescent="0.25">
      <c r="A45" s="15" t="s">
        <v>479</v>
      </c>
      <c r="B45" s="147" t="s">
        <v>238</v>
      </c>
      <c r="C45" s="374">
        <f t="shared" si="0"/>
        <v>600000</v>
      </c>
      <c r="D45" s="307">
        <v>600000</v>
      </c>
      <c r="E45" s="221"/>
      <c r="F45" s="318"/>
    </row>
    <row r="46" spans="1:6" s="231" customFormat="1" ht="12" customHeight="1" thickBot="1" x14ac:dyDescent="0.25">
      <c r="A46" s="19" t="s">
        <v>28</v>
      </c>
      <c r="B46" s="20" t="s">
        <v>239</v>
      </c>
      <c r="C46" s="150">
        <f t="shared" si="0"/>
        <v>30332500</v>
      </c>
      <c r="D46" s="326">
        <f>SUM(D47:D51)</f>
        <v>30332500</v>
      </c>
      <c r="E46" s="150">
        <f>SUM(E47:E51)</f>
        <v>0</v>
      </c>
      <c r="F46" s="150">
        <f>SUM(F47:F51)</f>
        <v>0</v>
      </c>
    </row>
    <row r="47" spans="1:6" s="231" customFormat="1" ht="12" customHeight="1" x14ac:dyDescent="0.2">
      <c r="A47" s="14" t="s">
        <v>95</v>
      </c>
      <c r="B47" s="232" t="s">
        <v>243</v>
      </c>
      <c r="C47" s="227">
        <f t="shared" si="0"/>
        <v>0</v>
      </c>
      <c r="D47" s="332"/>
      <c r="E47" s="270"/>
      <c r="F47" s="270"/>
    </row>
    <row r="48" spans="1:6" s="231" customFormat="1" ht="12" customHeight="1" x14ac:dyDescent="0.2">
      <c r="A48" s="13" t="s">
        <v>96</v>
      </c>
      <c r="B48" s="233" t="s">
        <v>244</v>
      </c>
      <c r="C48" s="378">
        <f>SUM(D48:F48)</f>
        <v>30332500</v>
      </c>
      <c r="D48" s="303">
        <v>30332500</v>
      </c>
      <c r="E48" s="154"/>
      <c r="F48" s="154"/>
    </row>
    <row r="49" spans="1:6" s="231" customFormat="1" ht="12" customHeight="1" x14ac:dyDescent="0.2">
      <c r="A49" s="13" t="s">
        <v>240</v>
      </c>
      <c r="B49" s="233" t="s">
        <v>245</v>
      </c>
      <c r="C49" s="378">
        <f t="shared" si="0"/>
        <v>0</v>
      </c>
      <c r="D49" s="303"/>
      <c r="E49" s="154"/>
      <c r="F49" s="154"/>
    </row>
    <row r="50" spans="1:6" s="231" customFormat="1" ht="12" customHeight="1" x14ac:dyDescent="0.2">
      <c r="A50" s="13" t="s">
        <v>241</v>
      </c>
      <c r="B50" s="233" t="s">
        <v>246</v>
      </c>
      <c r="C50" s="378">
        <f t="shared" si="0"/>
        <v>0</v>
      </c>
      <c r="D50" s="303"/>
      <c r="E50" s="154"/>
      <c r="F50" s="154"/>
    </row>
    <row r="51" spans="1:6" s="231" customFormat="1" ht="12" customHeight="1" thickBot="1" x14ac:dyDescent="0.25">
      <c r="A51" s="15" t="s">
        <v>242</v>
      </c>
      <c r="B51" s="147" t="s">
        <v>247</v>
      </c>
      <c r="C51" s="379">
        <f t="shared" si="0"/>
        <v>0</v>
      </c>
      <c r="D51" s="307"/>
      <c r="E51" s="221"/>
      <c r="F51" s="221"/>
    </row>
    <row r="52" spans="1:6" s="231" customFormat="1" ht="12" customHeight="1" thickBot="1" x14ac:dyDescent="0.25">
      <c r="A52" s="19" t="s">
        <v>156</v>
      </c>
      <c r="B52" s="20" t="s">
        <v>248</v>
      </c>
      <c r="C52" s="150">
        <f t="shared" si="0"/>
        <v>2900000</v>
      </c>
      <c r="D52" s="326">
        <f>SUM(D53:D55)</f>
        <v>2900000</v>
      </c>
      <c r="E52" s="150">
        <f>SUM(E53:E55)</f>
        <v>0</v>
      </c>
      <c r="F52" s="150">
        <f>SUM(F53:F55)</f>
        <v>0</v>
      </c>
    </row>
    <row r="53" spans="1:6" s="231" customFormat="1" ht="12" customHeight="1" x14ac:dyDescent="0.2">
      <c r="A53" s="14" t="s">
        <v>97</v>
      </c>
      <c r="B53" s="232" t="s">
        <v>249</v>
      </c>
      <c r="C53" s="227">
        <f t="shared" si="0"/>
        <v>0</v>
      </c>
      <c r="D53" s="328"/>
      <c r="E53" s="152"/>
      <c r="F53" s="152"/>
    </row>
    <row r="54" spans="1:6" s="231" customFormat="1" ht="12" customHeight="1" x14ac:dyDescent="0.2">
      <c r="A54" s="13" t="s">
        <v>98</v>
      </c>
      <c r="B54" s="233" t="s">
        <v>380</v>
      </c>
      <c r="C54" s="373">
        <f t="shared" si="0"/>
        <v>0</v>
      </c>
      <c r="D54" s="303"/>
      <c r="E54" s="154"/>
      <c r="F54" s="154"/>
    </row>
    <row r="55" spans="1:6" s="231" customFormat="1" ht="12" customHeight="1" x14ac:dyDescent="0.2">
      <c r="A55" s="13" t="s">
        <v>252</v>
      </c>
      <c r="B55" s="233" t="s">
        <v>250</v>
      </c>
      <c r="C55" s="373">
        <f t="shared" si="0"/>
        <v>2900000</v>
      </c>
      <c r="D55" s="303">
        <v>2900000</v>
      </c>
      <c r="E55" s="154"/>
      <c r="F55" s="154"/>
    </row>
    <row r="56" spans="1:6" s="231" customFormat="1" ht="12" customHeight="1" thickBot="1" x14ac:dyDescent="0.25">
      <c r="A56" s="15" t="s">
        <v>253</v>
      </c>
      <c r="B56" s="147" t="s">
        <v>251</v>
      </c>
      <c r="C56" s="379">
        <f t="shared" si="0"/>
        <v>0</v>
      </c>
      <c r="D56" s="138"/>
      <c r="E56" s="153"/>
      <c r="F56" s="153"/>
    </row>
    <row r="57" spans="1:6" s="231" customFormat="1" ht="12" customHeight="1" thickBot="1" x14ac:dyDescent="0.25">
      <c r="A57" s="19" t="s">
        <v>30</v>
      </c>
      <c r="B57" s="145" t="s">
        <v>254</v>
      </c>
      <c r="C57" s="380">
        <f t="shared" si="0"/>
        <v>0</v>
      </c>
      <c r="D57" s="326">
        <f>SUM(D58:D60)</f>
        <v>0</v>
      </c>
      <c r="E57" s="150">
        <f>SUM(E58:E60)</f>
        <v>0</v>
      </c>
      <c r="F57" s="150">
        <f>SUM(F58:F60)</f>
        <v>0</v>
      </c>
    </row>
    <row r="58" spans="1:6" s="231" customFormat="1" ht="12" customHeight="1" x14ac:dyDescent="0.2">
      <c r="A58" s="14" t="s">
        <v>157</v>
      </c>
      <c r="B58" s="232" t="s">
        <v>256</v>
      </c>
      <c r="C58" s="227">
        <f t="shared" si="0"/>
        <v>0</v>
      </c>
      <c r="D58" s="303"/>
      <c r="E58" s="154"/>
      <c r="F58" s="154"/>
    </row>
    <row r="59" spans="1:6" s="231" customFormat="1" ht="12" customHeight="1" x14ac:dyDescent="0.2">
      <c r="A59" s="13" t="s">
        <v>158</v>
      </c>
      <c r="B59" s="233" t="s">
        <v>381</v>
      </c>
      <c r="C59" s="373">
        <f t="shared" si="0"/>
        <v>0</v>
      </c>
      <c r="D59" s="303"/>
      <c r="E59" s="154"/>
      <c r="F59" s="154"/>
    </row>
    <row r="60" spans="1:6" s="231" customFormat="1" ht="12" customHeight="1" x14ac:dyDescent="0.2">
      <c r="A60" s="13" t="s">
        <v>180</v>
      </c>
      <c r="B60" s="233" t="s">
        <v>257</v>
      </c>
      <c r="C60" s="373">
        <f t="shared" si="0"/>
        <v>0</v>
      </c>
      <c r="D60" s="303"/>
      <c r="E60" s="154"/>
      <c r="F60" s="154"/>
    </row>
    <row r="61" spans="1:6" s="231" customFormat="1" ht="12" customHeight="1" thickBot="1" x14ac:dyDescent="0.25">
      <c r="A61" s="15" t="s">
        <v>255</v>
      </c>
      <c r="B61" s="147" t="s">
        <v>258</v>
      </c>
      <c r="C61" s="379">
        <f t="shared" si="0"/>
        <v>0</v>
      </c>
      <c r="D61" s="303"/>
      <c r="E61" s="154"/>
      <c r="F61" s="154"/>
    </row>
    <row r="62" spans="1:6" s="231" customFormat="1" ht="12" customHeight="1" thickBot="1" x14ac:dyDescent="0.25">
      <c r="A62" s="287" t="s">
        <v>480</v>
      </c>
      <c r="B62" s="20" t="s">
        <v>259</v>
      </c>
      <c r="C62" s="150">
        <f t="shared" si="0"/>
        <v>1784586238</v>
      </c>
      <c r="D62" s="329">
        <f>+D5+D12+D19+D26+D34+D46+D52+D57</f>
        <v>1575767569</v>
      </c>
      <c r="E62" s="155">
        <f>+E5+E12+E19+E26+E34+E46+E52+E57</f>
        <v>5122297</v>
      </c>
      <c r="F62" s="155">
        <f>+F5+F12+F19+F26+F34+F46+F52+F57</f>
        <v>203696372</v>
      </c>
    </row>
    <row r="63" spans="1:6" s="231" customFormat="1" ht="12" customHeight="1" thickBot="1" x14ac:dyDescent="0.25">
      <c r="A63" s="288" t="s">
        <v>260</v>
      </c>
      <c r="B63" s="145" t="s">
        <v>261</v>
      </c>
      <c r="C63" s="380">
        <f t="shared" si="0"/>
        <v>193478462</v>
      </c>
      <c r="D63" s="326">
        <f>SUM(D64:D66)</f>
        <v>193478462</v>
      </c>
      <c r="E63" s="150">
        <f>SUM(E64:E66)</f>
        <v>0</v>
      </c>
      <c r="F63" s="150">
        <f>SUM(F64:F66)</f>
        <v>0</v>
      </c>
    </row>
    <row r="64" spans="1:6" s="231" customFormat="1" ht="12" customHeight="1" x14ac:dyDescent="0.2">
      <c r="A64" s="14" t="s">
        <v>292</v>
      </c>
      <c r="B64" s="232" t="s">
        <v>262</v>
      </c>
      <c r="C64" s="227">
        <f t="shared" si="0"/>
        <v>93478462</v>
      </c>
      <c r="D64" s="303">
        <v>93478462</v>
      </c>
      <c r="E64" s="154"/>
      <c r="F64" s="154"/>
    </row>
    <row r="65" spans="1:6" s="231" customFormat="1" ht="12" customHeight="1" x14ac:dyDescent="0.2">
      <c r="A65" s="13" t="s">
        <v>301</v>
      </c>
      <c r="B65" s="233" t="s">
        <v>263</v>
      </c>
      <c r="C65" s="378">
        <f t="shared" si="0"/>
        <v>100000000</v>
      </c>
      <c r="D65" s="303">
        <v>100000000</v>
      </c>
      <c r="E65" s="154"/>
      <c r="F65" s="154"/>
    </row>
    <row r="66" spans="1:6" s="231" customFormat="1" ht="12" customHeight="1" thickBot="1" x14ac:dyDescent="0.25">
      <c r="A66" s="15" t="s">
        <v>302</v>
      </c>
      <c r="B66" s="289" t="s">
        <v>481</v>
      </c>
      <c r="C66" s="379">
        <f t="shared" si="0"/>
        <v>0</v>
      </c>
      <c r="D66" s="303"/>
      <c r="E66" s="154"/>
      <c r="F66" s="154"/>
    </row>
    <row r="67" spans="1:6" s="231" customFormat="1" ht="12" customHeight="1" thickBot="1" x14ac:dyDescent="0.25">
      <c r="A67" s="288" t="s">
        <v>265</v>
      </c>
      <c r="B67" s="145" t="s">
        <v>266</v>
      </c>
      <c r="C67" s="380">
        <f t="shared" si="0"/>
        <v>0</v>
      </c>
      <c r="D67" s="326">
        <f>SUM(D68:D71)</f>
        <v>0</v>
      </c>
      <c r="E67" s="150">
        <f>SUM(E68:E71)</f>
        <v>0</v>
      </c>
      <c r="F67" s="150">
        <f>SUM(F68:F71)</f>
        <v>0</v>
      </c>
    </row>
    <row r="68" spans="1:6" s="231" customFormat="1" ht="12" customHeight="1" x14ac:dyDescent="0.2">
      <c r="A68" s="14" t="s">
        <v>137</v>
      </c>
      <c r="B68" s="232" t="s">
        <v>267</v>
      </c>
      <c r="C68" s="227">
        <f t="shared" si="0"/>
        <v>0</v>
      </c>
      <c r="D68" s="303"/>
      <c r="E68" s="154"/>
      <c r="F68" s="154"/>
    </row>
    <row r="69" spans="1:6" s="231" customFormat="1" ht="12" customHeight="1" x14ac:dyDescent="0.2">
      <c r="A69" s="13" t="s">
        <v>138</v>
      </c>
      <c r="B69" s="233" t="s">
        <v>268</v>
      </c>
      <c r="C69" s="378">
        <f t="shared" ref="C69:C87" si="1">SUM(D69:F69)</f>
        <v>0</v>
      </c>
      <c r="D69" s="303"/>
      <c r="E69" s="154"/>
      <c r="F69" s="154"/>
    </row>
    <row r="70" spans="1:6" s="231" customFormat="1" ht="12" customHeight="1" x14ac:dyDescent="0.2">
      <c r="A70" s="13" t="s">
        <v>293</v>
      </c>
      <c r="B70" s="233" t="s">
        <v>269</v>
      </c>
      <c r="C70" s="378">
        <f t="shared" si="1"/>
        <v>0</v>
      </c>
      <c r="D70" s="303"/>
      <c r="E70" s="154"/>
      <c r="F70" s="154"/>
    </row>
    <row r="71" spans="1:6" s="231" customFormat="1" ht="12" customHeight="1" thickBot="1" x14ac:dyDescent="0.25">
      <c r="A71" s="15" t="s">
        <v>294</v>
      </c>
      <c r="B71" s="147" t="s">
        <v>270</v>
      </c>
      <c r="C71" s="379">
        <f t="shared" si="1"/>
        <v>0</v>
      </c>
      <c r="D71" s="303"/>
      <c r="E71" s="154"/>
      <c r="F71" s="154"/>
    </row>
    <row r="72" spans="1:6" s="231" customFormat="1" ht="12" customHeight="1" thickBot="1" x14ac:dyDescent="0.25">
      <c r="A72" s="288" t="s">
        <v>271</v>
      </c>
      <c r="B72" s="145" t="s">
        <v>272</v>
      </c>
      <c r="C72" s="150">
        <f t="shared" si="1"/>
        <v>602650240</v>
      </c>
      <c r="D72" s="326">
        <f>SUM(D73:D74)</f>
        <v>594503730</v>
      </c>
      <c r="E72" s="150">
        <f>SUM(E73:E74)</f>
        <v>3212174</v>
      </c>
      <c r="F72" s="150">
        <f>SUM(F73:F74)</f>
        <v>4934336</v>
      </c>
    </row>
    <row r="73" spans="1:6" s="231" customFormat="1" ht="12" customHeight="1" x14ac:dyDescent="0.2">
      <c r="A73" s="14" t="s">
        <v>295</v>
      </c>
      <c r="B73" s="232" t="s">
        <v>273</v>
      </c>
      <c r="C73" s="517">
        <f t="shared" si="1"/>
        <v>602650240</v>
      </c>
      <c r="D73" s="303">
        <f>569119704-28+25384054</f>
        <v>594503730</v>
      </c>
      <c r="E73" s="154">
        <f>3148853+63321</f>
        <v>3212174</v>
      </c>
      <c r="F73" s="154">
        <v>4934336</v>
      </c>
    </row>
    <row r="74" spans="1:6" s="231" customFormat="1" ht="12" customHeight="1" thickBot="1" x14ac:dyDescent="0.25">
      <c r="A74" s="15" t="s">
        <v>296</v>
      </c>
      <c r="B74" s="147" t="s">
        <v>274</v>
      </c>
      <c r="C74" s="379">
        <f t="shared" si="1"/>
        <v>0</v>
      </c>
      <c r="D74" s="303"/>
      <c r="E74" s="154"/>
      <c r="F74" s="154"/>
    </row>
    <row r="75" spans="1:6" s="231" customFormat="1" ht="12" customHeight="1" thickBot="1" x14ac:dyDescent="0.25">
      <c r="A75" s="288" t="s">
        <v>275</v>
      </c>
      <c r="B75" s="145" t="s">
        <v>276</v>
      </c>
      <c r="C75" s="380">
        <f t="shared" si="1"/>
        <v>0</v>
      </c>
      <c r="D75" s="326">
        <f>SUM(D76:D78)</f>
        <v>0</v>
      </c>
      <c r="E75" s="150">
        <f>SUM(E76:E78)</f>
        <v>0</v>
      </c>
      <c r="F75" s="150">
        <f>SUM(F76:F78)</f>
        <v>0</v>
      </c>
    </row>
    <row r="76" spans="1:6" s="231" customFormat="1" ht="12" customHeight="1" x14ac:dyDescent="0.2">
      <c r="A76" s="14" t="s">
        <v>297</v>
      </c>
      <c r="B76" s="232" t="s">
        <v>277</v>
      </c>
      <c r="C76" s="227">
        <f t="shared" si="1"/>
        <v>0</v>
      </c>
      <c r="D76" s="303"/>
      <c r="E76" s="154"/>
      <c r="F76" s="154"/>
    </row>
    <row r="77" spans="1:6" s="231" customFormat="1" ht="12" customHeight="1" x14ac:dyDescent="0.2">
      <c r="A77" s="13" t="s">
        <v>298</v>
      </c>
      <c r="B77" s="233" t="s">
        <v>278</v>
      </c>
      <c r="C77" s="378">
        <f t="shared" si="1"/>
        <v>0</v>
      </c>
      <c r="D77" s="303"/>
      <c r="E77" s="154"/>
      <c r="F77" s="154"/>
    </row>
    <row r="78" spans="1:6" s="231" customFormat="1" ht="12" customHeight="1" thickBot="1" x14ac:dyDescent="0.25">
      <c r="A78" s="15" t="s">
        <v>299</v>
      </c>
      <c r="B78" s="147" t="s">
        <v>279</v>
      </c>
      <c r="C78" s="379">
        <f t="shared" si="1"/>
        <v>0</v>
      </c>
      <c r="D78" s="303"/>
      <c r="E78" s="154"/>
      <c r="F78" s="154"/>
    </row>
    <row r="79" spans="1:6" s="231" customFormat="1" ht="12" customHeight="1" thickBot="1" x14ac:dyDescent="0.25">
      <c r="A79" s="288" t="s">
        <v>280</v>
      </c>
      <c r="B79" s="145" t="s">
        <v>300</v>
      </c>
      <c r="C79" s="380">
        <f t="shared" si="1"/>
        <v>0</v>
      </c>
      <c r="D79" s="326">
        <f>SUM(D80:D83)</f>
        <v>0</v>
      </c>
      <c r="E79" s="150">
        <f>SUM(E80:E83)</f>
        <v>0</v>
      </c>
      <c r="F79" s="150">
        <f>SUM(F80:F83)</f>
        <v>0</v>
      </c>
    </row>
    <row r="80" spans="1:6" s="231" customFormat="1" ht="12" customHeight="1" x14ac:dyDescent="0.2">
      <c r="A80" s="236" t="s">
        <v>281</v>
      </c>
      <c r="B80" s="232" t="s">
        <v>282</v>
      </c>
      <c r="C80" s="227">
        <f t="shared" si="1"/>
        <v>0</v>
      </c>
      <c r="D80" s="303"/>
      <c r="E80" s="154"/>
      <c r="F80" s="154"/>
    </row>
    <row r="81" spans="1:6" s="231" customFormat="1" ht="12" customHeight="1" x14ac:dyDescent="0.2">
      <c r="A81" s="237" t="s">
        <v>283</v>
      </c>
      <c r="B81" s="233" t="s">
        <v>284</v>
      </c>
      <c r="C81" s="378">
        <f t="shared" si="1"/>
        <v>0</v>
      </c>
      <c r="D81" s="303"/>
      <c r="E81" s="154"/>
      <c r="F81" s="154"/>
    </row>
    <row r="82" spans="1:6" s="231" customFormat="1" ht="12" customHeight="1" x14ac:dyDescent="0.2">
      <c r="A82" s="237" t="s">
        <v>285</v>
      </c>
      <c r="B82" s="233" t="s">
        <v>286</v>
      </c>
      <c r="C82" s="378">
        <f t="shared" si="1"/>
        <v>0</v>
      </c>
      <c r="D82" s="303"/>
      <c r="E82" s="154"/>
      <c r="F82" s="154"/>
    </row>
    <row r="83" spans="1:6" s="231" customFormat="1" ht="12" customHeight="1" thickBot="1" x14ac:dyDescent="0.25">
      <c r="A83" s="238" t="s">
        <v>287</v>
      </c>
      <c r="B83" s="147" t="s">
        <v>288</v>
      </c>
      <c r="C83" s="379">
        <f t="shared" si="1"/>
        <v>0</v>
      </c>
      <c r="D83" s="303"/>
      <c r="E83" s="154"/>
      <c r="F83" s="154"/>
    </row>
    <row r="84" spans="1:6" s="231" customFormat="1" ht="12" customHeight="1" thickBot="1" x14ac:dyDescent="0.25">
      <c r="A84" s="288" t="s">
        <v>289</v>
      </c>
      <c r="B84" s="145" t="s">
        <v>482</v>
      </c>
      <c r="C84" s="518">
        <f t="shared" si="1"/>
        <v>0</v>
      </c>
      <c r="D84" s="333"/>
      <c r="E84" s="271"/>
      <c r="F84" s="271"/>
    </row>
    <row r="85" spans="1:6" s="231" customFormat="1" ht="13.5" customHeight="1" thickBot="1" x14ac:dyDescent="0.25">
      <c r="A85" s="288" t="s">
        <v>291</v>
      </c>
      <c r="B85" s="145" t="s">
        <v>290</v>
      </c>
      <c r="C85" s="380">
        <f t="shared" si="1"/>
        <v>0</v>
      </c>
      <c r="D85" s="333"/>
      <c r="E85" s="271"/>
      <c r="F85" s="271"/>
    </row>
    <row r="86" spans="1:6" s="231" customFormat="1" ht="15.75" customHeight="1" thickBot="1" x14ac:dyDescent="0.25">
      <c r="A86" s="288" t="s">
        <v>303</v>
      </c>
      <c r="B86" s="239" t="s">
        <v>483</v>
      </c>
      <c r="C86" s="150">
        <f t="shared" si="1"/>
        <v>796128702</v>
      </c>
      <c r="D86" s="329">
        <f>+D63+D67+D72+D75+D79+D85+D84</f>
        <v>787982192</v>
      </c>
      <c r="E86" s="155">
        <f>+E63+E67+E72+E75+E79+E85+E84</f>
        <v>3212174</v>
      </c>
      <c r="F86" s="155">
        <f>+F63+F67+F72+F75+F79+F85+F84</f>
        <v>4934336</v>
      </c>
    </row>
    <row r="87" spans="1:6" s="231" customFormat="1" ht="16.5" customHeight="1" thickBot="1" x14ac:dyDescent="0.25">
      <c r="A87" s="290" t="s">
        <v>484</v>
      </c>
      <c r="B87" s="240" t="s">
        <v>485</v>
      </c>
      <c r="C87" s="294">
        <f t="shared" si="1"/>
        <v>2580714940</v>
      </c>
      <c r="D87" s="329">
        <f>+D62+D86</f>
        <v>2363749761</v>
      </c>
      <c r="E87" s="155">
        <f>+E62+E86</f>
        <v>8334471</v>
      </c>
      <c r="F87" s="155">
        <f>+F62+F86</f>
        <v>208630708</v>
      </c>
    </row>
    <row r="88" spans="1:6" s="231" customFormat="1" ht="83.25" customHeight="1" x14ac:dyDescent="0.2">
      <c r="A88" s="4"/>
      <c r="B88" s="5"/>
      <c r="C88" s="156"/>
    </row>
    <row r="89" spans="1:6" ht="16.5" customHeight="1" x14ac:dyDescent="0.25">
      <c r="A89" s="987" t="s">
        <v>51</v>
      </c>
      <c r="B89" s="987"/>
      <c r="C89" s="987"/>
    </row>
    <row r="90" spans="1:6" s="241" customFormat="1" ht="16.5" customHeight="1" thickBot="1" x14ac:dyDescent="0.3">
      <c r="A90" s="988" t="s">
        <v>140</v>
      </c>
      <c r="B90" s="988"/>
      <c r="C90" s="81" t="s">
        <v>596</v>
      </c>
    </row>
    <row r="91" spans="1:6" ht="38.1" customHeight="1" thickBot="1" x14ac:dyDescent="0.3">
      <c r="A91" s="22" t="s">
        <v>74</v>
      </c>
      <c r="B91" s="23" t="s">
        <v>52</v>
      </c>
      <c r="C91" s="30" t="str">
        <f>+C3</f>
        <v>2018. évi előirányzat</v>
      </c>
    </row>
    <row r="92" spans="1:6" s="230" customFormat="1" ht="12" customHeight="1" thickBot="1" x14ac:dyDescent="0.25">
      <c r="A92" s="26" t="s">
        <v>469</v>
      </c>
      <c r="B92" s="27" t="s">
        <v>470</v>
      </c>
      <c r="C92" s="226" t="s">
        <v>471</v>
      </c>
    </row>
    <row r="93" spans="1:6" ht="12" customHeight="1" thickBot="1" x14ac:dyDescent="0.3">
      <c r="A93" s="21" t="s">
        <v>23</v>
      </c>
      <c r="B93" s="25" t="s">
        <v>523</v>
      </c>
      <c r="C93" s="150">
        <f t="shared" ref="C93:C154" si="2">SUM(D93:F93)</f>
        <v>1497735752</v>
      </c>
      <c r="D93" s="336">
        <f>+D94+D95+D96+D97+D98+D111</f>
        <v>540121233</v>
      </c>
      <c r="E93" s="149">
        <f>+E94+E95+E96+E97+E98+E111</f>
        <v>28774983</v>
      </c>
      <c r="F93" s="357">
        <f>F94+F95+F96+F97+F98+F111</f>
        <v>928839536</v>
      </c>
    </row>
    <row r="94" spans="1:6" ht="12" customHeight="1" x14ac:dyDescent="0.25">
      <c r="A94" s="16" t="s">
        <v>99</v>
      </c>
      <c r="B94" s="9" t="s">
        <v>53</v>
      </c>
      <c r="C94" s="517">
        <f t="shared" si="2"/>
        <v>500079877</v>
      </c>
      <c r="D94" s="363">
        <f>2854500+25097896+11111000+584100+20000+1182990+1095900-175365+408000-198000</f>
        <v>41981021</v>
      </c>
      <c r="E94" s="312">
        <f>481000+2215000</f>
        <v>2696000</v>
      </c>
      <c r="F94" s="331">
        <f>454281366-811000+1852490+80000</f>
        <v>455402856</v>
      </c>
    </row>
    <row r="95" spans="1:6" ht="12" customHeight="1" x14ac:dyDescent="0.25">
      <c r="A95" s="13" t="s">
        <v>100</v>
      </c>
      <c r="B95" s="7" t="s">
        <v>159</v>
      </c>
      <c r="C95" s="516">
        <f t="shared" si="2"/>
        <v>105839413</v>
      </c>
      <c r="D95" s="303">
        <f>500965+4771305+2167000+14000+207615+213701-18991+71604+3298-34749</f>
        <v>7895748</v>
      </c>
      <c r="E95" s="154">
        <f>114000+461687</f>
        <v>575687</v>
      </c>
      <c r="F95" s="330">
        <f>97140882-128290+341346+14040</f>
        <v>97367978</v>
      </c>
    </row>
    <row r="96" spans="1:6" ht="12" customHeight="1" x14ac:dyDescent="0.25">
      <c r="A96" s="13" t="s">
        <v>101</v>
      </c>
      <c r="B96" s="7" t="s">
        <v>129</v>
      </c>
      <c r="C96" s="516">
        <f t="shared" si="2"/>
        <v>603051081</v>
      </c>
      <c r="D96" s="307">
        <f>13447475+835000+50000+52909601+6787092+2456000+4504030+871220+34163000+50473064+3285067+9000000+443000+120000+17207888+17042731+48545760+500000+381000-83792+60000+110000+178500-37621053+63500</f>
        <v>225729083</v>
      </c>
      <c r="E96" s="221">
        <f>324000+352000+137126+419550+20620</f>
        <v>1253296</v>
      </c>
      <c r="F96" s="330">
        <f>375583932-1110+485880+624000-624000</f>
        <v>376068702</v>
      </c>
    </row>
    <row r="97" spans="1:6" ht="12" customHeight="1" x14ac:dyDescent="0.25">
      <c r="A97" s="13" t="s">
        <v>102</v>
      </c>
      <c r="B97" s="7" t="s">
        <v>160</v>
      </c>
      <c r="C97" s="373">
        <f t="shared" si="2"/>
        <v>97250000</v>
      </c>
      <c r="D97" s="307">
        <f>69500000+3500000</f>
        <v>73000000</v>
      </c>
      <c r="E97" s="221">
        <v>24250000</v>
      </c>
      <c r="F97" s="330"/>
    </row>
    <row r="98" spans="1:6" ht="12" customHeight="1" x14ac:dyDescent="0.25">
      <c r="A98" s="13" t="s">
        <v>113</v>
      </c>
      <c r="B98" s="6" t="s">
        <v>161</v>
      </c>
      <c r="C98" s="373">
        <f t="shared" si="2"/>
        <v>126087903</v>
      </c>
      <c r="D98" s="307">
        <f>5697126+16985629+16551218+32866801+100000+660000+49357310+3869819</f>
        <v>126087903</v>
      </c>
      <c r="E98" s="221"/>
      <c r="F98" s="221"/>
    </row>
    <row r="99" spans="1:6" ht="12" customHeight="1" x14ac:dyDescent="0.25">
      <c r="A99" s="13" t="s">
        <v>103</v>
      </c>
      <c r="B99" s="7" t="s">
        <v>486</v>
      </c>
      <c r="C99" s="516">
        <f t="shared" si="2"/>
        <v>3969819</v>
      </c>
      <c r="D99" s="307">
        <f>100000+3869819</f>
        <v>3969819</v>
      </c>
      <c r="E99" s="221"/>
      <c r="F99" s="221"/>
    </row>
    <row r="100" spans="1:6" ht="12" customHeight="1" x14ac:dyDescent="0.25">
      <c r="A100" s="13" t="s">
        <v>104</v>
      </c>
      <c r="B100" s="85" t="s">
        <v>487</v>
      </c>
      <c r="C100" s="373">
        <f t="shared" si="2"/>
        <v>0</v>
      </c>
      <c r="D100" s="307"/>
      <c r="E100" s="221"/>
      <c r="F100" s="221"/>
    </row>
    <row r="101" spans="1:6" ht="12" customHeight="1" x14ac:dyDescent="0.25">
      <c r="A101" s="13" t="s">
        <v>114</v>
      </c>
      <c r="B101" s="85" t="s">
        <v>488</v>
      </c>
      <c r="C101" s="373">
        <f t="shared" si="2"/>
        <v>0</v>
      </c>
      <c r="D101" s="307"/>
      <c r="E101" s="221"/>
      <c r="F101" s="221"/>
    </row>
    <row r="102" spans="1:6" ht="12" customHeight="1" x14ac:dyDescent="0.25">
      <c r="A102" s="13" t="s">
        <v>115</v>
      </c>
      <c r="B102" s="83" t="s">
        <v>306</v>
      </c>
      <c r="C102" s="373">
        <f t="shared" si="2"/>
        <v>0</v>
      </c>
      <c r="D102" s="307"/>
      <c r="E102" s="221"/>
      <c r="F102" s="221"/>
    </row>
    <row r="103" spans="1:6" ht="12" customHeight="1" x14ac:dyDescent="0.25">
      <c r="A103" s="13" t="s">
        <v>116</v>
      </c>
      <c r="B103" s="84" t="s">
        <v>307</v>
      </c>
      <c r="C103" s="373">
        <f t="shared" si="2"/>
        <v>0</v>
      </c>
      <c r="D103" s="307"/>
      <c r="E103" s="221"/>
      <c r="F103" s="221"/>
    </row>
    <row r="104" spans="1:6" ht="12" customHeight="1" x14ac:dyDescent="0.25">
      <c r="A104" s="13" t="s">
        <v>117</v>
      </c>
      <c r="B104" s="84" t="s">
        <v>308</v>
      </c>
      <c r="C104" s="373">
        <f t="shared" si="2"/>
        <v>0</v>
      </c>
      <c r="D104" s="307"/>
      <c r="E104" s="221"/>
      <c r="F104" s="221"/>
    </row>
    <row r="105" spans="1:6" ht="12" customHeight="1" x14ac:dyDescent="0.25">
      <c r="A105" s="13" t="s">
        <v>119</v>
      </c>
      <c r="B105" s="83" t="s">
        <v>309</v>
      </c>
      <c r="C105" s="373">
        <f t="shared" si="2"/>
        <v>660000</v>
      </c>
      <c r="D105" s="307">
        <v>660000</v>
      </c>
      <c r="E105" s="221"/>
      <c r="F105" s="221"/>
    </row>
    <row r="106" spans="1:6" ht="12" customHeight="1" x14ac:dyDescent="0.25">
      <c r="A106" s="13" t="s">
        <v>162</v>
      </c>
      <c r="B106" s="83" t="s">
        <v>310</v>
      </c>
      <c r="C106" s="373">
        <f t="shared" si="2"/>
        <v>0</v>
      </c>
      <c r="D106" s="371"/>
      <c r="E106" s="221"/>
      <c r="F106" s="221"/>
    </row>
    <row r="107" spans="1:6" ht="12" customHeight="1" x14ac:dyDescent="0.25">
      <c r="A107" s="13" t="s">
        <v>304</v>
      </c>
      <c r="B107" s="84" t="s">
        <v>311</v>
      </c>
      <c r="C107" s="373">
        <f t="shared" si="2"/>
        <v>0</v>
      </c>
      <c r="D107" s="307"/>
      <c r="E107" s="221"/>
      <c r="F107" s="221"/>
    </row>
    <row r="108" spans="1:6" ht="12" customHeight="1" x14ac:dyDescent="0.25">
      <c r="A108" s="12" t="s">
        <v>305</v>
      </c>
      <c r="B108" s="85" t="s">
        <v>312</v>
      </c>
      <c r="C108" s="373">
        <f t="shared" si="2"/>
        <v>0</v>
      </c>
      <c r="D108" s="307"/>
      <c r="E108" s="221"/>
      <c r="F108" s="221"/>
    </row>
    <row r="109" spans="1:6" ht="12" customHeight="1" x14ac:dyDescent="0.25">
      <c r="A109" s="13" t="s">
        <v>489</v>
      </c>
      <c r="B109" s="85" t="s">
        <v>313</v>
      </c>
      <c r="C109" s="373">
        <f t="shared" si="2"/>
        <v>0</v>
      </c>
      <c r="D109" s="307"/>
      <c r="E109" s="221"/>
      <c r="F109" s="221"/>
    </row>
    <row r="110" spans="1:6" ht="12" customHeight="1" x14ac:dyDescent="0.25">
      <c r="A110" s="15" t="s">
        <v>490</v>
      </c>
      <c r="B110" s="85" t="s">
        <v>314</v>
      </c>
      <c r="C110" s="373">
        <f t="shared" si="2"/>
        <v>121458084</v>
      </c>
      <c r="D110" s="303">
        <f>5697126+16985629+16551218+32866801+660000+49357310-660000</f>
        <v>121458084</v>
      </c>
      <c r="E110" s="154"/>
      <c r="F110" s="221"/>
    </row>
    <row r="111" spans="1:6" ht="12" customHeight="1" x14ac:dyDescent="0.25">
      <c r="A111" s="13" t="s">
        <v>491</v>
      </c>
      <c r="B111" s="7" t="s">
        <v>54</v>
      </c>
      <c r="C111" s="373">
        <f t="shared" si="2"/>
        <v>65427478</v>
      </c>
      <c r="D111" s="303">
        <f>SUM(D112:D113)</f>
        <v>65427478</v>
      </c>
      <c r="E111" s="154"/>
      <c r="F111" s="154">
        <f>SUM(F112:F113)</f>
        <v>0</v>
      </c>
    </row>
    <row r="112" spans="1:6" ht="12" customHeight="1" x14ac:dyDescent="0.25">
      <c r="A112" s="13" t="s">
        <v>492</v>
      </c>
      <c r="B112" s="7" t="s">
        <v>493</v>
      </c>
      <c r="C112" s="516">
        <f t="shared" si="2"/>
        <v>6526975</v>
      </c>
      <c r="D112" s="307">
        <f>15000000-21705-8451320</f>
        <v>6526975</v>
      </c>
      <c r="E112" s="221"/>
      <c r="F112" s="154"/>
    </row>
    <row r="113" spans="1:6" ht="12" customHeight="1" thickBot="1" x14ac:dyDescent="0.3">
      <c r="A113" s="17" t="s">
        <v>494</v>
      </c>
      <c r="B113" s="291" t="s">
        <v>495</v>
      </c>
      <c r="C113" s="923">
        <f t="shared" si="2"/>
        <v>58900503</v>
      </c>
      <c r="D113" s="364">
        <f>65846522-6946019</f>
        <v>58900503</v>
      </c>
      <c r="E113" s="322"/>
      <c r="F113" s="322"/>
    </row>
    <row r="114" spans="1:6" ht="12" customHeight="1" thickBot="1" x14ac:dyDescent="0.3">
      <c r="A114" s="292" t="s">
        <v>24</v>
      </c>
      <c r="B114" s="293" t="s">
        <v>315</v>
      </c>
      <c r="C114" s="150">
        <f t="shared" si="2"/>
        <v>589774312</v>
      </c>
      <c r="D114" s="326">
        <f>+D115+D117+D119</f>
        <v>580523432</v>
      </c>
      <c r="E114" s="150">
        <f>+E115+E117+E119</f>
        <v>0</v>
      </c>
      <c r="F114" s="294">
        <f>+F115+F117+F119</f>
        <v>9250880</v>
      </c>
    </row>
    <row r="115" spans="1:6" ht="18.75" customHeight="1" x14ac:dyDescent="0.25">
      <c r="A115" s="14" t="s">
        <v>105</v>
      </c>
      <c r="B115" s="7" t="s">
        <v>179</v>
      </c>
      <c r="C115" s="517">
        <f t="shared" si="2"/>
        <v>303350074</v>
      </c>
      <c r="D115" s="332">
        <f>359410+2345001+219008101+381000+1500000+3139585+33894811+2338070+4950460-60000+275000+20930495+5189661+457200</f>
        <v>294708794</v>
      </c>
      <c r="E115" s="270"/>
      <c r="F115" s="270">
        <f>8663894-22614</f>
        <v>8641280</v>
      </c>
    </row>
    <row r="116" spans="1:6" ht="12" customHeight="1" x14ac:dyDescent="0.25">
      <c r="A116" s="14" t="s">
        <v>106</v>
      </c>
      <c r="B116" s="11" t="s">
        <v>319</v>
      </c>
      <c r="C116" s="517">
        <f t="shared" si="2"/>
        <v>273624400</v>
      </c>
      <c r="D116" s="332">
        <f>218246101+33259811+20930495+1187993</f>
        <v>273624400</v>
      </c>
      <c r="E116" s="270"/>
      <c r="F116" s="270"/>
    </row>
    <row r="117" spans="1:6" ht="12" customHeight="1" x14ac:dyDescent="0.25">
      <c r="A117" s="14" t="s">
        <v>107</v>
      </c>
      <c r="B117" s="11" t="s">
        <v>163</v>
      </c>
      <c r="C117" s="517">
        <f t="shared" si="2"/>
        <v>220713517</v>
      </c>
      <c r="D117" s="303">
        <f>180701362+1500000+37902555</f>
        <v>220103917</v>
      </c>
      <c r="E117" s="154"/>
      <c r="F117" s="154">
        <v>609600</v>
      </c>
    </row>
    <row r="118" spans="1:6" ht="12" customHeight="1" x14ac:dyDescent="0.25">
      <c r="A118" s="14" t="s">
        <v>108</v>
      </c>
      <c r="B118" s="11" t="s">
        <v>320</v>
      </c>
      <c r="C118" s="517">
        <f t="shared" si="2"/>
        <v>182607280</v>
      </c>
      <c r="D118" s="303">
        <f>146098020+36509260</f>
        <v>182607280</v>
      </c>
      <c r="E118" s="315"/>
      <c r="F118" s="315"/>
    </row>
    <row r="119" spans="1:6" ht="12" customHeight="1" x14ac:dyDescent="0.25">
      <c r="A119" s="14" t="s">
        <v>109</v>
      </c>
      <c r="B119" s="147" t="s">
        <v>181</v>
      </c>
      <c r="C119" s="373">
        <f t="shared" si="2"/>
        <v>65710721</v>
      </c>
      <c r="D119" s="307">
        <v>65710721</v>
      </c>
      <c r="E119" s="303"/>
      <c r="F119" s="303"/>
    </row>
    <row r="120" spans="1:6" ht="12" customHeight="1" x14ac:dyDescent="0.25">
      <c r="A120" s="14" t="s">
        <v>118</v>
      </c>
      <c r="B120" s="146" t="s">
        <v>382</v>
      </c>
      <c r="C120" s="373">
        <f t="shared" si="2"/>
        <v>0</v>
      </c>
      <c r="D120" s="137"/>
      <c r="E120" s="137"/>
      <c r="F120" s="137"/>
    </row>
    <row r="121" spans="1:6" ht="12" customHeight="1" x14ac:dyDescent="0.25">
      <c r="A121" s="14" t="s">
        <v>120</v>
      </c>
      <c r="B121" s="228" t="s">
        <v>325</v>
      </c>
      <c r="C121" s="373">
        <f t="shared" si="2"/>
        <v>0</v>
      </c>
      <c r="D121" s="137"/>
      <c r="E121" s="137"/>
      <c r="F121" s="137"/>
    </row>
    <row r="122" spans="1:6" x14ac:dyDescent="0.25">
      <c r="A122" s="14" t="s">
        <v>164</v>
      </c>
      <c r="B122" s="84" t="s">
        <v>308</v>
      </c>
      <c r="C122" s="373">
        <f t="shared" si="2"/>
        <v>0</v>
      </c>
      <c r="D122" s="137"/>
      <c r="E122" s="137"/>
      <c r="F122" s="137"/>
    </row>
    <row r="123" spans="1:6" ht="12" customHeight="1" x14ac:dyDescent="0.25">
      <c r="A123" s="14" t="s">
        <v>165</v>
      </c>
      <c r="B123" s="84" t="s">
        <v>324</v>
      </c>
      <c r="C123" s="373">
        <f t="shared" si="2"/>
        <v>0</v>
      </c>
      <c r="D123" s="137"/>
      <c r="E123" s="137"/>
      <c r="F123" s="137"/>
    </row>
    <row r="124" spans="1:6" ht="12" customHeight="1" x14ac:dyDescent="0.25">
      <c r="A124" s="14" t="s">
        <v>166</v>
      </c>
      <c r="B124" s="84" t="s">
        <v>323</v>
      </c>
      <c r="C124" s="373">
        <f t="shared" si="2"/>
        <v>0</v>
      </c>
      <c r="D124" s="137"/>
      <c r="E124" s="137"/>
      <c r="F124" s="137"/>
    </row>
    <row r="125" spans="1:6" ht="12" customHeight="1" x14ac:dyDescent="0.25">
      <c r="A125" s="14" t="s">
        <v>316</v>
      </c>
      <c r="B125" s="84" t="s">
        <v>311</v>
      </c>
      <c r="C125" s="373">
        <f t="shared" si="2"/>
        <v>0</v>
      </c>
      <c r="D125" s="137"/>
      <c r="E125" s="137"/>
      <c r="F125" s="137"/>
    </row>
    <row r="126" spans="1:6" ht="12" customHeight="1" x14ac:dyDescent="0.25">
      <c r="A126" s="14" t="s">
        <v>317</v>
      </c>
      <c r="B126" s="84" t="s">
        <v>322</v>
      </c>
      <c r="C126" s="373">
        <f t="shared" si="2"/>
        <v>0</v>
      </c>
      <c r="D126" s="137"/>
      <c r="E126" s="137"/>
      <c r="F126" s="137"/>
    </row>
    <row r="127" spans="1:6" ht="16.5" thickBot="1" x14ac:dyDescent="0.3">
      <c r="A127" s="12" t="s">
        <v>318</v>
      </c>
      <c r="B127" s="84" t="s">
        <v>321</v>
      </c>
      <c r="C127" s="374">
        <f t="shared" si="2"/>
        <v>65710721</v>
      </c>
      <c r="D127" s="138">
        <v>65710721</v>
      </c>
      <c r="E127" s="307"/>
      <c r="F127" s="138"/>
    </row>
    <row r="128" spans="1:6" ht="12" customHeight="1" thickBot="1" x14ac:dyDescent="0.3">
      <c r="A128" s="19" t="s">
        <v>25</v>
      </c>
      <c r="B128" s="79" t="s">
        <v>496</v>
      </c>
      <c r="C128" s="150">
        <f t="shared" si="2"/>
        <v>2087510064</v>
      </c>
      <c r="D128" s="326">
        <f>+D93+D114</f>
        <v>1120644665</v>
      </c>
      <c r="E128" s="150">
        <f>+E93+E114</f>
        <v>28774983</v>
      </c>
      <c r="F128" s="150">
        <f>+F93+F114</f>
        <v>938090416</v>
      </c>
    </row>
    <row r="129" spans="1:6" ht="12" customHeight="1" thickBot="1" x14ac:dyDescent="0.3">
      <c r="A129" s="19" t="s">
        <v>26</v>
      </c>
      <c r="B129" s="79" t="s">
        <v>497</v>
      </c>
      <c r="C129" s="380">
        <f t="shared" si="2"/>
        <v>104042704</v>
      </c>
      <c r="D129" s="326">
        <f>+D130+D131+D132</f>
        <v>104042704</v>
      </c>
      <c r="E129" s="150">
        <f>+E130+E131+E132</f>
        <v>0</v>
      </c>
      <c r="F129" s="150">
        <f>+F130+F131+F132</f>
        <v>0</v>
      </c>
    </row>
    <row r="130" spans="1:6" ht="12" customHeight="1" x14ac:dyDescent="0.25">
      <c r="A130" s="14" t="s">
        <v>216</v>
      </c>
      <c r="B130" s="11" t="s">
        <v>498</v>
      </c>
      <c r="C130" s="227">
        <f t="shared" si="2"/>
        <v>4042704</v>
      </c>
      <c r="D130" s="303">
        <v>4042704</v>
      </c>
      <c r="E130" s="303"/>
      <c r="F130" s="303"/>
    </row>
    <row r="131" spans="1:6" ht="12" customHeight="1" x14ac:dyDescent="0.25">
      <c r="A131" s="14" t="s">
        <v>219</v>
      </c>
      <c r="B131" s="11" t="s">
        <v>499</v>
      </c>
      <c r="C131" s="378">
        <f t="shared" si="2"/>
        <v>100000000</v>
      </c>
      <c r="D131" s="137">
        <v>100000000</v>
      </c>
      <c r="E131" s="137"/>
      <c r="F131" s="137"/>
    </row>
    <row r="132" spans="1:6" ht="12" customHeight="1" thickBot="1" x14ac:dyDescent="0.3">
      <c r="A132" s="12" t="s">
        <v>220</v>
      </c>
      <c r="B132" s="11" t="s">
        <v>500</v>
      </c>
      <c r="C132" s="379">
        <f t="shared" si="2"/>
        <v>0</v>
      </c>
      <c r="D132" s="137"/>
      <c r="E132" s="137"/>
      <c r="F132" s="137"/>
    </row>
    <row r="133" spans="1:6" ht="12" customHeight="1" thickBot="1" x14ac:dyDescent="0.3">
      <c r="A133" s="19" t="s">
        <v>27</v>
      </c>
      <c r="B133" s="79" t="s">
        <v>501</v>
      </c>
      <c r="C133" s="380">
        <f t="shared" si="2"/>
        <v>0</v>
      </c>
      <c r="D133" s="326">
        <f>+D134+D135+D136+D137+D138+D139</f>
        <v>0</v>
      </c>
      <c r="E133" s="150">
        <f>+E134+E135+E136+E137+E138+E139</f>
        <v>0</v>
      </c>
      <c r="F133" s="150">
        <f>SUM(F134:F139)</f>
        <v>0</v>
      </c>
    </row>
    <row r="134" spans="1:6" ht="12" customHeight="1" x14ac:dyDescent="0.25">
      <c r="A134" s="14" t="s">
        <v>92</v>
      </c>
      <c r="B134" s="8" t="s">
        <v>502</v>
      </c>
      <c r="C134" s="227">
        <f t="shared" si="2"/>
        <v>0</v>
      </c>
      <c r="D134" s="137"/>
      <c r="E134" s="137"/>
      <c r="F134" s="137"/>
    </row>
    <row r="135" spans="1:6" ht="12" customHeight="1" x14ac:dyDescent="0.25">
      <c r="A135" s="14" t="s">
        <v>93</v>
      </c>
      <c r="B135" s="8" t="s">
        <v>503</v>
      </c>
      <c r="C135" s="378">
        <f t="shared" si="2"/>
        <v>0</v>
      </c>
      <c r="D135" s="137"/>
      <c r="E135" s="137"/>
      <c r="F135" s="137"/>
    </row>
    <row r="136" spans="1:6" ht="12" customHeight="1" x14ac:dyDescent="0.25">
      <c r="A136" s="14" t="s">
        <v>94</v>
      </c>
      <c r="B136" s="8" t="s">
        <v>504</v>
      </c>
      <c r="C136" s="378">
        <f t="shared" si="2"/>
        <v>0</v>
      </c>
      <c r="D136" s="137"/>
      <c r="E136" s="137"/>
      <c r="F136" s="137"/>
    </row>
    <row r="137" spans="1:6" ht="12" customHeight="1" x14ac:dyDescent="0.25">
      <c r="A137" s="14" t="s">
        <v>151</v>
      </c>
      <c r="B137" s="8" t="s">
        <v>505</v>
      </c>
      <c r="C137" s="378">
        <f t="shared" si="2"/>
        <v>0</v>
      </c>
      <c r="D137" s="137"/>
      <c r="E137" s="137"/>
      <c r="F137" s="137"/>
    </row>
    <row r="138" spans="1:6" ht="12" customHeight="1" x14ac:dyDescent="0.25">
      <c r="A138" s="14" t="s">
        <v>152</v>
      </c>
      <c r="B138" s="8" t="s">
        <v>506</v>
      </c>
      <c r="C138" s="378">
        <f t="shared" si="2"/>
        <v>0</v>
      </c>
      <c r="D138" s="137"/>
      <c r="E138" s="137"/>
      <c r="F138" s="137"/>
    </row>
    <row r="139" spans="1:6" ht="12" customHeight="1" thickBot="1" x14ac:dyDescent="0.3">
      <c r="A139" s="12" t="s">
        <v>153</v>
      </c>
      <c r="B139" s="8" t="s">
        <v>507</v>
      </c>
      <c r="C139" s="379">
        <f t="shared" si="2"/>
        <v>0</v>
      </c>
      <c r="D139" s="137"/>
      <c r="E139" s="137"/>
      <c r="F139" s="137"/>
    </row>
    <row r="140" spans="1:6" ht="12" customHeight="1" thickBot="1" x14ac:dyDescent="0.3">
      <c r="A140" s="19" t="s">
        <v>28</v>
      </c>
      <c r="B140" s="79" t="s">
        <v>508</v>
      </c>
      <c r="C140" s="150">
        <f t="shared" si="2"/>
        <v>38167591</v>
      </c>
      <c r="D140" s="329">
        <f>+D141+D142+D143+D144</f>
        <v>38167591</v>
      </c>
      <c r="E140" s="155">
        <f>+E141+E142+E143+E144</f>
        <v>0</v>
      </c>
      <c r="F140" s="155">
        <f>+F141+F142+F143+F144</f>
        <v>0</v>
      </c>
    </row>
    <row r="141" spans="1:6" ht="12" customHeight="1" x14ac:dyDescent="0.25">
      <c r="A141" s="14" t="s">
        <v>95</v>
      </c>
      <c r="B141" s="8" t="s">
        <v>326</v>
      </c>
      <c r="C141" s="227">
        <f t="shared" si="2"/>
        <v>0</v>
      </c>
      <c r="D141" s="137"/>
      <c r="E141" s="137"/>
      <c r="F141" s="137"/>
    </row>
    <row r="142" spans="1:6" ht="12" customHeight="1" x14ac:dyDescent="0.25">
      <c r="A142" s="14" t="s">
        <v>96</v>
      </c>
      <c r="B142" s="8" t="s">
        <v>327</v>
      </c>
      <c r="C142" s="378">
        <f t="shared" si="2"/>
        <v>38167591</v>
      </c>
      <c r="D142" s="137">
        <v>38167591</v>
      </c>
      <c r="E142" s="137"/>
      <c r="F142" s="137"/>
    </row>
    <row r="143" spans="1:6" ht="12" customHeight="1" x14ac:dyDescent="0.25">
      <c r="A143" s="14" t="s">
        <v>240</v>
      </c>
      <c r="B143" s="8" t="s">
        <v>509</v>
      </c>
      <c r="C143" s="378">
        <f t="shared" si="2"/>
        <v>0</v>
      </c>
      <c r="D143" s="137"/>
      <c r="E143" s="137"/>
      <c r="F143" s="137"/>
    </row>
    <row r="144" spans="1:6" ht="12" customHeight="1" thickBot="1" x14ac:dyDescent="0.3">
      <c r="A144" s="12" t="s">
        <v>241</v>
      </c>
      <c r="B144" s="6" t="s">
        <v>345</v>
      </c>
      <c r="C144" s="379">
        <f t="shared" si="2"/>
        <v>0</v>
      </c>
      <c r="D144" s="137"/>
      <c r="E144" s="137"/>
      <c r="F144" s="137"/>
    </row>
    <row r="145" spans="1:9" ht="12" customHeight="1" thickBot="1" x14ac:dyDescent="0.3">
      <c r="A145" s="19" t="s">
        <v>29</v>
      </c>
      <c r="B145" s="79" t="s">
        <v>510</v>
      </c>
      <c r="C145" s="380">
        <f t="shared" si="2"/>
        <v>0</v>
      </c>
      <c r="D145" s="338">
        <f>+D146+D147+D148+D149+D150</f>
        <v>0</v>
      </c>
      <c r="E145" s="158">
        <f>+E146+E147+E148+E149+E150</f>
        <v>0</v>
      </c>
      <c r="F145" s="158">
        <f>SUM(F146:F150)</f>
        <v>0</v>
      </c>
    </row>
    <row r="146" spans="1:9" ht="12" customHeight="1" x14ac:dyDescent="0.25">
      <c r="A146" s="14" t="s">
        <v>97</v>
      </c>
      <c r="B146" s="8" t="s">
        <v>511</v>
      </c>
      <c r="C146" s="227">
        <f t="shared" si="2"/>
        <v>0</v>
      </c>
      <c r="D146" s="137"/>
      <c r="E146" s="137"/>
      <c r="F146" s="137"/>
    </row>
    <row r="147" spans="1:9" ht="12" customHeight="1" x14ac:dyDescent="0.25">
      <c r="A147" s="14" t="s">
        <v>98</v>
      </c>
      <c r="B147" s="8" t="s">
        <v>512</v>
      </c>
      <c r="C147" s="378">
        <f t="shared" si="2"/>
        <v>0</v>
      </c>
      <c r="D147" s="137"/>
      <c r="E147" s="137"/>
      <c r="F147" s="137"/>
    </row>
    <row r="148" spans="1:9" ht="12" customHeight="1" x14ac:dyDescent="0.25">
      <c r="A148" s="14" t="s">
        <v>252</v>
      </c>
      <c r="B148" s="8" t="s">
        <v>513</v>
      </c>
      <c r="C148" s="378">
        <f t="shared" si="2"/>
        <v>0</v>
      </c>
      <c r="D148" s="137"/>
      <c r="E148" s="137"/>
      <c r="F148" s="137"/>
    </row>
    <row r="149" spans="1:9" ht="12" customHeight="1" x14ac:dyDescent="0.25">
      <c r="A149" s="14" t="s">
        <v>253</v>
      </c>
      <c r="B149" s="8" t="s">
        <v>514</v>
      </c>
      <c r="C149" s="378">
        <f t="shared" si="2"/>
        <v>0</v>
      </c>
      <c r="D149" s="137"/>
      <c r="E149" s="137"/>
      <c r="F149" s="137"/>
    </row>
    <row r="150" spans="1:9" ht="12" customHeight="1" thickBot="1" x14ac:dyDescent="0.3">
      <c r="A150" s="14" t="s">
        <v>515</v>
      </c>
      <c r="B150" s="8" t="s">
        <v>516</v>
      </c>
      <c r="C150" s="379">
        <f t="shared" si="2"/>
        <v>0</v>
      </c>
      <c r="D150" s="138"/>
      <c r="E150" s="138"/>
      <c r="F150" s="137"/>
    </row>
    <row r="151" spans="1:9" ht="12" customHeight="1" thickBot="1" x14ac:dyDescent="0.3">
      <c r="A151" s="19" t="s">
        <v>30</v>
      </c>
      <c r="B151" s="79" t="s">
        <v>517</v>
      </c>
      <c r="C151" s="150">
        <f t="shared" si="2"/>
        <v>0</v>
      </c>
      <c r="D151" s="338"/>
      <c r="E151" s="158"/>
      <c r="F151" s="295"/>
    </row>
    <row r="152" spans="1:9" ht="12" customHeight="1" thickBot="1" x14ac:dyDescent="0.3">
      <c r="A152" s="19" t="s">
        <v>31</v>
      </c>
      <c r="B152" s="79" t="s">
        <v>518</v>
      </c>
      <c r="C152" s="149">
        <f t="shared" si="2"/>
        <v>0</v>
      </c>
      <c r="D152" s="338"/>
      <c r="E152" s="158"/>
      <c r="F152" s="295"/>
    </row>
    <row r="153" spans="1:9" ht="15" customHeight="1" thickBot="1" x14ac:dyDescent="0.3">
      <c r="A153" s="19" t="s">
        <v>32</v>
      </c>
      <c r="B153" s="79" t="s">
        <v>519</v>
      </c>
      <c r="C153" s="149">
        <f t="shared" si="2"/>
        <v>142210295</v>
      </c>
      <c r="D153" s="339">
        <f>+D129+D133+D140+D145+D151+D152</f>
        <v>142210295</v>
      </c>
      <c r="E153" s="242">
        <f>+E129+E133+E140+E145+E151+E152</f>
        <v>0</v>
      </c>
      <c r="F153" s="242">
        <f>+F129+F133+F140+F145+F151+F152</f>
        <v>0</v>
      </c>
      <c r="G153" s="243"/>
      <c r="H153" s="243"/>
      <c r="I153" s="243"/>
    </row>
    <row r="154" spans="1:9" s="231" customFormat="1" ht="12.95" customHeight="1" thickBot="1" x14ac:dyDescent="0.25">
      <c r="A154" s="148" t="s">
        <v>33</v>
      </c>
      <c r="B154" s="217" t="s">
        <v>520</v>
      </c>
      <c r="C154" s="150">
        <f t="shared" si="2"/>
        <v>2229720359</v>
      </c>
      <c r="D154" s="339">
        <f>+D128+D153</f>
        <v>1262854960</v>
      </c>
      <c r="E154" s="242">
        <f>+E128+E153</f>
        <v>28774983</v>
      </c>
      <c r="F154" s="242">
        <f>+F128+F153</f>
        <v>938090416</v>
      </c>
    </row>
    <row r="155" spans="1:9" ht="7.5" customHeight="1" x14ac:dyDescent="0.25"/>
    <row r="156" spans="1:9" x14ac:dyDescent="0.25">
      <c r="A156" s="989" t="s">
        <v>328</v>
      </c>
      <c r="B156" s="989"/>
      <c r="C156" s="989"/>
    </row>
    <row r="157" spans="1:9" ht="15" customHeight="1" thickBot="1" x14ac:dyDescent="0.3">
      <c r="A157" s="986" t="s">
        <v>141</v>
      </c>
      <c r="B157" s="986"/>
      <c r="C157" s="159" t="s">
        <v>596</v>
      </c>
    </row>
    <row r="158" spans="1:9" ht="13.5" customHeight="1" thickBot="1" x14ac:dyDescent="0.3">
      <c r="A158" s="19">
        <v>1</v>
      </c>
      <c r="B158" s="24" t="s">
        <v>521</v>
      </c>
      <c r="C158" s="150">
        <f>+C62-C128</f>
        <v>-302923826</v>
      </c>
    </row>
    <row r="159" spans="1:9" ht="27.75" customHeight="1" thickBot="1" x14ac:dyDescent="0.3">
      <c r="A159" s="19" t="s">
        <v>24</v>
      </c>
      <c r="B159" s="24" t="s">
        <v>522</v>
      </c>
      <c r="C159" s="150">
        <f>+C86-C153</f>
        <v>653918407</v>
      </c>
    </row>
    <row r="160" spans="1:9" x14ac:dyDescent="0.25">
      <c r="F160" s="38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 8/2018.(IV.27.)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6" customHeight="1" x14ac:dyDescent="0.2">
      <c r="A2" s="222" t="s">
        <v>173</v>
      </c>
      <c r="B2" s="199" t="s">
        <v>565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353</v>
      </c>
      <c r="C3" s="544" t="s">
        <v>58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172674012</v>
      </c>
    </row>
    <row r="9" spans="1:3" s="215" customFormat="1" ht="12" customHeight="1" x14ac:dyDescent="0.2">
      <c r="A9" s="259" t="s">
        <v>99</v>
      </c>
      <c r="B9" s="9" t="s">
        <v>229</v>
      </c>
      <c r="C9" s="550"/>
    </row>
    <row r="10" spans="1:3" s="215" customFormat="1" ht="12" customHeight="1" x14ac:dyDescent="0.2">
      <c r="A10" s="260" t="s">
        <v>100</v>
      </c>
      <c r="B10" s="7" t="s">
        <v>230</v>
      </c>
      <c r="C10" s="551">
        <v>30591480</v>
      </c>
    </row>
    <row r="11" spans="1:3" s="215" customFormat="1" ht="12" customHeight="1" x14ac:dyDescent="0.2">
      <c r="A11" s="260" t="s">
        <v>101</v>
      </c>
      <c r="B11" s="7" t="s">
        <v>231</v>
      </c>
      <c r="C11" s="551">
        <v>82270000</v>
      </c>
    </row>
    <row r="12" spans="1:3" s="215" customFormat="1" ht="12" customHeight="1" x14ac:dyDescent="0.2">
      <c r="A12" s="260" t="s">
        <v>102</v>
      </c>
      <c r="B12" s="7" t="s">
        <v>232</v>
      </c>
      <c r="C12" s="551"/>
    </row>
    <row r="13" spans="1:3" s="215" customFormat="1" ht="12" customHeight="1" x14ac:dyDescent="0.2">
      <c r="A13" s="260" t="s">
        <v>136</v>
      </c>
      <c r="B13" s="7" t="s">
        <v>233</v>
      </c>
      <c r="C13" s="662">
        <v>19857978</v>
      </c>
    </row>
    <row r="14" spans="1:3" s="215" customFormat="1" ht="12" customHeight="1" x14ac:dyDescent="0.2">
      <c r="A14" s="260" t="s">
        <v>103</v>
      </c>
      <c r="B14" s="7" t="s">
        <v>354</v>
      </c>
      <c r="C14" s="662">
        <v>27304554</v>
      </c>
    </row>
    <row r="15" spans="1:3" s="215" customFormat="1" ht="12" customHeight="1" x14ac:dyDescent="0.2">
      <c r="A15" s="260" t="s">
        <v>104</v>
      </c>
      <c r="B15" s="6" t="s">
        <v>355</v>
      </c>
      <c r="C15" s="551">
        <v>12650000</v>
      </c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172674012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135064830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v>1426020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133587210+51600</f>
        <v>133638810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307738842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306509842</v>
      </c>
    </row>
    <row r="46" spans="1:3" ht="12" customHeight="1" x14ac:dyDescent="0.2">
      <c r="A46" s="260" t="s">
        <v>99</v>
      </c>
      <c r="B46" s="8" t="s">
        <v>53</v>
      </c>
      <c r="C46" s="887">
        <f>61703726+51600</f>
        <v>61755326</v>
      </c>
    </row>
    <row r="47" spans="1:3" ht="12" customHeight="1" x14ac:dyDescent="0.2">
      <c r="A47" s="260" t="s">
        <v>100</v>
      </c>
      <c r="B47" s="7" t="s">
        <v>159</v>
      </c>
      <c r="C47" s="748">
        <v>14089304</v>
      </c>
    </row>
    <row r="48" spans="1:3" ht="12" customHeight="1" x14ac:dyDescent="0.2">
      <c r="A48" s="260" t="s">
        <v>101</v>
      </c>
      <c r="B48" s="7" t="s">
        <v>129</v>
      </c>
      <c r="C48" s="748">
        <v>230665212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662"/>
    </row>
    <row r="51" spans="1:3" ht="12" customHeight="1" thickBot="1" x14ac:dyDescent="0.25">
      <c r="A51" s="95" t="s">
        <v>24</v>
      </c>
      <c r="B51" s="79" t="s">
        <v>370</v>
      </c>
      <c r="C51" s="549">
        <f>SUM(C52:C54)</f>
        <v>1229000</v>
      </c>
    </row>
    <row r="52" spans="1:3" s="269" customFormat="1" ht="12" customHeight="1" x14ac:dyDescent="0.2">
      <c r="A52" s="260" t="s">
        <v>105</v>
      </c>
      <c r="B52" s="8" t="s">
        <v>179</v>
      </c>
      <c r="C52" s="555">
        <v>1229000</v>
      </c>
    </row>
    <row r="53" spans="1:3" ht="12" customHeight="1" x14ac:dyDescent="0.2">
      <c r="A53" s="260" t="s">
        <v>106</v>
      </c>
      <c r="B53" s="7" t="s">
        <v>163</v>
      </c>
      <c r="C53" s="662"/>
    </row>
    <row r="54" spans="1:3" ht="12" customHeight="1" x14ac:dyDescent="0.2">
      <c r="A54" s="260" t="s">
        <v>107</v>
      </c>
      <c r="B54" s="7" t="s">
        <v>63</v>
      </c>
      <c r="C54" s="662"/>
    </row>
    <row r="55" spans="1:3" ht="12" customHeight="1" thickBot="1" x14ac:dyDescent="0.25">
      <c r="A55" s="260" t="s">
        <v>108</v>
      </c>
      <c r="B55" s="7" t="s">
        <v>555</v>
      </c>
      <c r="C55" s="662"/>
    </row>
    <row r="56" spans="1:3" ht="15" customHeight="1" thickBot="1" x14ac:dyDescent="0.25">
      <c r="A56" s="95" t="s">
        <v>25</v>
      </c>
      <c r="B56" s="79" t="s">
        <v>18</v>
      </c>
      <c r="C56" s="554"/>
    </row>
    <row r="57" spans="1:3" ht="13.5" thickBot="1" x14ac:dyDescent="0.25">
      <c r="A57" s="95" t="s">
        <v>26</v>
      </c>
      <c r="B57" s="130" t="s">
        <v>556</v>
      </c>
      <c r="C57" s="913">
        <f>+C45+C51+C56</f>
        <v>307738842</v>
      </c>
    </row>
    <row r="58" spans="1:3" ht="15" customHeight="1" thickBot="1" x14ac:dyDescent="0.25">
      <c r="C58" s="560"/>
    </row>
    <row r="59" spans="1:3" ht="14.25" customHeight="1" thickBot="1" x14ac:dyDescent="0.25">
      <c r="A59" s="133" t="s">
        <v>548</v>
      </c>
      <c r="B59" s="134"/>
      <c r="C59" s="667">
        <v>25.5</v>
      </c>
    </row>
    <row r="60" spans="1:3" ht="13.5" thickBot="1" x14ac:dyDescent="0.25">
      <c r="A60" s="133" t="s">
        <v>175</v>
      </c>
      <c r="B60" s="134"/>
      <c r="C60" s="6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az 8/2018.(IV.27.)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4.5" customHeight="1" x14ac:dyDescent="0.2">
      <c r="A2" s="222" t="s">
        <v>173</v>
      </c>
      <c r="B2" s="199" t="s">
        <v>565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371</v>
      </c>
      <c r="C3" s="544" t="s">
        <v>65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172674012</v>
      </c>
    </row>
    <row r="9" spans="1:3" s="215" customFormat="1" ht="12" customHeight="1" x14ac:dyDescent="0.2">
      <c r="A9" s="259" t="s">
        <v>99</v>
      </c>
      <c r="B9" s="9" t="s">
        <v>229</v>
      </c>
      <c r="C9" s="550"/>
    </row>
    <row r="10" spans="1:3" s="215" customFormat="1" ht="12" customHeight="1" x14ac:dyDescent="0.2">
      <c r="A10" s="260" t="s">
        <v>100</v>
      </c>
      <c r="B10" s="7" t="s">
        <v>230</v>
      </c>
      <c r="C10" s="551">
        <v>30591480</v>
      </c>
    </row>
    <row r="11" spans="1:3" s="215" customFormat="1" ht="12" customHeight="1" x14ac:dyDescent="0.2">
      <c r="A11" s="260" t="s">
        <v>101</v>
      </c>
      <c r="B11" s="7" t="s">
        <v>231</v>
      </c>
      <c r="C11" s="551">
        <v>82270000</v>
      </c>
    </row>
    <row r="12" spans="1:3" s="215" customFormat="1" ht="12" customHeight="1" x14ac:dyDescent="0.2">
      <c r="A12" s="260" t="s">
        <v>102</v>
      </c>
      <c r="B12" s="7" t="s">
        <v>232</v>
      </c>
      <c r="C12" s="551"/>
    </row>
    <row r="13" spans="1:3" s="215" customFormat="1" ht="12" customHeight="1" x14ac:dyDescent="0.2">
      <c r="A13" s="260" t="s">
        <v>136</v>
      </c>
      <c r="B13" s="7" t="s">
        <v>233</v>
      </c>
      <c r="C13" s="662">
        <v>19857978</v>
      </c>
    </row>
    <row r="14" spans="1:3" s="215" customFormat="1" ht="12" customHeight="1" x14ac:dyDescent="0.2">
      <c r="A14" s="260" t="s">
        <v>103</v>
      </c>
      <c r="B14" s="7" t="s">
        <v>354</v>
      </c>
      <c r="C14" s="662">
        <v>27304554</v>
      </c>
    </row>
    <row r="15" spans="1:3" s="215" customFormat="1" ht="12" customHeight="1" x14ac:dyDescent="0.2">
      <c r="A15" s="260" t="s">
        <v>104</v>
      </c>
      <c r="B15" s="6" t="s">
        <v>355</v>
      </c>
      <c r="C15" s="551">
        <v>12650000</v>
      </c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172674012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135064830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v>1426020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133587210+51600</f>
        <v>133638810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307738842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306509842</v>
      </c>
    </row>
    <row r="46" spans="1:3" ht="12" customHeight="1" x14ac:dyDescent="0.2">
      <c r="A46" s="260" t="s">
        <v>99</v>
      </c>
      <c r="B46" s="8" t="s">
        <v>53</v>
      </c>
      <c r="C46" s="887">
        <f>61703726+51600</f>
        <v>61755326</v>
      </c>
    </row>
    <row r="47" spans="1:3" ht="12" customHeight="1" x14ac:dyDescent="0.2">
      <c r="A47" s="260" t="s">
        <v>100</v>
      </c>
      <c r="B47" s="7" t="s">
        <v>159</v>
      </c>
      <c r="C47" s="748">
        <v>14089304</v>
      </c>
    </row>
    <row r="48" spans="1:3" ht="12" customHeight="1" x14ac:dyDescent="0.2">
      <c r="A48" s="260" t="s">
        <v>101</v>
      </c>
      <c r="B48" s="7" t="s">
        <v>129</v>
      </c>
      <c r="C48" s="748">
        <v>230665212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662"/>
    </row>
    <row r="51" spans="1:3" ht="12" customHeight="1" thickBot="1" x14ac:dyDescent="0.25">
      <c r="A51" s="95" t="s">
        <v>24</v>
      </c>
      <c r="B51" s="79" t="s">
        <v>370</v>
      </c>
      <c r="C51" s="549">
        <f>SUM(C52:C54)</f>
        <v>1229000</v>
      </c>
    </row>
    <row r="52" spans="1:3" s="269" customFormat="1" ht="12" customHeight="1" x14ac:dyDescent="0.2">
      <c r="A52" s="260" t="s">
        <v>105</v>
      </c>
      <c r="B52" s="8" t="s">
        <v>179</v>
      </c>
      <c r="C52" s="555">
        <v>1229000</v>
      </c>
    </row>
    <row r="53" spans="1:3" ht="12" customHeight="1" x14ac:dyDescent="0.2">
      <c r="A53" s="260" t="s">
        <v>106</v>
      </c>
      <c r="B53" s="7" t="s">
        <v>163</v>
      </c>
      <c r="C53" s="662"/>
    </row>
    <row r="54" spans="1:3" ht="12" customHeight="1" x14ac:dyDescent="0.2">
      <c r="A54" s="260" t="s">
        <v>107</v>
      </c>
      <c r="B54" s="7" t="s">
        <v>63</v>
      </c>
      <c r="C54" s="662"/>
    </row>
    <row r="55" spans="1:3" ht="12" customHeight="1" thickBot="1" x14ac:dyDescent="0.25">
      <c r="A55" s="260" t="s">
        <v>108</v>
      </c>
      <c r="B55" s="7" t="s">
        <v>555</v>
      </c>
      <c r="C55" s="662"/>
    </row>
    <row r="56" spans="1:3" ht="15" customHeight="1" thickBot="1" x14ac:dyDescent="0.25">
      <c r="A56" s="95" t="s">
        <v>25</v>
      </c>
      <c r="B56" s="79" t="s">
        <v>18</v>
      </c>
      <c r="C56" s="554"/>
    </row>
    <row r="57" spans="1:3" ht="13.5" thickBot="1" x14ac:dyDescent="0.25">
      <c r="A57" s="95" t="s">
        <v>26</v>
      </c>
      <c r="B57" s="130" t="s">
        <v>556</v>
      </c>
      <c r="C57" s="913">
        <f>+C45+C51+C56</f>
        <v>307738842</v>
      </c>
    </row>
    <row r="58" spans="1:3" ht="15" customHeight="1" thickBot="1" x14ac:dyDescent="0.25">
      <c r="C58" s="560"/>
    </row>
    <row r="59" spans="1:3" ht="14.25" customHeight="1" thickBot="1" x14ac:dyDescent="0.25">
      <c r="A59" s="133" t="s">
        <v>548</v>
      </c>
      <c r="B59" s="134"/>
      <c r="C59" s="667">
        <v>25.5</v>
      </c>
    </row>
    <row r="60" spans="1:3" ht="13.5" thickBot="1" x14ac:dyDescent="0.25">
      <c r="A60" s="133" t="s">
        <v>175</v>
      </c>
      <c r="B60" s="134"/>
      <c r="C60" s="6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az 8/2018.(IV.27.)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2"/>
  <sheetViews>
    <sheetView tabSelected="1" zoomScale="130" zoomScaleNormal="130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3.75" customHeight="1" x14ac:dyDescent="0.2">
      <c r="A2" s="222" t="s">
        <v>173</v>
      </c>
      <c r="B2" s="199" t="s">
        <v>587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353</v>
      </c>
      <c r="C3" s="544" t="s">
        <v>58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913">
        <f>SUM(C9:C19)</f>
        <v>187577523</v>
      </c>
    </row>
    <row r="9" spans="1:3" s="215" customFormat="1" ht="12" customHeight="1" x14ac:dyDescent="0.2">
      <c r="A9" s="259" t="s">
        <v>99</v>
      </c>
      <c r="B9" s="9" t="s">
        <v>229</v>
      </c>
      <c r="C9" s="550"/>
    </row>
    <row r="10" spans="1:3" s="215" customFormat="1" ht="12" customHeight="1" x14ac:dyDescent="0.2">
      <c r="A10" s="260" t="s">
        <v>100</v>
      </c>
      <c r="B10" s="7" t="s">
        <v>230</v>
      </c>
      <c r="C10" s="889">
        <f>10239158+2371063</f>
        <v>12610221</v>
      </c>
    </row>
    <row r="11" spans="1:3" s="215" customFormat="1" ht="12" customHeight="1" x14ac:dyDescent="0.2">
      <c r="A11" s="260" t="s">
        <v>101</v>
      </c>
      <c r="B11" s="7" t="s">
        <v>231</v>
      </c>
      <c r="C11" s="551">
        <v>12700000</v>
      </c>
    </row>
    <row r="12" spans="1:3" s="215" customFormat="1" ht="12" customHeight="1" x14ac:dyDescent="0.2">
      <c r="A12" s="260" t="s">
        <v>102</v>
      </c>
      <c r="B12" s="7" t="s">
        <v>232</v>
      </c>
      <c r="C12" s="551"/>
    </row>
    <row r="13" spans="1:3" s="215" customFormat="1" ht="12" customHeight="1" x14ac:dyDescent="0.2">
      <c r="A13" s="260" t="s">
        <v>136</v>
      </c>
      <c r="B13" s="7" t="s">
        <v>233</v>
      </c>
      <c r="C13" s="551">
        <v>157919035</v>
      </c>
    </row>
    <row r="14" spans="1:3" s="215" customFormat="1" ht="12" customHeight="1" x14ac:dyDescent="0.2">
      <c r="A14" s="260" t="s">
        <v>103</v>
      </c>
      <c r="B14" s="7" t="s">
        <v>354</v>
      </c>
      <c r="C14" s="889">
        <f>3708080+640187</f>
        <v>4348267</v>
      </c>
    </row>
    <row r="15" spans="1:3" s="215" customFormat="1" ht="12" customHeight="1" x14ac:dyDescent="0.2">
      <c r="A15" s="260" t="s">
        <v>104</v>
      </c>
      <c r="B15" s="6" t="s">
        <v>355</v>
      </c>
      <c r="C15" s="551"/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19512535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>
        <v>19512535</v>
      </c>
    </row>
    <row r="24" spans="1:3" s="268" customFormat="1" ht="12" customHeight="1" thickBot="1" x14ac:dyDescent="0.25">
      <c r="A24" s="260" t="s">
        <v>108</v>
      </c>
      <c r="B24" s="7" t="s">
        <v>561</v>
      </c>
      <c r="C24" s="551">
        <v>399535</v>
      </c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912">
        <f>+C8+C20+C25+C26+C30+C34+C35</f>
        <v>207090058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526019770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f>20415305-28</f>
        <v>20415277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498171287+500631+6485645+446930</f>
        <v>505604493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733109828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719812073</v>
      </c>
    </row>
    <row r="46" spans="1:3" ht="12" customHeight="1" x14ac:dyDescent="0.2">
      <c r="A46" s="260" t="s">
        <v>99</v>
      </c>
      <c r="B46" s="8" t="s">
        <v>53</v>
      </c>
      <c r="C46" s="887">
        <f>432587281+258000+4907657+673383+374000</f>
        <v>438800321</v>
      </c>
    </row>
    <row r="47" spans="1:3" ht="12" customHeight="1" x14ac:dyDescent="0.2">
      <c r="A47" s="260" t="s">
        <v>100</v>
      </c>
      <c r="B47" s="7" t="s">
        <v>159</v>
      </c>
      <c r="C47" s="889">
        <f>91161523+50310+949388+132042+72930</f>
        <v>92366193</v>
      </c>
    </row>
    <row r="48" spans="1:3" ht="12" customHeight="1" x14ac:dyDescent="0.2">
      <c r="A48" s="260" t="s">
        <v>101</v>
      </c>
      <c r="B48" s="7" t="s">
        <v>129</v>
      </c>
      <c r="C48" s="889">
        <f>186217978+192293+628600+1606688</f>
        <v>188645559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662"/>
    </row>
    <row r="51" spans="1:3" ht="12" customHeight="1" thickBot="1" x14ac:dyDescent="0.25">
      <c r="A51" s="95" t="s">
        <v>24</v>
      </c>
      <c r="B51" s="79" t="s">
        <v>370</v>
      </c>
      <c r="C51" s="549">
        <f>SUM(C52:C54)</f>
        <v>13297755</v>
      </c>
    </row>
    <row r="52" spans="1:3" s="269" customFormat="1" ht="12" customHeight="1" x14ac:dyDescent="0.2">
      <c r="A52" s="260" t="s">
        <v>105</v>
      </c>
      <c r="B52" s="8" t="s">
        <v>179</v>
      </c>
      <c r="C52" s="887">
        <f>12698618+599137</f>
        <v>13297755</v>
      </c>
    </row>
    <row r="53" spans="1:3" ht="12" customHeight="1" x14ac:dyDescent="0.2">
      <c r="A53" s="260" t="s">
        <v>106</v>
      </c>
      <c r="B53" s="7" t="s">
        <v>163</v>
      </c>
      <c r="C53" s="662"/>
    </row>
    <row r="54" spans="1:3" ht="12" customHeight="1" x14ac:dyDescent="0.2">
      <c r="A54" s="260" t="s">
        <v>107</v>
      </c>
      <c r="B54" s="7" t="s">
        <v>63</v>
      </c>
      <c r="C54" s="662"/>
    </row>
    <row r="55" spans="1:3" ht="12" customHeight="1" thickBot="1" x14ac:dyDescent="0.25">
      <c r="A55" s="260" t="s">
        <v>108</v>
      </c>
      <c r="B55" s="7" t="s">
        <v>555</v>
      </c>
      <c r="C55" s="662"/>
    </row>
    <row r="56" spans="1:3" ht="15" customHeight="1" thickBot="1" x14ac:dyDescent="0.25">
      <c r="A56" s="95" t="s">
        <v>25</v>
      </c>
      <c r="B56" s="79" t="s">
        <v>18</v>
      </c>
      <c r="C56" s="554"/>
    </row>
    <row r="57" spans="1:3" ht="13.5" thickBot="1" x14ac:dyDescent="0.25">
      <c r="A57" s="95" t="s">
        <v>26</v>
      </c>
      <c r="B57" s="130" t="s">
        <v>556</v>
      </c>
      <c r="C57" s="549">
        <f>+C45+C51+C56</f>
        <v>733109828</v>
      </c>
    </row>
    <row r="58" spans="1:3" ht="15" customHeight="1" thickBot="1" x14ac:dyDescent="0.25">
      <c r="C58" s="560"/>
    </row>
    <row r="59" spans="1:3" ht="14.25" customHeight="1" x14ac:dyDescent="0.2">
      <c r="A59" s="503" t="s">
        <v>548</v>
      </c>
      <c r="B59" s="504"/>
      <c r="C59" s="955">
        <v>143.4</v>
      </c>
    </row>
    <row r="60" spans="1:3" x14ac:dyDescent="0.2">
      <c r="A60" s="564" t="s">
        <v>725</v>
      </c>
      <c r="B60" s="565"/>
      <c r="C60" s="668">
        <v>61</v>
      </c>
    </row>
    <row r="61" spans="1:3" s="562" customFormat="1" ht="13.9" customHeight="1" thickBot="1" x14ac:dyDescent="0.25">
      <c r="A61" s="1021" t="s">
        <v>726</v>
      </c>
      <c r="B61" s="1022"/>
      <c r="C61" s="669">
        <v>2</v>
      </c>
    </row>
    <row r="62" spans="1:3" s="562" customFormat="1" ht="19.899999999999999" customHeight="1" thickBot="1" x14ac:dyDescent="0.25">
      <c r="A62" s="1023" t="s">
        <v>747</v>
      </c>
      <c r="B62" s="1024"/>
      <c r="C62" s="956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8/2018.(IV.27.)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5.25" customHeight="1" x14ac:dyDescent="0.2">
      <c r="A2" s="222" t="s">
        <v>173</v>
      </c>
      <c r="B2" s="199" t="s">
        <v>587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371</v>
      </c>
      <c r="C3" s="544" t="s">
        <v>65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6699387</v>
      </c>
    </row>
    <row r="9" spans="1:3" s="215" customFormat="1" ht="12" customHeight="1" x14ac:dyDescent="0.2">
      <c r="A9" s="259" t="s">
        <v>99</v>
      </c>
      <c r="B9" s="9" t="s">
        <v>229</v>
      </c>
      <c r="C9" s="550"/>
    </row>
    <row r="10" spans="1:3" s="215" customFormat="1" ht="12" customHeight="1" x14ac:dyDescent="0.2">
      <c r="A10" s="260" t="s">
        <v>100</v>
      </c>
      <c r="B10" s="7" t="s">
        <v>230</v>
      </c>
      <c r="C10" s="551">
        <v>5275108</v>
      </c>
    </row>
    <row r="11" spans="1:3" s="215" customFormat="1" ht="12" customHeight="1" x14ac:dyDescent="0.2">
      <c r="A11" s="260" t="s">
        <v>101</v>
      </c>
      <c r="B11" s="7" t="s">
        <v>231</v>
      </c>
      <c r="C11" s="551"/>
    </row>
    <row r="12" spans="1:3" s="215" customFormat="1" ht="12" customHeight="1" x14ac:dyDescent="0.2">
      <c r="A12" s="260" t="s">
        <v>102</v>
      </c>
      <c r="B12" s="7" t="s">
        <v>232</v>
      </c>
      <c r="C12" s="551"/>
    </row>
    <row r="13" spans="1:3" s="215" customFormat="1" ht="12" customHeight="1" x14ac:dyDescent="0.2">
      <c r="A13" s="260" t="s">
        <v>136</v>
      </c>
      <c r="B13" s="7" t="s">
        <v>233</v>
      </c>
      <c r="C13" s="551"/>
    </row>
    <row r="14" spans="1:3" s="215" customFormat="1" ht="12" customHeight="1" x14ac:dyDescent="0.2">
      <c r="A14" s="260" t="s">
        <v>103</v>
      </c>
      <c r="B14" s="7" t="s">
        <v>354</v>
      </c>
      <c r="C14" s="551">
        <v>1424279</v>
      </c>
    </row>
    <row r="15" spans="1:3" s="215" customFormat="1" ht="12" customHeight="1" x14ac:dyDescent="0.2">
      <c r="A15" s="260" t="s">
        <v>104</v>
      </c>
      <c r="B15" s="6" t="s">
        <v>355</v>
      </c>
      <c r="C15" s="551"/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6699387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135445999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f>2388345-28</f>
        <v>2388317</v>
      </c>
    </row>
    <row r="39" spans="1:3" s="215" customFormat="1" ht="12" customHeight="1" x14ac:dyDescent="0.2">
      <c r="A39" s="261" t="s">
        <v>365</v>
      </c>
      <c r="B39" s="263" t="s">
        <v>14</v>
      </c>
      <c r="C39" s="957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133674788+28+345880-940400-22614</f>
        <v>133057682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142145386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141200000</v>
      </c>
    </row>
    <row r="46" spans="1:3" ht="12" customHeight="1" x14ac:dyDescent="0.2">
      <c r="A46" s="260" t="s">
        <v>99</v>
      </c>
      <c r="B46" s="8" t="s">
        <v>53</v>
      </c>
      <c r="C46" s="887">
        <f>102376295-800000</f>
        <v>101576295</v>
      </c>
    </row>
    <row r="47" spans="1:3" ht="12" customHeight="1" x14ac:dyDescent="0.2">
      <c r="A47" s="260" t="s">
        <v>100</v>
      </c>
      <c r="B47" s="7" t="s">
        <v>159</v>
      </c>
      <c r="C47" s="889">
        <f>22455001-140400</f>
        <v>22314601</v>
      </c>
    </row>
    <row r="48" spans="1:3" ht="12" customHeight="1" x14ac:dyDescent="0.2">
      <c r="A48" s="260" t="s">
        <v>101</v>
      </c>
      <c r="B48" s="7" t="s">
        <v>129</v>
      </c>
      <c r="C48" s="889">
        <f>16963224+345880</f>
        <v>17309104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662"/>
    </row>
    <row r="51" spans="1:3" ht="12" customHeight="1" thickBot="1" x14ac:dyDescent="0.25">
      <c r="A51" s="95" t="s">
        <v>24</v>
      </c>
      <c r="B51" s="79" t="s">
        <v>370</v>
      </c>
      <c r="C51" s="549">
        <f>SUM(C52:C54)</f>
        <v>945386</v>
      </c>
    </row>
    <row r="52" spans="1:3" s="269" customFormat="1" ht="12" customHeight="1" x14ac:dyDescent="0.2">
      <c r="A52" s="260" t="s">
        <v>105</v>
      </c>
      <c r="B52" s="8" t="s">
        <v>179</v>
      </c>
      <c r="C52" s="887">
        <f>968000-22614</f>
        <v>945386</v>
      </c>
    </row>
    <row r="53" spans="1:3" ht="12" customHeight="1" x14ac:dyDescent="0.2">
      <c r="A53" s="260" t="s">
        <v>106</v>
      </c>
      <c r="B53" s="7" t="s">
        <v>163</v>
      </c>
      <c r="C53" s="662"/>
    </row>
    <row r="54" spans="1:3" ht="12" customHeight="1" x14ac:dyDescent="0.2">
      <c r="A54" s="260" t="s">
        <v>107</v>
      </c>
      <c r="B54" s="7" t="s">
        <v>63</v>
      </c>
      <c r="C54" s="662"/>
    </row>
    <row r="55" spans="1:3" ht="12" customHeight="1" thickBot="1" x14ac:dyDescent="0.25">
      <c r="A55" s="260" t="s">
        <v>108</v>
      </c>
      <c r="B55" s="7" t="s">
        <v>555</v>
      </c>
      <c r="C55" s="662"/>
    </row>
    <row r="56" spans="1:3" ht="15" customHeight="1" thickBot="1" x14ac:dyDescent="0.25">
      <c r="A56" s="95" t="s">
        <v>25</v>
      </c>
      <c r="B56" s="79" t="s">
        <v>18</v>
      </c>
      <c r="C56" s="554"/>
    </row>
    <row r="57" spans="1:3" ht="13.5" thickBot="1" x14ac:dyDescent="0.25">
      <c r="A57" s="95" t="s">
        <v>26</v>
      </c>
      <c r="B57" s="130" t="s">
        <v>556</v>
      </c>
      <c r="C57" s="913">
        <f>+C45+C51+C56</f>
        <v>142145386</v>
      </c>
    </row>
    <row r="58" spans="1:3" ht="15" customHeight="1" thickBot="1" x14ac:dyDescent="0.25">
      <c r="C58" s="560"/>
    </row>
    <row r="59" spans="1:3" ht="14.25" customHeight="1" thickBot="1" x14ac:dyDescent="0.25">
      <c r="A59" s="133" t="s">
        <v>548</v>
      </c>
      <c r="B59" s="134"/>
      <c r="C59" s="667">
        <v>35</v>
      </c>
    </row>
    <row r="60" spans="1:3" ht="13.5" thickBot="1" x14ac:dyDescent="0.25">
      <c r="A60" s="133" t="s">
        <v>175</v>
      </c>
      <c r="B60" s="134"/>
      <c r="C60" s="6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mellékleta  8/2018.(IV.27.)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2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4" width="9.5" style="132" bestFit="1" customWidth="1"/>
    <col min="5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4.5" customHeight="1" x14ac:dyDescent="0.2">
      <c r="A2" s="222" t="s">
        <v>173</v>
      </c>
      <c r="B2" s="199" t="s">
        <v>587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372</v>
      </c>
      <c r="C3" s="544" t="s">
        <v>66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177866886</v>
      </c>
    </row>
    <row r="9" spans="1:3" s="215" customFormat="1" ht="12" customHeight="1" x14ac:dyDescent="0.2">
      <c r="A9" s="259" t="s">
        <v>99</v>
      </c>
      <c r="B9" s="9" t="s">
        <v>229</v>
      </c>
      <c r="C9" s="550"/>
    </row>
    <row r="10" spans="1:3" s="215" customFormat="1" ht="12" customHeight="1" x14ac:dyDescent="0.2">
      <c r="A10" s="260" t="s">
        <v>100</v>
      </c>
      <c r="B10" s="7" t="s">
        <v>230</v>
      </c>
      <c r="C10" s="551">
        <v>4964050</v>
      </c>
    </row>
    <row r="11" spans="1:3" s="215" customFormat="1" ht="12" customHeight="1" x14ac:dyDescent="0.2">
      <c r="A11" s="260" t="s">
        <v>101</v>
      </c>
      <c r="B11" s="7" t="s">
        <v>231</v>
      </c>
      <c r="C11" s="551">
        <v>12700000</v>
      </c>
    </row>
    <row r="12" spans="1:3" s="215" customFormat="1" ht="12" customHeight="1" x14ac:dyDescent="0.2">
      <c r="A12" s="260" t="s">
        <v>102</v>
      </c>
      <c r="B12" s="7" t="s">
        <v>232</v>
      </c>
      <c r="C12" s="551"/>
    </row>
    <row r="13" spans="1:3" s="215" customFormat="1" ht="12" customHeight="1" x14ac:dyDescent="0.2">
      <c r="A13" s="260" t="s">
        <v>136</v>
      </c>
      <c r="B13" s="7" t="s">
        <v>233</v>
      </c>
      <c r="C13" s="551">
        <v>157919035</v>
      </c>
    </row>
    <row r="14" spans="1:3" s="215" customFormat="1" ht="12" customHeight="1" x14ac:dyDescent="0.2">
      <c r="A14" s="260" t="s">
        <v>103</v>
      </c>
      <c r="B14" s="7" t="s">
        <v>354</v>
      </c>
      <c r="C14" s="551">
        <v>2283801</v>
      </c>
    </row>
    <row r="15" spans="1:3" s="215" customFormat="1" ht="12" customHeight="1" x14ac:dyDescent="0.2">
      <c r="A15" s="260" t="s">
        <v>104</v>
      </c>
      <c r="B15" s="6" t="s">
        <v>355</v>
      </c>
      <c r="C15" s="551"/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19512535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>
        <v>19512535</v>
      </c>
    </row>
    <row r="24" spans="1:3" s="268" customFormat="1" ht="12" customHeight="1" thickBot="1" x14ac:dyDescent="0.25">
      <c r="A24" s="260" t="s">
        <v>108</v>
      </c>
      <c r="B24" s="7" t="s">
        <v>561</v>
      </c>
      <c r="C24" s="551">
        <v>399535</v>
      </c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197379421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390573771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v>18026960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364496499+308310+192293+4907657+949388+282720+446930+940400+22614</f>
        <v>372546811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587953192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576199960</v>
      </c>
    </row>
    <row r="46" spans="1:3" ht="12" customHeight="1" x14ac:dyDescent="0.2">
      <c r="A46" s="260" t="s">
        <v>99</v>
      </c>
      <c r="B46" s="8" t="s">
        <v>53</v>
      </c>
      <c r="C46" s="887">
        <f>330210986+258000+800000+4907657+374000</f>
        <v>336550643</v>
      </c>
    </row>
    <row r="47" spans="1:3" ht="12" customHeight="1" x14ac:dyDescent="0.2">
      <c r="A47" s="260" t="s">
        <v>100</v>
      </c>
      <c r="B47" s="7" t="s">
        <v>159</v>
      </c>
      <c r="C47" s="889">
        <f>68706522+50310+949388+140400+72930</f>
        <v>69919550</v>
      </c>
    </row>
    <row r="48" spans="1:3" ht="12" customHeight="1" x14ac:dyDescent="0.2">
      <c r="A48" s="260" t="s">
        <v>101</v>
      </c>
      <c r="B48" s="7" t="s">
        <v>129</v>
      </c>
      <c r="C48" s="889">
        <f>169254754+192293+282720</f>
        <v>169729767</v>
      </c>
    </row>
    <row r="49" spans="1:4" ht="12" customHeight="1" x14ac:dyDescent="0.2">
      <c r="A49" s="260" t="s">
        <v>102</v>
      </c>
      <c r="B49" s="7" t="s">
        <v>160</v>
      </c>
      <c r="C49" s="662"/>
    </row>
    <row r="50" spans="1:4" ht="12" customHeight="1" thickBot="1" x14ac:dyDescent="0.25">
      <c r="A50" s="260" t="s">
        <v>136</v>
      </c>
      <c r="B50" s="7" t="s">
        <v>161</v>
      </c>
      <c r="C50" s="662"/>
    </row>
    <row r="51" spans="1:4" ht="12" customHeight="1" thickBot="1" x14ac:dyDescent="0.25">
      <c r="A51" s="95" t="s">
        <v>24</v>
      </c>
      <c r="B51" s="79" t="s">
        <v>370</v>
      </c>
      <c r="C51" s="549">
        <f>SUM(C52:C54)</f>
        <v>12352369</v>
      </c>
    </row>
    <row r="52" spans="1:4" s="269" customFormat="1" ht="12" customHeight="1" x14ac:dyDescent="0.2">
      <c r="A52" s="260" t="s">
        <v>105</v>
      </c>
      <c r="B52" s="8" t="s">
        <v>179</v>
      </c>
      <c r="C52" s="887">
        <f>11730618+22614+599137</f>
        <v>12352369</v>
      </c>
    </row>
    <row r="53" spans="1:4" ht="12" customHeight="1" x14ac:dyDescent="0.2">
      <c r="A53" s="260" t="s">
        <v>106</v>
      </c>
      <c r="B53" s="7" t="s">
        <v>163</v>
      </c>
      <c r="C53" s="662"/>
    </row>
    <row r="54" spans="1:4" ht="12" customHeight="1" x14ac:dyDescent="0.2">
      <c r="A54" s="260" t="s">
        <v>107</v>
      </c>
      <c r="B54" s="7" t="s">
        <v>63</v>
      </c>
      <c r="C54" s="662"/>
    </row>
    <row r="55" spans="1:4" ht="12" customHeight="1" thickBot="1" x14ac:dyDescent="0.25">
      <c r="A55" s="260" t="s">
        <v>108</v>
      </c>
      <c r="B55" s="7" t="s">
        <v>555</v>
      </c>
      <c r="C55" s="662"/>
    </row>
    <row r="56" spans="1:4" ht="15" customHeight="1" thickBot="1" x14ac:dyDescent="0.25">
      <c r="A56" s="95" t="s">
        <v>25</v>
      </c>
      <c r="B56" s="79" t="s">
        <v>18</v>
      </c>
      <c r="C56" s="554"/>
    </row>
    <row r="57" spans="1:4" ht="13.5" thickBot="1" x14ac:dyDescent="0.25">
      <c r="A57" s="95" t="s">
        <v>26</v>
      </c>
      <c r="B57" s="130" t="s">
        <v>556</v>
      </c>
      <c r="C57" s="913">
        <f>+C45+C51+C56</f>
        <v>588552329</v>
      </c>
      <c r="D57" s="40"/>
    </row>
    <row r="58" spans="1:4" ht="15" customHeight="1" thickBot="1" x14ac:dyDescent="0.25">
      <c r="C58" s="560"/>
    </row>
    <row r="59" spans="1:4" ht="14.25" customHeight="1" thickBot="1" x14ac:dyDescent="0.25">
      <c r="A59" s="133" t="s">
        <v>548</v>
      </c>
      <c r="B59" s="134"/>
      <c r="C59" s="958">
        <v>108.4</v>
      </c>
    </row>
    <row r="60" spans="1:4" ht="13.5" thickBot="1" x14ac:dyDescent="0.25">
      <c r="A60" s="564" t="s">
        <v>725</v>
      </c>
      <c r="B60" s="565"/>
      <c r="C60" s="666">
        <v>61</v>
      </c>
    </row>
    <row r="61" spans="1:4" ht="13.5" thickBot="1" x14ac:dyDescent="0.25">
      <c r="A61" s="1021" t="s">
        <v>726</v>
      </c>
      <c r="B61" s="1022"/>
      <c r="C61" s="602">
        <v>2</v>
      </c>
      <c r="D61" s="505"/>
    </row>
    <row r="62" spans="1:4" ht="13.5" thickBot="1" x14ac:dyDescent="0.25">
      <c r="A62" s="1023" t="s">
        <v>747</v>
      </c>
      <c r="B62" s="1024"/>
      <c r="C62" s="956">
        <v>1.1000000000000001</v>
      </c>
      <c r="D62" s="505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 8/2018.(IV.27.)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2"/>
  <sheetViews>
    <sheetView tabSelected="1" topLeftCell="B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4" width="9.5" style="132" bestFit="1" customWidth="1"/>
    <col min="5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4.5" customHeight="1" x14ac:dyDescent="0.2">
      <c r="A2" s="222" t="s">
        <v>173</v>
      </c>
      <c r="B2" s="199" t="s">
        <v>587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748</v>
      </c>
      <c r="C3" s="544" t="s">
        <v>66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913">
        <f>SUM(C9:C19)</f>
        <v>3011250</v>
      </c>
    </row>
    <row r="9" spans="1:3" s="215" customFormat="1" ht="12" customHeight="1" x14ac:dyDescent="0.2">
      <c r="A9" s="259" t="s">
        <v>99</v>
      </c>
      <c r="B9" s="9" t="s">
        <v>229</v>
      </c>
      <c r="C9" s="959"/>
    </row>
    <row r="10" spans="1:3" s="215" customFormat="1" ht="12" customHeight="1" x14ac:dyDescent="0.2">
      <c r="A10" s="260" t="s">
        <v>100</v>
      </c>
      <c r="B10" s="7" t="s">
        <v>230</v>
      </c>
      <c r="C10" s="889">
        <v>2371063</v>
      </c>
    </row>
    <row r="11" spans="1:3" s="215" customFormat="1" ht="12" customHeight="1" x14ac:dyDescent="0.2">
      <c r="A11" s="260" t="s">
        <v>101</v>
      </c>
      <c r="B11" s="7" t="s">
        <v>231</v>
      </c>
      <c r="C11" s="889"/>
    </row>
    <row r="12" spans="1:3" s="215" customFormat="1" ht="12" customHeight="1" x14ac:dyDescent="0.2">
      <c r="A12" s="260" t="s">
        <v>102</v>
      </c>
      <c r="B12" s="7" t="s">
        <v>232</v>
      </c>
      <c r="C12" s="889"/>
    </row>
    <row r="13" spans="1:3" s="215" customFormat="1" ht="12" customHeight="1" x14ac:dyDescent="0.2">
      <c r="A13" s="260" t="s">
        <v>136</v>
      </c>
      <c r="B13" s="7" t="s">
        <v>233</v>
      </c>
      <c r="C13" s="889"/>
    </row>
    <row r="14" spans="1:3" s="215" customFormat="1" ht="12" customHeight="1" x14ac:dyDescent="0.2">
      <c r="A14" s="260" t="s">
        <v>103</v>
      </c>
      <c r="B14" s="7" t="s">
        <v>354</v>
      </c>
      <c r="C14" s="889">
        <v>640187</v>
      </c>
    </row>
    <row r="15" spans="1:3" s="215" customFormat="1" ht="12" customHeight="1" x14ac:dyDescent="0.2">
      <c r="A15" s="260" t="s">
        <v>104</v>
      </c>
      <c r="B15" s="6" t="s">
        <v>355</v>
      </c>
      <c r="C15" s="551"/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912">
        <f>+C8+C20+C25+C26+C30+C34+C35</f>
        <v>3011250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0</v>
      </c>
    </row>
    <row r="38" spans="1:3" s="215" customFormat="1" ht="12" customHeight="1" x14ac:dyDescent="0.2">
      <c r="A38" s="261" t="s">
        <v>364</v>
      </c>
      <c r="B38" s="262" t="s">
        <v>188</v>
      </c>
      <c r="C38" s="555"/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/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3011250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2412113</v>
      </c>
    </row>
    <row r="46" spans="1:3" ht="12" customHeight="1" x14ac:dyDescent="0.2">
      <c r="A46" s="260" t="s">
        <v>99</v>
      </c>
      <c r="B46" s="8" t="s">
        <v>53</v>
      </c>
      <c r="C46" s="887">
        <v>673383</v>
      </c>
    </row>
    <row r="47" spans="1:3" ht="12" customHeight="1" x14ac:dyDescent="0.2">
      <c r="A47" s="260" t="s">
        <v>100</v>
      </c>
      <c r="B47" s="7" t="s">
        <v>159</v>
      </c>
      <c r="C47" s="889">
        <v>132042</v>
      </c>
    </row>
    <row r="48" spans="1:3" ht="12" customHeight="1" x14ac:dyDescent="0.2">
      <c r="A48" s="260" t="s">
        <v>101</v>
      </c>
      <c r="B48" s="7" t="s">
        <v>129</v>
      </c>
      <c r="C48" s="889">
        <v>1606688</v>
      </c>
    </row>
    <row r="49" spans="1:4" ht="12" customHeight="1" x14ac:dyDescent="0.2">
      <c r="A49" s="260" t="s">
        <v>102</v>
      </c>
      <c r="B49" s="7" t="s">
        <v>160</v>
      </c>
      <c r="C49" s="662"/>
    </row>
    <row r="50" spans="1:4" ht="12" customHeight="1" thickBot="1" x14ac:dyDescent="0.25">
      <c r="A50" s="260" t="s">
        <v>136</v>
      </c>
      <c r="B50" s="7" t="s">
        <v>161</v>
      </c>
      <c r="C50" s="662"/>
    </row>
    <row r="51" spans="1:4" ht="12" customHeight="1" thickBot="1" x14ac:dyDescent="0.25">
      <c r="A51" s="95" t="s">
        <v>24</v>
      </c>
      <c r="B51" s="79" t="s">
        <v>370</v>
      </c>
      <c r="C51" s="549">
        <f>SUM(C52:C54)</f>
        <v>0</v>
      </c>
    </row>
    <row r="52" spans="1:4" s="269" customFormat="1" ht="12" customHeight="1" x14ac:dyDescent="0.2">
      <c r="A52" s="260" t="s">
        <v>105</v>
      </c>
      <c r="B52" s="8" t="s">
        <v>179</v>
      </c>
      <c r="C52" s="887"/>
    </row>
    <row r="53" spans="1:4" ht="12" customHeight="1" x14ac:dyDescent="0.2">
      <c r="A53" s="260" t="s">
        <v>106</v>
      </c>
      <c r="B53" s="7" t="s">
        <v>163</v>
      </c>
      <c r="C53" s="662"/>
    </row>
    <row r="54" spans="1:4" ht="12" customHeight="1" x14ac:dyDescent="0.2">
      <c r="A54" s="260" t="s">
        <v>107</v>
      </c>
      <c r="B54" s="7" t="s">
        <v>63</v>
      </c>
      <c r="C54" s="662"/>
    </row>
    <row r="55" spans="1:4" ht="12" customHeight="1" thickBot="1" x14ac:dyDescent="0.25">
      <c r="A55" s="260" t="s">
        <v>108</v>
      </c>
      <c r="B55" s="7" t="s">
        <v>555</v>
      </c>
      <c r="C55" s="662"/>
    </row>
    <row r="56" spans="1:4" ht="15" customHeight="1" thickBot="1" x14ac:dyDescent="0.25">
      <c r="A56" s="95" t="s">
        <v>25</v>
      </c>
      <c r="B56" s="79" t="s">
        <v>18</v>
      </c>
      <c r="C56" s="554"/>
    </row>
    <row r="57" spans="1:4" ht="13.5" thickBot="1" x14ac:dyDescent="0.25">
      <c r="A57" s="95" t="s">
        <v>26</v>
      </c>
      <c r="B57" s="130" t="s">
        <v>556</v>
      </c>
      <c r="C57" s="913">
        <f>+C45+C51+C56</f>
        <v>2412113</v>
      </c>
      <c r="D57" s="40"/>
    </row>
    <row r="58" spans="1:4" ht="15" customHeight="1" thickBot="1" x14ac:dyDescent="0.25">
      <c r="C58" s="560"/>
    </row>
    <row r="59" spans="1:4" ht="14.25" customHeight="1" thickBot="1" x14ac:dyDescent="0.25">
      <c r="A59" s="133" t="s">
        <v>548</v>
      </c>
      <c r="B59" s="134"/>
      <c r="C59" s="960"/>
    </row>
    <row r="60" spans="1:4" ht="13.5" thickBot="1" x14ac:dyDescent="0.25">
      <c r="A60" s="564"/>
      <c r="B60" s="565"/>
      <c r="C60" s="666"/>
    </row>
    <row r="61" spans="1:4" ht="13.5" thickBot="1" x14ac:dyDescent="0.25">
      <c r="A61" s="1021"/>
      <c r="B61" s="1022"/>
      <c r="C61" s="602"/>
      <c r="D61" s="505"/>
    </row>
    <row r="62" spans="1:4" ht="13.5" thickBot="1" x14ac:dyDescent="0.25">
      <c r="A62" s="1025"/>
      <c r="B62" s="1026"/>
      <c r="C62" s="602"/>
      <c r="D62" s="505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 8/2018.(IV.27.)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6" customHeight="1" x14ac:dyDescent="0.2">
      <c r="A2" s="222" t="s">
        <v>173</v>
      </c>
      <c r="B2" s="199" t="s">
        <v>566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353</v>
      </c>
      <c r="C3" s="544" t="s">
        <v>58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850595</v>
      </c>
    </row>
    <row r="9" spans="1:3" s="215" customFormat="1" ht="12" customHeight="1" x14ac:dyDescent="0.2">
      <c r="A9" s="259" t="s">
        <v>99</v>
      </c>
      <c r="B9" s="9" t="s">
        <v>229</v>
      </c>
      <c r="C9" s="550"/>
    </row>
    <row r="10" spans="1:3" s="215" customFormat="1" ht="12" customHeight="1" x14ac:dyDescent="0.2">
      <c r="A10" s="260" t="s">
        <v>100</v>
      </c>
      <c r="B10" s="7" t="s">
        <v>230</v>
      </c>
      <c r="C10" s="551"/>
    </row>
    <row r="11" spans="1:3" s="215" customFormat="1" ht="12" customHeight="1" x14ac:dyDescent="0.2">
      <c r="A11" s="260" t="s">
        <v>101</v>
      </c>
      <c r="B11" s="7" t="s">
        <v>231</v>
      </c>
      <c r="C11" s="551"/>
    </row>
    <row r="12" spans="1:3" s="215" customFormat="1" ht="12" customHeight="1" x14ac:dyDescent="0.2">
      <c r="A12" s="260" t="s">
        <v>102</v>
      </c>
      <c r="B12" s="7" t="s">
        <v>232</v>
      </c>
      <c r="C12" s="551"/>
    </row>
    <row r="13" spans="1:3" s="215" customFormat="1" ht="12" customHeight="1" x14ac:dyDescent="0.2">
      <c r="A13" s="260" t="s">
        <v>136</v>
      </c>
      <c r="B13" s="7" t="s">
        <v>233</v>
      </c>
      <c r="C13" s="551">
        <v>669760</v>
      </c>
    </row>
    <row r="14" spans="1:3" s="215" customFormat="1" ht="12" customHeight="1" x14ac:dyDescent="0.2">
      <c r="A14" s="260" t="s">
        <v>103</v>
      </c>
      <c r="B14" s="7" t="s">
        <v>354</v>
      </c>
      <c r="C14" s="551">
        <v>180835</v>
      </c>
    </row>
    <row r="15" spans="1:3" s="215" customFormat="1" ht="12" customHeight="1" x14ac:dyDescent="0.2">
      <c r="A15" s="260" t="s">
        <v>104</v>
      </c>
      <c r="B15" s="6" t="s">
        <v>355</v>
      </c>
      <c r="C15" s="551"/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850595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86755155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v>93639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86651516+10000</f>
        <v>86661516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912">
        <f>+C36+C37</f>
        <v>87605750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85974940</v>
      </c>
    </row>
    <row r="46" spans="1:3" ht="12" customHeight="1" x14ac:dyDescent="0.2">
      <c r="A46" s="260" t="s">
        <v>99</v>
      </c>
      <c r="B46" s="8" t="s">
        <v>53</v>
      </c>
      <c r="C46" s="555">
        <v>58944411</v>
      </c>
    </row>
    <row r="47" spans="1:3" ht="12" customHeight="1" x14ac:dyDescent="0.2">
      <c r="A47" s="260" t="s">
        <v>100</v>
      </c>
      <c r="B47" s="7" t="s">
        <v>159</v>
      </c>
      <c r="C47" s="662">
        <v>11728198</v>
      </c>
    </row>
    <row r="48" spans="1:3" ht="12" customHeight="1" x14ac:dyDescent="0.2">
      <c r="A48" s="260" t="s">
        <v>101</v>
      </c>
      <c r="B48" s="7" t="s">
        <v>129</v>
      </c>
      <c r="C48" s="889">
        <f>15292331+10000</f>
        <v>15302331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662"/>
    </row>
    <row r="51" spans="1:3" ht="12" customHeight="1" thickBot="1" x14ac:dyDescent="0.25">
      <c r="A51" s="95" t="s">
        <v>24</v>
      </c>
      <c r="B51" s="79" t="s">
        <v>370</v>
      </c>
      <c r="C51" s="549">
        <f>SUM(C52:C54)</f>
        <v>1630810</v>
      </c>
    </row>
    <row r="52" spans="1:3" s="269" customFormat="1" ht="12" customHeight="1" x14ac:dyDescent="0.2">
      <c r="A52" s="260" t="s">
        <v>105</v>
      </c>
      <c r="B52" s="8" t="s">
        <v>179</v>
      </c>
      <c r="C52" s="555">
        <v>1630810</v>
      </c>
    </row>
    <row r="53" spans="1:3" ht="12" customHeight="1" x14ac:dyDescent="0.2">
      <c r="A53" s="260" t="s">
        <v>106</v>
      </c>
      <c r="B53" s="7" t="s">
        <v>163</v>
      </c>
      <c r="C53" s="662"/>
    </row>
    <row r="54" spans="1:3" ht="12" customHeight="1" x14ac:dyDescent="0.2">
      <c r="A54" s="260" t="s">
        <v>107</v>
      </c>
      <c r="B54" s="7" t="s">
        <v>63</v>
      </c>
      <c r="C54" s="662"/>
    </row>
    <row r="55" spans="1:3" ht="12" customHeight="1" thickBot="1" x14ac:dyDescent="0.25">
      <c r="A55" s="260" t="s">
        <v>108</v>
      </c>
      <c r="B55" s="7" t="s">
        <v>555</v>
      </c>
      <c r="C55" s="662"/>
    </row>
    <row r="56" spans="1:3" ht="15" customHeight="1" thickBot="1" x14ac:dyDescent="0.25">
      <c r="A56" s="95" t="s">
        <v>25</v>
      </c>
      <c r="B56" s="79" t="s">
        <v>18</v>
      </c>
      <c r="C56" s="554"/>
    </row>
    <row r="57" spans="1:3" ht="13.5" thickBot="1" x14ac:dyDescent="0.25">
      <c r="A57" s="95" t="s">
        <v>26</v>
      </c>
      <c r="B57" s="130" t="s">
        <v>556</v>
      </c>
      <c r="C57" s="913">
        <f>+C45+C51+C56</f>
        <v>87605750</v>
      </c>
    </row>
    <row r="58" spans="1:3" ht="15" customHeight="1" thickBot="1" x14ac:dyDescent="0.25">
      <c r="C58" s="560"/>
    </row>
    <row r="59" spans="1:3" ht="14.25" customHeight="1" thickBot="1" x14ac:dyDescent="0.25">
      <c r="A59" s="133" t="s">
        <v>548</v>
      </c>
      <c r="B59" s="134"/>
      <c r="C59" s="666">
        <v>21</v>
      </c>
    </row>
    <row r="60" spans="1:3" ht="13.5" thickBot="1" x14ac:dyDescent="0.25">
      <c r="A60" s="133" t="s">
        <v>175</v>
      </c>
      <c r="B60" s="134"/>
      <c r="C60" s="6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&amp;R26. melléklet az  8/2018.(IV.27.)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8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3" width="25" style="562" customWidth="1"/>
    <col min="4" max="256" width="9.33203125" style="132"/>
    <col min="257" max="257" width="13.83203125" style="132" customWidth="1"/>
    <col min="258" max="258" width="79.1640625" style="132" customWidth="1"/>
    <col min="259" max="259" width="25" style="132" customWidth="1"/>
    <col min="260" max="512" width="9.33203125" style="132"/>
    <col min="513" max="513" width="13.83203125" style="132" customWidth="1"/>
    <col min="514" max="514" width="79.1640625" style="132" customWidth="1"/>
    <col min="515" max="515" width="25" style="132" customWidth="1"/>
    <col min="516" max="768" width="9.33203125" style="132"/>
    <col min="769" max="769" width="13.83203125" style="132" customWidth="1"/>
    <col min="770" max="770" width="79.1640625" style="132" customWidth="1"/>
    <col min="771" max="771" width="25" style="132" customWidth="1"/>
    <col min="772" max="1024" width="9.33203125" style="132"/>
    <col min="1025" max="1025" width="13.83203125" style="132" customWidth="1"/>
    <col min="1026" max="1026" width="79.1640625" style="132" customWidth="1"/>
    <col min="1027" max="1027" width="25" style="132" customWidth="1"/>
    <col min="1028" max="1280" width="9.33203125" style="132"/>
    <col min="1281" max="1281" width="13.83203125" style="132" customWidth="1"/>
    <col min="1282" max="1282" width="79.1640625" style="132" customWidth="1"/>
    <col min="1283" max="1283" width="25" style="132" customWidth="1"/>
    <col min="1284" max="1536" width="9.33203125" style="132"/>
    <col min="1537" max="1537" width="13.83203125" style="132" customWidth="1"/>
    <col min="1538" max="1538" width="79.1640625" style="132" customWidth="1"/>
    <col min="1539" max="1539" width="25" style="132" customWidth="1"/>
    <col min="1540" max="1792" width="9.33203125" style="132"/>
    <col min="1793" max="1793" width="13.83203125" style="132" customWidth="1"/>
    <col min="1794" max="1794" width="79.1640625" style="132" customWidth="1"/>
    <col min="1795" max="1795" width="25" style="132" customWidth="1"/>
    <col min="1796" max="2048" width="9.33203125" style="132"/>
    <col min="2049" max="2049" width="13.83203125" style="132" customWidth="1"/>
    <col min="2050" max="2050" width="79.1640625" style="132" customWidth="1"/>
    <col min="2051" max="2051" width="25" style="132" customWidth="1"/>
    <col min="2052" max="2304" width="9.33203125" style="132"/>
    <col min="2305" max="2305" width="13.83203125" style="132" customWidth="1"/>
    <col min="2306" max="2306" width="79.1640625" style="132" customWidth="1"/>
    <col min="2307" max="2307" width="25" style="132" customWidth="1"/>
    <col min="2308" max="2560" width="9.33203125" style="132"/>
    <col min="2561" max="2561" width="13.83203125" style="132" customWidth="1"/>
    <col min="2562" max="2562" width="79.1640625" style="132" customWidth="1"/>
    <col min="2563" max="2563" width="25" style="132" customWidth="1"/>
    <col min="2564" max="2816" width="9.33203125" style="132"/>
    <col min="2817" max="2817" width="13.83203125" style="132" customWidth="1"/>
    <col min="2818" max="2818" width="79.1640625" style="132" customWidth="1"/>
    <col min="2819" max="2819" width="25" style="132" customWidth="1"/>
    <col min="2820" max="3072" width="9.33203125" style="132"/>
    <col min="3073" max="3073" width="13.83203125" style="132" customWidth="1"/>
    <col min="3074" max="3074" width="79.1640625" style="132" customWidth="1"/>
    <col min="3075" max="3075" width="25" style="132" customWidth="1"/>
    <col min="3076" max="3328" width="9.33203125" style="132"/>
    <col min="3329" max="3329" width="13.83203125" style="132" customWidth="1"/>
    <col min="3330" max="3330" width="79.1640625" style="132" customWidth="1"/>
    <col min="3331" max="3331" width="25" style="132" customWidth="1"/>
    <col min="3332" max="3584" width="9.33203125" style="132"/>
    <col min="3585" max="3585" width="13.83203125" style="132" customWidth="1"/>
    <col min="3586" max="3586" width="79.1640625" style="132" customWidth="1"/>
    <col min="3587" max="3587" width="25" style="132" customWidth="1"/>
    <col min="3588" max="3840" width="9.33203125" style="132"/>
    <col min="3841" max="3841" width="13.83203125" style="132" customWidth="1"/>
    <col min="3842" max="3842" width="79.1640625" style="132" customWidth="1"/>
    <col min="3843" max="3843" width="25" style="132" customWidth="1"/>
    <col min="3844" max="4096" width="9.33203125" style="132"/>
    <col min="4097" max="4097" width="13.83203125" style="132" customWidth="1"/>
    <col min="4098" max="4098" width="79.1640625" style="132" customWidth="1"/>
    <col min="4099" max="4099" width="25" style="132" customWidth="1"/>
    <col min="4100" max="4352" width="9.33203125" style="132"/>
    <col min="4353" max="4353" width="13.83203125" style="132" customWidth="1"/>
    <col min="4354" max="4354" width="79.1640625" style="132" customWidth="1"/>
    <col min="4355" max="4355" width="25" style="132" customWidth="1"/>
    <col min="4356" max="4608" width="9.33203125" style="132"/>
    <col min="4609" max="4609" width="13.83203125" style="132" customWidth="1"/>
    <col min="4610" max="4610" width="79.1640625" style="132" customWidth="1"/>
    <col min="4611" max="4611" width="25" style="132" customWidth="1"/>
    <col min="4612" max="4864" width="9.33203125" style="132"/>
    <col min="4865" max="4865" width="13.83203125" style="132" customWidth="1"/>
    <col min="4866" max="4866" width="79.1640625" style="132" customWidth="1"/>
    <col min="4867" max="4867" width="25" style="132" customWidth="1"/>
    <col min="4868" max="5120" width="9.33203125" style="132"/>
    <col min="5121" max="5121" width="13.83203125" style="132" customWidth="1"/>
    <col min="5122" max="5122" width="79.1640625" style="132" customWidth="1"/>
    <col min="5123" max="5123" width="25" style="132" customWidth="1"/>
    <col min="5124" max="5376" width="9.33203125" style="132"/>
    <col min="5377" max="5377" width="13.83203125" style="132" customWidth="1"/>
    <col min="5378" max="5378" width="79.1640625" style="132" customWidth="1"/>
    <col min="5379" max="5379" width="25" style="132" customWidth="1"/>
    <col min="5380" max="5632" width="9.33203125" style="132"/>
    <col min="5633" max="5633" width="13.83203125" style="132" customWidth="1"/>
    <col min="5634" max="5634" width="79.1640625" style="132" customWidth="1"/>
    <col min="5635" max="5635" width="25" style="132" customWidth="1"/>
    <col min="5636" max="5888" width="9.33203125" style="132"/>
    <col min="5889" max="5889" width="13.83203125" style="132" customWidth="1"/>
    <col min="5890" max="5890" width="79.1640625" style="132" customWidth="1"/>
    <col min="5891" max="5891" width="25" style="132" customWidth="1"/>
    <col min="5892" max="6144" width="9.33203125" style="132"/>
    <col min="6145" max="6145" width="13.83203125" style="132" customWidth="1"/>
    <col min="6146" max="6146" width="79.1640625" style="132" customWidth="1"/>
    <col min="6147" max="6147" width="25" style="132" customWidth="1"/>
    <col min="6148" max="6400" width="9.33203125" style="132"/>
    <col min="6401" max="6401" width="13.83203125" style="132" customWidth="1"/>
    <col min="6402" max="6402" width="79.1640625" style="132" customWidth="1"/>
    <col min="6403" max="6403" width="25" style="132" customWidth="1"/>
    <col min="6404" max="6656" width="9.33203125" style="132"/>
    <col min="6657" max="6657" width="13.83203125" style="132" customWidth="1"/>
    <col min="6658" max="6658" width="79.1640625" style="132" customWidth="1"/>
    <col min="6659" max="6659" width="25" style="132" customWidth="1"/>
    <col min="6660" max="6912" width="9.33203125" style="132"/>
    <col min="6913" max="6913" width="13.83203125" style="132" customWidth="1"/>
    <col min="6914" max="6914" width="79.1640625" style="132" customWidth="1"/>
    <col min="6915" max="6915" width="25" style="132" customWidth="1"/>
    <col min="6916" max="7168" width="9.33203125" style="132"/>
    <col min="7169" max="7169" width="13.83203125" style="132" customWidth="1"/>
    <col min="7170" max="7170" width="79.1640625" style="132" customWidth="1"/>
    <col min="7171" max="7171" width="25" style="132" customWidth="1"/>
    <col min="7172" max="7424" width="9.33203125" style="132"/>
    <col min="7425" max="7425" width="13.83203125" style="132" customWidth="1"/>
    <col min="7426" max="7426" width="79.1640625" style="132" customWidth="1"/>
    <col min="7427" max="7427" width="25" style="132" customWidth="1"/>
    <col min="7428" max="7680" width="9.33203125" style="132"/>
    <col min="7681" max="7681" width="13.83203125" style="132" customWidth="1"/>
    <col min="7682" max="7682" width="79.1640625" style="132" customWidth="1"/>
    <col min="7683" max="7683" width="25" style="132" customWidth="1"/>
    <col min="7684" max="7936" width="9.33203125" style="132"/>
    <col min="7937" max="7937" width="13.83203125" style="132" customWidth="1"/>
    <col min="7938" max="7938" width="79.1640625" style="132" customWidth="1"/>
    <col min="7939" max="7939" width="25" style="132" customWidth="1"/>
    <col min="7940" max="8192" width="9.33203125" style="132"/>
    <col min="8193" max="8193" width="13.83203125" style="132" customWidth="1"/>
    <col min="8194" max="8194" width="79.1640625" style="132" customWidth="1"/>
    <col min="8195" max="8195" width="25" style="132" customWidth="1"/>
    <col min="8196" max="8448" width="9.33203125" style="132"/>
    <col min="8449" max="8449" width="13.83203125" style="132" customWidth="1"/>
    <col min="8450" max="8450" width="79.1640625" style="132" customWidth="1"/>
    <col min="8451" max="8451" width="25" style="132" customWidth="1"/>
    <col min="8452" max="8704" width="9.33203125" style="132"/>
    <col min="8705" max="8705" width="13.83203125" style="132" customWidth="1"/>
    <col min="8706" max="8706" width="79.1640625" style="132" customWidth="1"/>
    <col min="8707" max="8707" width="25" style="132" customWidth="1"/>
    <col min="8708" max="8960" width="9.33203125" style="132"/>
    <col min="8961" max="8961" width="13.83203125" style="132" customWidth="1"/>
    <col min="8962" max="8962" width="79.1640625" style="132" customWidth="1"/>
    <col min="8963" max="8963" width="25" style="132" customWidth="1"/>
    <col min="8964" max="9216" width="9.33203125" style="132"/>
    <col min="9217" max="9217" width="13.83203125" style="132" customWidth="1"/>
    <col min="9218" max="9218" width="79.1640625" style="132" customWidth="1"/>
    <col min="9219" max="9219" width="25" style="132" customWidth="1"/>
    <col min="9220" max="9472" width="9.33203125" style="132"/>
    <col min="9473" max="9473" width="13.83203125" style="132" customWidth="1"/>
    <col min="9474" max="9474" width="79.1640625" style="132" customWidth="1"/>
    <col min="9475" max="9475" width="25" style="132" customWidth="1"/>
    <col min="9476" max="9728" width="9.33203125" style="132"/>
    <col min="9729" max="9729" width="13.83203125" style="132" customWidth="1"/>
    <col min="9730" max="9730" width="79.1640625" style="132" customWidth="1"/>
    <col min="9731" max="9731" width="25" style="132" customWidth="1"/>
    <col min="9732" max="9984" width="9.33203125" style="132"/>
    <col min="9985" max="9985" width="13.83203125" style="132" customWidth="1"/>
    <col min="9986" max="9986" width="79.1640625" style="132" customWidth="1"/>
    <col min="9987" max="9987" width="25" style="132" customWidth="1"/>
    <col min="9988" max="10240" width="9.33203125" style="132"/>
    <col min="10241" max="10241" width="13.83203125" style="132" customWidth="1"/>
    <col min="10242" max="10242" width="79.1640625" style="132" customWidth="1"/>
    <col min="10243" max="10243" width="25" style="132" customWidth="1"/>
    <col min="10244" max="10496" width="9.33203125" style="132"/>
    <col min="10497" max="10497" width="13.83203125" style="132" customWidth="1"/>
    <col min="10498" max="10498" width="79.1640625" style="132" customWidth="1"/>
    <col min="10499" max="10499" width="25" style="132" customWidth="1"/>
    <col min="10500" max="10752" width="9.33203125" style="132"/>
    <col min="10753" max="10753" width="13.83203125" style="132" customWidth="1"/>
    <col min="10754" max="10754" width="79.1640625" style="132" customWidth="1"/>
    <col min="10755" max="10755" width="25" style="132" customWidth="1"/>
    <col min="10756" max="11008" width="9.33203125" style="132"/>
    <col min="11009" max="11009" width="13.83203125" style="132" customWidth="1"/>
    <col min="11010" max="11010" width="79.1640625" style="132" customWidth="1"/>
    <col min="11011" max="11011" width="25" style="132" customWidth="1"/>
    <col min="11012" max="11264" width="9.33203125" style="132"/>
    <col min="11265" max="11265" width="13.83203125" style="132" customWidth="1"/>
    <col min="11266" max="11266" width="79.1640625" style="132" customWidth="1"/>
    <col min="11267" max="11267" width="25" style="132" customWidth="1"/>
    <col min="11268" max="11520" width="9.33203125" style="132"/>
    <col min="11521" max="11521" width="13.83203125" style="132" customWidth="1"/>
    <col min="11522" max="11522" width="79.1640625" style="132" customWidth="1"/>
    <col min="11523" max="11523" width="25" style="132" customWidth="1"/>
    <col min="11524" max="11776" width="9.33203125" style="132"/>
    <col min="11777" max="11777" width="13.83203125" style="132" customWidth="1"/>
    <col min="11778" max="11778" width="79.1640625" style="132" customWidth="1"/>
    <col min="11779" max="11779" width="25" style="132" customWidth="1"/>
    <col min="11780" max="12032" width="9.33203125" style="132"/>
    <col min="12033" max="12033" width="13.83203125" style="132" customWidth="1"/>
    <col min="12034" max="12034" width="79.1640625" style="132" customWidth="1"/>
    <col min="12035" max="12035" width="25" style="132" customWidth="1"/>
    <col min="12036" max="12288" width="9.33203125" style="132"/>
    <col min="12289" max="12289" width="13.83203125" style="132" customWidth="1"/>
    <col min="12290" max="12290" width="79.1640625" style="132" customWidth="1"/>
    <col min="12291" max="12291" width="25" style="132" customWidth="1"/>
    <col min="12292" max="12544" width="9.33203125" style="132"/>
    <col min="12545" max="12545" width="13.83203125" style="132" customWidth="1"/>
    <col min="12546" max="12546" width="79.1640625" style="132" customWidth="1"/>
    <col min="12547" max="12547" width="25" style="132" customWidth="1"/>
    <col min="12548" max="12800" width="9.33203125" style="132"/>
    <col min="12801" max="12801" width="13.83203125" style="132" customWidth="1"/>
    <col min="12802" max="12802" width="79.1640625" style="132" customWidth="1"/>
    <col min="12803" max="12803" width="25" style="132" customWidth="1"/>
    <col min="12804" max="13056" width="9.33203125" style="132"/>
    <col min="13057" max="13057" width="13.83203125" style="132" customWidth="1"/>
    <col min="13058" max="13058" width="79.1640625" style="132" customWidth="1"/>
    <col min="13059" max="13059" width="25" style="132" customWidth="1"/>
    <col min="13060" max="13312" width="9.33203125" style="132"/>
    <col min="13313" max="13313" width="13.83203125" style="132" customWidth="1"/>
    <col min="13314" max="13314" width="79.1640625" style="132" customWidth="1"/>
    <col min="13315" max="13315" width="25" style="132" customWidth="1"/>
    <col min="13316" max="13568" width="9.33203125" style="132"/>
    <col min="13569" max="13569" width="13.83203125" style="132" customWidth="1"/>
    <col min="13570" max="13570" width="79.1640625" style="132" customWidth="1"/>
    <col min="13571" max="13571" width="25" style="132" customWidth="1"/>
    <col min="13572" max="13824" width="9.33203125" style="132"/>
    <col min="13825" max="13825" width="13.83203125" style="132" customWidth="1"/>
    <col min="13826" max="13826" width="79.1640625" style="132" customWidth="1"/>
    <col min="13827" max="13827" width="25" style="132" customWidth="1"/>
    <col min="13828" max="14080" width="9.33203125" style="132"/>
    <col min="14081" max="14081" width="13.83203125" style="132" customWidth="1"/>
    <col min="14082" max="14082" width="79.1640625" style="132" customWidth="1"/>
    <col min="14083" max="14083" width="25" style="132" customWidth="1"/>
    <col min="14084" max="14336" width="9.33203125" style="132"/>
    <col min="14337" max="14337" width="13.83203125" style="132" customWidth="1"/>
    <col min="14338" max="14338" width="79.1640625" style="132" customWidth="1"/>
    <col min="14339" max="14339" width="25" style="132" customWidth="1"/>
    <col min="14340" max="14592" width="9.33203125" style="132"/>
    <col min="14593" max="14593" width="13.83203125" style="132" customWidth="1"/>
    <col min="14594" max="14594" width="79.1640625" style="132" customWidth="1"/>
    <col min="14595" max="14595" width="25" style="132" customWidth="1"/>
    <col min="14596" max="14848" width="9.33203125" style="132"/>
    <col min="14849" max="14849" width="13.83203125" style="132" customWidth="1"/>
    <col min="14850" max="14850" width="79.1640625" style="132" customWidth="1"/>
    <col min="14851" max="14851" width="25" style="132" customWidth="1"/>
    <col min="14852" max="15104" width="9.33203125" style="132"/>
    <col min="15105" max="15105" width="13.83203125" style="132" customWidth="1"/>
    <col min="15106" max="15106" width="79.1640625" style="132" customWidth="1"/>
    <col min="15107" max="15107" width="25" style="132" customWidth="1"/>
    <col min="15108" max="15360" width="9.33203125" style="132"/>
    <col min="15361" max="15361" width="13.83203125" style="132" customWidth="1"/>
    <col min="15362" max="15362" width="79.1640625" style="132" customWidth="1"/>
    <col min="15363" max="15363" width="25" style="132" customWidth="1"/>
    <col min="15364" max="15616" width="9.33203125" style="132"/>
    <col min="15617" max="15617" width="13.83203125" style="132" customWidth="1"/>
    <col min="15618" max="15618" width="79.1640625" style="132" customWidth="1"/>
    <col min="15619" max="15619" width="25" style="132" customWidth="1"/>
    <col min="15620" max="15872" width="9.33203125" style="132"/>
    <col min="15873" max="15873" width="13.83203125" style="132" customWidth="1"/>
    <col min="15874" max="15874" width="79.1640625" style="132" customWidth="1"/>
    <col min="15875" max="15875" width="25" style="132" customWidth="1"/>
    <col min="15876" max="16128" width="9.33203125" style="132"/>
    <col min="16129" max="16129" width="13.83203125" style="132" customWidth="1"/>
    <col min="16130" max="16130" width="79.1640625" style="132" customWidth="1"/>
    <col min="16131" max="16131" width="25" style="132" customWidth="1"/>
    <col min="16132" max="16384" width="9.33203125" style="132"/>
  </cols>
  <sheetData>
    <row r="1" spans="1:3" s="111" customFormat="1" ht="21" customHeight="1" thickBot="1" x14ac:dyDescent="0.25">
      <c r="A1" s="110"/>
      <c r="B1" s="112"/>
      <c r="C1" s="542"/>
    </row>
    <row r="2" spans="1:3" s="265" customFormat="1" ht="36" customHeight="1" x14ac:dyDescent="0.2">
      <c r="A2" s="222" t="s">
        <v>173</v>
      </c>
      <c r="B2" s="199" t="s">
        <v>566</v>
      </c>
      <c r="C2" s="543" t="s">
        <v>66</v>
      </c>
    </row>
    <row r="3" spans="1:3" s="265" customFormat="1" ht="24.75" thickBot="1" x14ac:dyDescent="0.25">
      <c r="A3" s="258" t="s">
        <v>172</v>
      </c>
      <c r="B3" s="200" t="s">
        <v>371</v>
      </c>
      <c r="C3" s="544" t="s">
        <v>65</v>
      </c>
    </row>
    <row r="4" spans="1:3" s="266" customFormat="1" ht="15.95" customHeight="1" thickBot="1" x14ac:dyDescent="0.3">
      <c r="A4" s="114"/>
      <c r="B4" s="114"/>
      <c r="C4" s="545" t="s">
        <v>597</v>
      </c>
    </row>
    <row r="5" spans="1:3" ht="13.5" thickBot="1" x14ac:dyDescent="0.25">
      <c r="A5" s="223" t="s">
        <v>174</v>
      </c>
      <c r="B5" s="116" t="s">
        <v>59</v>
      </c>
      <c r="C5" s="546" t="s">
        <v>60</v>
      </c>
    </row>
    <row r="6" spans="1:3" s="267" customFormat="1" ht="12.95" customHeight="1" thickBot="1" x14ac:dyDescent="0.25">
      <c r="A6" s="92" t="s">
        <v>469</v>
      </c>
      <c r="B6" s="93" t="s">
        <v>470</v>
      </c>
      <c r="C6" s="547" t="s">
        <v>471</v>
      </c>
    </row>
    <row r="7" spans="1:3" s="267" customFormat="1" ht="15.95" customHeight="1" thickBot="1" x14ac:dyDescent="0.25">
      <c r="A7" s="118"/>
      <c r="B7" s="119" t="s">
        <v>61</v>
      </c>
      <c r="C7" s="548"/>
    </row>
    <row r="8" spans="1:3" s="215" customFormat="1" ht="12" customHeight="1" thickBot="1" x14ac:dyDescent="0.25">
      <c r="A8" s="92" t="s">
        <v>23</v>
      </c>
      <c r="B8" s="121" t="s">
        <v>551</v>
      </c>
      <c r="C8" s="549">
        <f>SUM(C9:C19)</f>
        <v>850595</v>
      </c>
    </row>
    <row r="9" spans="1:3" s="215" customFormat="1" ht="12" customHeight="1" x14ac:dyDescent="0.2">
      <c r="A9" s="259" t="s">
        <v>99</v>
      </c>
      <c r="B9" s="9" t="s">
        <v>229</v>
      </c>
      <c r="C9" s="550"/>
    </row>
    <row r="10" spans="1:3" s="215" customFormat="1" ht="12" customHeight="1" x14ac:dyDescent="0.2">
      <c r="A10" s="260" t="s">
        <v>100</v>
      </c>
      <c r="B10" s="7" t="s">
        <v>230</v>
      </c>
      <c r="C10" s="551"/>
    </row>
    <row r="11" spans="1:3" s="215" customFormat="1" ht="12" customHeight="1" x14ac:dyDescent="0.2">
      <c r="A11" s="260" t="s">
        <v>101</v>
      </c>
      <c r="B11" s="7" t="s">
        <v>231</v>
      </c>
      <c r="C11" s="551"/>
    </row>
    <row r="12" spans="1:3" s="215" customFormat="1" ht="12" customHeight="1" x14ac:dyDescent="0.2">
      <c r="A12" s="260" t="s">
        <v>102</v>
      </c>
      <c r="B12" s="7" t="s">
        <v>232</v>
      </c>
      <c r="C12" s="551"/>
    </row>
    <row r="13" spans="1:3" s="215" customFormat="1" ht="12" customHeight="1" x14ac:dyDescent="0.2">
      <c r="A13" s="260" t="s">
        <v>136</v>
      </c>
      <c r="B13" s="7" t="s">
        <v>233</v>
      </c>
      <c r="C13" s="551">
        <v>669760</v>
      </c>
    </row>
    <row r="14" spans="1:3" s="215" customFormat="1" ht="12" customHeight="1" x14ac:dyDescent="0.2">
      <c r="A14" s="260" t="s">
        <v>103</v>
      </c>
      <c r="B14" s="7" t="s">
        <v>354</v>
      </c>
      <c r="C14" s="551">
        <v>180835</v>
      </c>
    </row>
    <row r="15" spans="1:3" s="215" customFormat="1" ht="12" customHeight="1" x14ac:dyDescent="0.2">
      <c r="A15" s="260" t="s">
        <v>104</v>
      </c>
      <c r="B15" s="6" t="s">
        <v>355</v>
      </c>
      <c r="C15" s="551"/>
    </row>
    <row r="16" spans="1:3" s="215" customFormat="1" ht="12" customHeight="1" x14ac:dyDescent="0.2">
      <c r="A16" s="260" t="s">
        <v>114</v>
      </c>
      <c r="B16" s="7" t="s">
        <v>236</v>
      </c>
      <c r="C16" s="552"/>
    </row>
    <row r="17" spans="1:3" s="268" customFormat="1" ht="12" customHeight="1" x14ac:dyDescent="0.2">
      <c r="A17" s="260" t="s">
        <v>115</v>
      </c>
      <c r="B17" s="7" t="s">
        <v>237</v>
      </c>
      <c r="C17" s="551"/>
    </row>
    <row r="18" spans="1:3" s="268" customFormat="1" ht="12" customHeight="1" x14ac:dyDescent="0.2">
      <c r="A18" s="260" t="s">
        <v>116</v>
      </c>
      <c r="B18" s="7" t="s">
        <v>478</v>
      </c>
      <c r="C18" s="553"/>
    </row>
    <row r="19" spans="1:3" s="268" customFormat="1" ht="12" customHeight="1" thickBot="1" x14ac:dyDescent="0.25">
      <c r="A19" s="260" t="s">
        <v>117</v>
      </c>
      <c r="B19" s="6" t="s">
        <v>238</v>
      </c>
      <c r="C19" s="553"/>
    </row>
    <row r="20" spans="1:3" s="215" customFormat="1" ht="12" customHeight="1" thickBot="1" x14ac:dyDescent="0.25">
      <c r="A20" s="92" t="s">
        <v>24</v>
      </c>
      <c r="B20" s="121" t="s">
        <v>356</v>
      </c>
      <c r="C20" s="549">
        <f>SUM(C21:C23)</f>
        <v>0</v>
      </c>
    </row>
    <row r="21" spans="1:3" s="268" customFormat="1" ht="12" customHeight="1" x14ac:dyDescent="0.2">
      <c r="A21" s="260" t="s">
        <v>105</v>
      </c>
      <c r="B21" s="8" t="s">
        <v>206</v>
      </c>
      <c r="C21" s="551"/>
    </row>
    <row r="22" spans="1:3" s="268" customFormat="1" ht="12" customHeight="1" x14ac:dyDescent="0.2">
      <c r="A22" s="260" t="s">
        <v>106</v>
      </c>
      <c r="B22" s="7" t="s">
        <v>357</v>
      </c>
      <c r="C22" s="551"/>
    </row>
    <row r="23" spans="1:3" s="268" customFormat="1" ht="12" customHeight="1" x14ac:dyDescent="0.2">
      <c r="A23" s="260" t="s">
        <v>107</v>
      </c>
      <c r="B23" s="7" t="s">
        <v>358</v>
      </c>
      <c r="C23" s="551"/>
    </row>
    <row r="24" spans="1:3" s="268" customFormat="1" ht="12" customHeight="1" thickBot="1" x14ac:dyDescent="0.25">
      <c r="A24" s="260" t="s">
        <v>108</v>
      </c>
      <c r="B24" s="7" t="s">
        <v>561</v>
      </c>
      <c r="C24" s="551"/>
    </row>
    <row r="25" spans="1:3" s="268" customFormat="1" ht="12" customHeight="1" thickBot="1" x14ac:dyDescent="0.25">
      <c r="A25" s="95" t="s">
        <v>25</v>
      </c>
      <c r="B25" s="79" t="s">
        <v>150</v>
      </c>
      <c r="C25" s="554"/>
    </row>
    <row r="26" spans="1:3" s="268" customFormat="1" ht="12" customHeight="1" thickBot="1" x14ac:dyDescent="0.25">
      <c r="A26" s="95" t="s">
        <v>26</v>
      </c>
      <c r="B26" s="79" t="s">
        <v>562</v>
      </c>
      <c r="C26" s="549">
        <f>+C27+C28</f>
        <v>0</v>
      </c>
    </row>
    <row r="27" spans="1:3" s="268" customFormat="1" ht="12" customHeight="1" x14ac:dyDescent="0.2">
      <c r="A27" s="261" t="s">
        <v>216</v>
      </c>
      <c r="B27" s="262" t="s">
        <v>357</v>
      </c>
      <c r="C27" s="555"/>
    </row>
    <row r="28" spans="1:3" s="268" customFormat="1" ht="12" customHeight="1" x14ac:dyDescent="0.2">
      <c r="A28" s="261" t="s">
        <v>219</v>
      </c>
      <c r="B28" s="263" t="s">
        <v>359</v>
      </c>
      <c r="C28" s="556"/>
    </row>
    <row r="29" spans="1:3" s="268" customFormat="1" ht="12" customHeight="1" thickBot="1" x14ac:dyDescent="0.25">
      <c r="A29" s="260" t="s">
        <v>220</v>
      </c>
      <c r="B29" s="82" t="s">
        <v>563</v>
      </c>
      <c r="C29" s="557"/>
    </row>
    <row r="30" spans="1:3" s="268" customFormat="1" ht="12" customHeight="1" thickBot="1" x14ac:dyDescent="0.25">
      <c r="A30" s="95" t="s">
        <v>27</v>
      </c>
      <c r="B30" s="79" t="s">
        <v>360</v>
      </c>
      <c r="C30" s="549">
        <f>+C31+C32+C33</f>
        <v>0</v>
      </c>
    </row>
    <row r="31" spans="1:3" s="268" customFormat="1" ht="12" customHeight="1" x14ac:dyDescent="0.2">
      <c r="A31" s="261" t="s">
        <v>92</v>
      </c>
      <c r="B31" s="262" t="s">
        <v>243</v>
      </c>
      <c r="C31" s="555"/>
    </row>
    <row r="32" spans="1:3" s="268" customFormat="1" ht="12" customHeight="1" x14ac:dyDescent="0.2">
      <c r="A32" s="261" t="s">
        <v>93</v>
      </c>
      <c r="B32" s="263" t="s">
        <v>244</v>
      </c>
      <c r="C32" s="556"/>
    </row>
    <row r="33" spans="1:3" s="268" customFormat="1" ht="12" customHeight="1" thickBot="1" x14ac:dyDescent="0.25">
      <c r="A33" s="260" t="s">
        <v>94</v>
      </c>
      <c r="B33" s="82" t="s">
        <v>245</v>
      </c>
      <c r="C33" s="557"/>
    </row>
    <row r="34" spans="1:3" s="215" customFormat="1" ht="12" customHeight="1" thickBot="1" x14ac:dyDescent="0.25">
      <c r="A34" s="95" t="s">
        <v>28</v>
      </c>
      <c r="B34" s="79" t="s">
        <v>331</v>
      </c>
      <c r="C34" s="554"/>
    </row>
    <row r="35" spans="1:3" s="215" customFormat="1" ht="12" customHeight="1" thickBot="1" x14ac:dyDescent="0.25">
      <c r="A35" s="95" t="s">
        <v>29</v>
      </c>
      <c r="B35" s="79" t="s">
        <v>361</v>
      </c>
      <c r="C35" s="558"/>
    </row>
    <row r="36" spans="1:3" s="215" customFormat="1" ht="12" customHeight="1" thickBot="1" x14ac:dyDescent="0.25">
      <c r="A36" s="92" t="s">
        <v>30</v>
      </c>
      <c r="B36" s="79" t="s">
        <v>564</v>
      </c>
      <c r="C36" s="559">
        <f>+C8+C20+C25+C26+C30+C34+C35</f>
        <v>850595</v>
      </c>
    </row>
    <row r="37" spans="1:3" s="215" customFormat="1" ht="12" customHeight="1" thickBot="1" x14ac:dyDescent="0.25">
      <c r="A37" s="122" t="s">
        <v>31</v>
      </c>
      <c r="B37" s="79" t="s">
        <v>363</v>
      </c>
      <c r="C37" s="912">
        <f>+C38+C39+C40</f>
        <v>86755155</v>
      </c>
    </row>
    <row r="38" spans="1:3" s="215" customFormat="1" ht="12" customHeight="1" x14ac:dyDescent="0.2">
      <c r="A38" s="261" t="s">
        <v>364</v>
      </c>
      <c r="B38" s="262" t="s">
        <v>188</v>
      </c>
      <c r="C38" s="555">
        <v>93639</v>
      </c>
    </row>
    <row r="39" spans="1:3" s="215" customFormat="1" ht="12" customHeight="1" x14ac:dyDescent="0.2">
      <c r="A39" s="261" t="s">
        <v>365</v>
      </c>
      <c r="B39" s="263" t="s">
        <v>14</v>
      </c>
      <c r="C39" s="556"/>
    </row>
    <row r="40" spans="1:3" s="268" customFormat="1" ht="12" customHeight="1" thickBot="1" x14ac:dyDescent="0.25">
      <c r="A40" s="260" t="s">
        <v>366</v>
      </c>
      <c r="B40" s="82" t="s">
        <v>367</v>
      </c>
      <c r="C40" s="911">
        <f>86651516+10000</f>
        <v>86661516</v>
      </c>
    </row>
    <row r="41" spans="1:3" s="268" customFormat="1" ht="15" customHeight="1" thickBot="1" x14ac:dyDescent="0.25">
      <c r="A41" s="122" t="s">
        <v>32</v>
      </c>
      <c r="B41" s="123" t="s">
        <v>368</v>
      </c>
      <c r="C41" s="559">
        <f>+C36+C37</f>
        <v>87605750</v>
      </c>
    </row>
    <row r="42" spans="1:3" s="268" customFormat="1" ht="15" customHeight="1" x14ac:dyDescent="0.2">
      <c r="A42" s="124"/>
      <c r="B42" s="125"/>
      <c r="C42" s="664"/>
    </row>
    <row r="43" spans="1:3" ht="13.5" thickBot="1" x14ac:dyDescent="0.25">
      <c r="A43" s="126"/>
      <c r="B43" s="127"/>
      <c r="C43" s="665"/>
    </row>
    <row r="44" spans="1:3" s="267" customFormat="1" ht="16.5" customHeight="1" thickBot="1" x14ac:dyDescent="0.25">
      <c r="A44" s="128"/>
      <c r="B44" s="129" t="s">
        <v>62</v>
      </c>
      <c r="C44" s="559"/>
    </row>
    <row r="45" spans="1:3" s="269" customFormat="1" ht="12" customHeight="1" thickBot="1" x14ac:dyDescent="0.25">
      <c r="A45" s="95" t="s">
        <v>23</v>
      </c>
      <c r="B45" s="79" t="s">
        <v>369</v>
      </c>
      <c r="C45" s="913">
        <f>SUM(C46:C50)</f>
        <v>85974940</v>
      </c>
    </row>
    <row r="46" spans="1:3" ht="12" customHeight="1" x14ac:dyDescent="0.2">
      <c r="A46" s="260" t="s">
        <v>99</v>
      </c>
      <c r="B46" s="8" t="s">
        <v>53</v>
      </c>
      <c r="C46" s="555">
        <v>58944411</v>
      </c>
    </row>
    <row r="47" spans="1:3" ht="12" customHeight="1" x14ac:dyDescent="0.2">
      <c r="A47" s="260" t="s">
        <v>100</v>
      </c>
      <c r="B47" s="7" t="s">
        <v>159</v>
      </c>
      <c r="C47" s="662">
        <v>11728198</v>
      </c>
    </row>
    <row r="48" spans="1:3" ht="12" customHeight="1" x14ac:dyDescent="0.2">
      <c r="A48" s="260" t="s">
        <v>101</v>
      </c>
      <c r="B48" s="7" t="s">
        <v>129</v>
      </c>
      <c r="C48" s="889">
        <f>15292331+10000</f>
        <v>15302331</v>
      </c>
    </row>
    <row r="49" spans="1:3" ht="12" customHeight="1" x14ac:dyDescent="0.2">
      <c r="A49" s="260" t="s">
        <v>102</v>
      </c>
      <c r="B49" s="7" t="s">
        <v>160</v>
      </c>
      <c r="C49" s="662"/>
    </row>
    <row r="50" spans="1:3" ht="12" customHeight="1" thickBot="1" x14ac:dyDescent="0.25">
      <c r="A50" s="260" t="s">
        <v>136</v>
      </c>
      <c r="B50" s="7" t="s">
        <v>161</v>
      </c>
      <c r="C50" s="662"/>
    </row>
    <row r="51" spans="1:3" ht="12" customHeight="1" thickBot="1" x14ac:dyDescent="0.25">
      <c r="A51" s="95" t="s">
        <v>24</v>
      </c>
      <c r="B51" s="79" t="s">
        <v>370</v>
      </c>
      <c r="C51" s="549">
        <f>SUM(C52:C54)</f>
        <v>1630810</v>
      </c>
    </row>
    <row r="52" spans="1:3" s="269" customFormat="1" ht="12" customHeight="1" x14ac:dyDescent="0.2">
      <c r="A52" s="260" t="s">
        <v>105</v>
      </c>
      <c r="B52" s="8" t="s">
        <v>179</v>
      </c>
      <c r="C52" s="555">
        <v>1630810</v>
      </c>
    </row>
    <row r="53" spans="1:3" ht="12" customHeight="1" x14ac:dyDescent="0.2">
      <c r="A53" s="260" t="s">
        <v>106</v>
      </c>
      <c r="B53" s="7" t="s">
        <v>163</v>
      </c>
      <c r="C53" s="662"/>
    </row>
    <row r="54" spans="1:3" ht="12" customHeight="1" x14ac:dyDescent="0.2">
      <c r="A54" s="260" t="s">
        <v>107</v>
      </c>
      <c r="B54" s="7" t="s">
        <v>63</v>
      </c>
      <c r="C54" s="662"/>
    </row>
    <row r="55" spans="1:3" ht="12" customHeight="1" thickBot="1" x14ac:dyDescent="0.25">
      <c r="A55" s="260" t="s">
        <v>108</v>
      </c>
      <c r="B55" s="7" t="s">
        <v>555</v>
      </c>
      <c r="C55" s="662"/>
    </row>
    <row r="56" spans="1:3" ht="15" customHeight="1" thickBot="1" x14ac:dyDescent="0.25">
      <c r="A56" s="95" t="s">
        <v>25</v>
      </c>
      <c r="B56" s="79" t="s">
        <v>18</v>
      </c>
      <c r="C56" s="554"/>
    </row>
    <row r="57" spans="1:3" ht="13.5" thickBot="1" x14ac:dyDescent="0.25">
      <c r="A57" s="95" t="s">
        <v>26</v>
      </c>
      <c r="B57" s="130" t="s">
        <v>556</v>
      </c>
      <c r="C57" s="913">
        <f>+C45+C51+C56</f>
        <v>87605750</v>
      </c>
    </row>
    <row r="58" spans="1:3" ht="15" customHeight="1" thickBot="1" x14ac:dyDescent="0.25">
      <c r="C58" s="560"/>
    </row>
    <row r="59" spans="1:3" ht="14.25" customHeight="1" thickBot="1" x14ac:dyDescent="0.25">
      <c r="A59" s="133" t="s">
        <v>548</v>
      </c>
      <c r="B59" s="134"/>
      <c r="C59" s="666">
        <v>21</v>
      </c>
    </row>
    <row r="60" spans="1:3" ht="13.5" thickBot="1" x14ac:dyDescent="0.25">
      <c r="A60" s="133" t="s">
        <v>175</v>
      </c>
      <c r="B60" s="134"/>
      <c r="C60" s="561"/>
    </row>
    <row r="61" spans="1:3" x14ac:dyDescent="0.2">
      <c r="C61" s="670"/>
    </row>
    <row r="62" spans="1:3" x14ac:dyDescent="0.2">
      <c r="C62" s="670"/>
    </row>
    <row r="63" spans="1:3" x14ac:dyDescent="0.2">
      <c r="C63" s="670"/>
    </row>
    <row r="64" spans="1:3" x14ac:dyDescent="0.2">
      <c r="C64" s="670"/>
    </row>
    <row r="65" spans="3:3" x14ac:dyDescent="0.2">
      <c r="C65" s="670"/>
    </row>
    <row r="66" spans="3:3" x14ac:dyDescent="0.2">
      <c r="C66" s="670"/>
    </row>
    <row r="67" spans="3:3" x14ac:dyDescent="0.2">
      <c r="C67" s="670"/>
    </row>
    <row r="68" spans="3:3" x14ac:dyDescent="0.2">
      <c r="C68" s="6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&amp;R27. melléklet az  8/2018.(IV.27.)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J91" sqref="J91"/>
    </sheetView>
  </sheetViews>
  <sheetFormatPr defaultColWidth="12.5" defaultRowHeight="12.75" x14ac:dyDescent="0.2"/>
  <cols>
    <col min="1" max="1" width="35.83203125" style="387" customWidth="1"/>
    <col min="2" max="2" width="12" style="387" customWidth="1"/>
    <col min="3" max="3" width="16" style="387" customWidth="1"/>
    <col min="4" max="4" width="15" style="965" customWidth="1"/>
    <col min="5" max="5" width="14" style="387" customWidth="1"/>
    <col min="6" max="6" width="13.6640625" style="387" customWidth="1"/>
    <col min="7" max="7" width="13.33203125" style="387" customWidth="1"/>
    <col min="8" max="9" width="12" style="387" customWidth="1"/>
    <col min="10" max="10" width="14.83203125" style="387" customWidth="1"/>
    <col min="11" max="11" width="12.6640625" style="387" bestFit="1" customWidth="1"/>
    <col min="12" max="256" width="12.5" style="387"/>
    <col min="257" max="257" width="34" style="387" bestFit="1" customWidth="1"/>
    <col min="258" max="258" width="13" style="387" bestFit="1" customWidth="1"/>
    <col min="259" max="260" width="14.83203125" style="387" bestFit="1" customWidth="1"/>
    <col min="261" max="261" width="13.1640625" style="387" customWidth="1"/>
    <col min="262" max="263" width="13" style="387" bestFit="1" customWidth="1"/>
    <col min="264" max="264" width="12.83203125" style="387" customWidth="1"/>
    <col min="265" max="265" width="11.83203125" style="387" bestFit="1" customWidth="1"/>
    <col min="266" max="266" width="14.83203125" style="387" bestFit="1" customWidth="1"/>
    <col min="267" max="512" width="12.5" style="387"/>
    <col min="513" max="513" width="34" style="387" bestFit="1" customWidth="1"/>
    <col min="514" max="514" width="13" style="387" bestFit="1" customWidth="1"/>
    <col min="515" max="516" width="14.83203125" style="387" bestFit="1" customWidth="1"/>
    <col min="517" max="517" width="13.1640625" style="387" customWidth="1"/>
    <col min="518" max="519" width="13" style="387" bestFit="1" customWidth="1"/>
    <col min="520" max="520" width="12.83203125" style="387" customWidth="1"/>
    <col min="521" max="521" width="11.83203125" style="387" bestFit="1" customWidth="1"/>
    <col min="522" max="522" width="14.83203125" style="387" bestFit="1" customWidth="1"/>
    <col min="523" max="768" width="12.5" style="387"/>
    <col min="769" max="769" width="34" style="387" bestFit="1" customWidth="1"/>
    <col min="770" max="770" width="13" style="387" bestFit="1" customWidth="1"/>
    <col min="771" max="772" width="14.83203125" style="387" bestFit="1" customWidth="1"/>
    <col min="773" max="773" width="13.1640625" style="387" customWidth="1"/>
    <col min="774" max="775" width="13" style="387" bestFit="1" customWidth="1"/>
    <col min="776" max="776" width="12.83203125" style="387" customWidth="1"/>
    <col min="777" max="777" width="11.83203125" style="387" bestFit="1" customWidth="1"/>
    <col min="778" max="778" width="14.83203125" style="387" bestFit="1" customWidth="1"/>
    <col min="779" max="1024" width="12.5" style="387"/>
    <col min="1025" max="1025" width="34" style="387" bestFit="1" customWidth="1"/>
    <col min="1026" max="1026" width="13" style="387" bestFit="1" customWidth="1"/>
    <col min="1027" max="1028" width="14.83203125" style="387" bestFit="1" customWidth="1"/>
    <col min="1029" max="1029" width="13.1640625" style="387" customWidth="1"/>
    <col min="1030" max="1031" width="13" style="387" bestFit="1" customWidth="1"/>
    <col min="1032" max="1032" width="12.83203125" style="387" customWidth="1"/>
    <col min="1033" max="1033" width="11.83203125" style="387" bestFit="1" customWidth="1"/>
    <col min="1034" max="1034" width="14.83203125" style="387" bestFit="1" customWidth="1"/>
    <col min="1035" max="1280" width="12.5" style="387"/>
    <col min="1281" max="1281" width="34" style="387" bestFit="1" customWidth="1"/>
    <col min="1282" max="1282" width="13" style="387" bestFit="1" customWidth="1"/>
    <col min="1283" max="1284" width="14.83203125" style="387" bestFit="1" customWidth="1"/>
    <col min="1285" max="1285" width="13.1640625" style="387" customWidth="1"/>
    <col min="1286" max="1287" width="13" style="387" bestFit="1" customWidth="1"/>
    <col min="1288" max="1288" width="12.83203125" style="387" customWidth="1"/>
    <col min="1289" max="1289" width="11.83203125" style="387" bestFit="1" customWidth="1"/>
    <col min="1290" max="1290" width="14.83203125" style="387" bestFit="1" customWidth="1"/>
    <col min="1291" max="1536" width="12.5" style="387"/>
    <col min="1537" max="1537" width="34" style="387" bestFit="1" customWidth="1"/>
    <col min="1538" max="1538" width="13" style="387" bestFit="1" customWidth="1"/>
    <col min="1539" max="1540" width="14.83203125" style="387" bestFit="1" customWidth="1"/>
    <col min="1541" max="1541" width="13.1640625" style="387" customWidth="1"/>
    <col min="1542" max="1543" width="13" style="387" bestFit="1" customWidth="1"/>
    <col min="1544" max="1544" width="12.83203125" style="387" customWidth="1"/>
    <col min="1545" max="1545" width="11.83203125" style="387" bestFit="1" customWidth="1"/>
    <col min="1546" max="1546" width="14.83203125" style="387" bestFit="1" customWidth="1"/>
    <col min="1547" max="1792" width="12.5" style="387"/>
    <col min="1793" max="1793" width="34" style="387" bestFit="1" customWidth="1"/>
    <col min="1794" max="1794" width="13" style="387" bestFit="1" customWidth="1"/>
    <col min="1795" max="1796" width="14.83203125" style="387" bestFit="1" customWidth="1"/>
    <col min="1797" max="1797" width="13.1640625" style="387" customWidth="1"/>
    <col min="1798" max="1799" width="13" style="387" bestFit="1" customWidth="1"/>
    <col min="1800" max="1800" width="12.83203125" style="387" customWidth="1"/>
    <col min="1801" max="1801" width="11.83203125" style="387" bestFit="1" customWidth="1"/>
    <col min="1802" max="1802" width="14.83203125" style="387" bestFit="1" customWidth="1"/>
    <col min="1803" max="2048" width="12.5" style="387"/>
    <col min="2049" max="2049" width="34" style="387" bestFit="1" customWidth="1"/>
    <col min="2050" max="2050" width="13" style="387" bestFit="1" customWidth="1"/>
    <col min="2051" max="2052" width="14.83203125" style="387" bestFit="1" customWidth="1"/>
    <col min="2053" max="2053" width="13.1640625" style="387" customWidth="1"/>
    <col min="2054" max="2055" width="13" style="387" bestFit="1" customWidth="1"/>
    <col min="2056" max="2056" width="12.83203125" style="387" customWidth="1"/>
    <col min="2057" max="2057" width="11.83203125" style="387" bestFit="1" customWidth="1"/>
    <col min="2058" max="2058" width="14.83203125" style="387" bestFit="1" customWidth="1"/>
    <col min="2059" max="2304" width="12.5" style="387"/>
    <col min="2305" max="2305" width="34" style="387" bestFit="1" customWidth="1"/>
    <col min="2306" max="2306" width="13" style="387" bestFit="1" customWidth="1"/>
    <col min="2307" max="2308" width="14.83203125" style="387" bestFit="1" customWidth="1"/>
    <col min="2309" max="2309" width="13.1640625" style="387" customWidth="1"/>
    <col min="2310" max="2311" width="13" style="387" bestFit="1" customWidth="1"/>
    <col min="2312" max="2312" width="12.83203125" style="387" customWidth="1"/>
    <col min="2313" max="2313" width="11.83203125" style="387" bestFit="1" customWidth="1"/>
    <col min="2314" max="2314" width="14.83203125" style="387" bestFit="1" customWidth="1"/>
    <col min="2315" max="2560" width="12.5" style="387"/>
    <col min="2561" max="2561" width="34" style="387" bestFit="1" customWidth="1"/>
    <col min="2562" max="2562" width="13" style="387" bestFit="1" customWidth="1"/>
    <col min="2563" max="2564" width="14.83203125" style="387" bestFit="1" customWidth="1"/>
    <col min="2565" max="2565" width="13.1640625" style="387" customWidth="1"/>
    <col min="2566" max="2567" width="13" style="387" bestFit="1" customWidth="1"/>
    <col min="2568" max="2568" width="12.83203125" style="387" customWidth="1"/>
    <col min="2569" max="2569" width="11.83203125" style="387" bestFit="1" customWidth="1"/>
    <col min="2570" max="2570" width="14.83203125" style="387" bestFit="1" customWidth="1"/>
    <col min="2571" max="2816" width="12.5" style="387"/>
    <col min="2817" max="2817" width="34" style="387" bestFit="1" customWidth="1"/>
    <col min="2818" max="2818" width="13" style="387" bestFit="1" customWidth="1"/>
    <col min="2819" max="2820" width="14.83203125" style="387" bestFit="1" customWidth="1"/>
    <col min="2821" max="2821" width="13.1640625" style="387" customWidth="1"/>
    <col min="2822" max="2823" width="13" style="387" bestFit="1" customWidth="1"/>
    <col min="2824" max="2824" width="12.83203125" style="387" customWidth="1"/>
    <col min="2825" max="2825" width="11.83203125" style="387" bestFit="1" customWidth="1"/>
    <col min="2826" max="2826" width="14.83203125" style="387" bestFit="1" customWidth="1"/>
    <col min="2827" max="3072" width="12.5" style="387"/>
    <col min="3073" max="3073" width="34" style="387" bestFit="1" customWidth="1"/>
    <col min="3074" max="3074" width="13" style="387" bestFit="1" customWidth="1"/>
    <col min="3075" max="3076" width="14.83203125" style="387" bestFit="1" customWidth="1"/>
    <col min="3077" max="3077" width="13.1640625" style="387" customWidth="1"/>
    <col min="3078" max="3079" width="13" style="387" bestFit="1" customWidth="1"/>
    <col min="3080" max="3080" width="12.83203125" style="387" customWidth="1"/>
    <col min="3081" max="3081" width="11.83203125" style="387" bestFit="1" customWidth="1"/>
    <col min="3082" max="3082" width="14.83203125" style="387" bestFit="1" customWidth="1"/>
    <col min="3083" max="3328" width="12.5" style="387"/>
    <col min="3329" max="3329" width="34" style="387" bestFit="1" customWidth="1"/>
    <col min="3330" max="3330" width="13" style="387" bestFit="1" customWidth="1"/>
    <col min="3331" max="3332" width="14.83203125" style="387" bestFit="1" customWidth="1"/>
    <col min="3333" max="3333" width="13.1640625" style="387" customWidth="1"/>
    <col min="3334" max="3335" width="13" style="387" bestFit="1" customWidth="1"/>
    <col min="3336" max="3336" width="12.83203125" style="387" customWidth="1"/>
    <col min="3337" max="3337" width="11.83203125" style="387" bestFit="1" customWidth="1"/>
    <col min="3338" max="3338" width="14.83203125" style="387" bestFit="1" customWidth="1"/>
    <col min="3339" max="3584" width="12.5" style="387"/>
    <col min="3585" max="3585" width="34" style="387" bestFit="1" customWidth="1"/>
    <col min="3586" max="3586" width="13" style="387" bestFit="1" customWidth="1"/>
    <col min="3587" max="3588" width="14.83203125" style="387" bestFit="1" customWidth="1"/>
    <col min="3589" max="3589" width="13.1640625" style="387" customWidth="1"/>
    <col min="3590" max="3591" width="13" style="387" bestFit="1" customWidth="1"/>
    <col min="3592" max="3592" width="12.83203125" style="387" customWidth="1"/>
    <col min="3593" max="3593" width="11.83203125" style="387" bestFit="1" customWidth="1"/>
    <col min="3594" max="3594" width="14.83203125" style="387" bestFit="1" customWidth="1"/>
    <col min="3595" max="3840" width="12.5" style="387"/>
    <col min="3841" max="3841" width="34" style="387" bestFit="1" customWidth="1"/>
    <col min="3842" max="3842" width="13" style="387" bestFit="1" customWidth="1"/>
    <col min="3843" max="3844" width="14.83203125" style="387" bestFit="1" customWidth="1"/>
    <col min="3845" max="3845" width="13.1640625" style="387" customWidth="1"/>
    <col min="3846" max="3847" width="13" style="387" bestFit="1" customWidth="1"/>
    <col min="3848" max="3848" width="12.83203125" style="387" customWidth="1"/>
    <col min="3849" max="3849" width="11.83203125" style="387" bestFit="1" customWidth="1"/>
    <col min="3850" max="3850" width="14.83203125" style="387" bestFit="1" customWidth="1"/>
    <col min="3851" max="4096" width="12.5" style="387"/>
    <col min="4097" max="4097" width="34" style="387" bestFit="1" customWidth="1"/>
    <col min="4098" max="4098" width="13" style="387" bestFit="1" customWidth="1"/>
    <col min="4099" max="4100" width="14.83203125" style="387" bestFit="1" customWidth="1"/>
    <col min="4101" max="4101" width="13.1640625" style="387" customWidth="1"/>
    <col min="4102" max="4103" width="13" style="387" bestFit="1" customWidth="1"/>
    <col min="4104" max="4104" width="12.83203125" style="387" customWidth="1"/>
    <col min="4105" max="4105" width="11.83203125" style="387" bestFit="1" customWidth="1"/>
    <col min="4106" max="4106" width="14.83203125" style="387" bestFit="1" customWidth="1"/>
    <col min="4107" max="4352" width="12.5" style="387"/>
    <col min="4353" max="4353" width="34" style="387" bestFit="1" customWidth="1"/>
    <col min="4354" max="4354" width="13" style="387" bestFit="1" customWidth="1"/>
    <col min="4355" max="4356" width="14.83203125" style="387" bestFit="1" customWidth="1"/>
    <col min="4357" max="4357" width="13.1640625" style="387" customWidth="1"/>
    <col min="4358" max="4359" width="13" style="387" bestFit="1" customWidth="1"/>
    <col min="4360" max="4360" width="12.83203125" style="387" customWidth="1"/>
    <col min="4361" max="4361" width="11.83203125" style="387" bestFit="1" customWidth="1"/>
    <col min="4362" max="4362" width="14.83203125" style="387" bestFit="1" customWidth="1"/>
    <col min="4363" max="4608" width="12.5" style="387"/>
    <col min="4609" max="4609" width="34" style="387" bestFit="1" customWidth="1"/>
    <col min="4610" max="4610" width="13" style="387" bestFit="1" customWidth="1"/>
    <col min="4611" max="4612" width="14.83203125" style="387" bestFit="1" customWidth="1"/>
    <col min="4613" max="4613" width="13.1640625" style="387" customWidth="1"/>
    <col min="4614" max="4615" width="13" style="387" bestFit="1" customWidth="1"/>
    <col min="4616" max="4616" width="12.83203125" style="387" customWidth="1"/>
    <col min="4617" max="4617" width="11.83203125" style="387" bestFit="1" customWidth="1"/>
    <col min="4618" max="4618" width="14.83203125" style="387" bestFit="1" customWidth="1"/>
    <col min="4619" max="4864" width="12.5" style="387"/>
    <col min="4865" max="4865" width="34" style="387" bestFit="1" customWidth="1"/>
    <col min="4866" max="4866" width="13" style="387" bestFit="1" customWidth="1"/>
    <col min="4867" max="4868" width="14.83203125" style="387" bestFit="1" customWidth="1"/>
    <col min="4869" max="4869" width="13.1640625" style="387" customWidth="1"/>
    <col min="4870" max="4871" width="13" style="387" bestFit="1" customWidth="1"/>
    <col min="4872" max="4872" width="12.83203125" style="387" customWidth="1"/>
    <col min="4873" max="4873" width="11.83203125" style="387" bestFit="1" customWidth="1"/>
    <col min="4874" max="4874" width="14.83203125" style="387" bestFit="1" customWidth="1"/>
    <col min="4875" max="5120" width="12.5" style="387"/>
    <col min="5121" max="5121" width="34" style="387" bestFit="1" customWidth="1"/>
    <col min="5122" max="5122" width="13" style="387" bestFit="1" customWidth="1"/>
    <col min="5123" max="5124" width="14.83203125" style="387" bestFit="1" customWidth="1"/>
    <col min="5125" max="5125" width="13.1640625" style="387" customWidth="1"/>
    <col min="5126" max="5127" width="13" style="387" bestFit="1" customWidth="1"/>
    <col min="5128" max="5128" width="12.83203125" style="387" customWidth="1"/>
    <col min="5129" max="5129" width="11.83203125" style="387" bestFit="1" customWidth="1"/>
    <col min="5130" max="5130" width="14.83203125" style="387" bestFit="1" customWidth="1"/>
    <col min="5131" max="5376" width="12.5" style="387"/>
    <col min="5377" max="5377" width="34" style="387" bestFit="1" customWidth="1"/>
    <col min="5378" max="5378" width="13" style="387" bestFit="1" customWidth="1"/>
    <col min="5379" max="5380" width="14.83203125" style="387" bestFit="1" customWidth="1"/>
    <col min="5381" max="5381" width="13.1640625" style="387" customWidth="1"/>
    <col min="5382" max="5383" width="13" style="387" bestFit="1" customWidth="1"/>
    <col min="5384" max="5384" width="12.83203125" style="387" customWidth="1"/>
    <col min="5385" max="5385" width="11.83203125" style="387" bestFit="1" customWidth="1"/>
    <col min="5386" max="5386" width="14.83203125" style="387" bestFit="1" customWidth="1"/>
    <col min="5387" max="5632" width="12.5" style="387"/>
    <col min="5633" max="5633" width="34" style="387" bestFit="1" customWidth="1"/>
    <col min="5634" max="5634" width="13" style="387" bestFit="1" customWidth="1"/>
    <col min="5635" max="5636" width="14.83203125" style="387" bestFit="1" customWidth="1"/>
    <col min="5637" max="5637" width="13.1640625" style="387" customWidth="1"/>
    <col min="5638" max="5639" width="13" style="387" bestFit="1" customWidth="1"/>
    <col min="5640" max="5640" width="12.83203125" style="387" customWidth="1"/>
    <col min="5641" max="5641" width="11.83203125" style="387" bestFit="1" customWidth="1"/>
    <col min="5642" max="5642" width="14.83203125" style="387" bestFit="1" customWidth="1"/>
    <col min="5643" max="5888" width="12.5" style="387"/>
    <col min="5889" max="5889" width="34" style="387" bestFit="1" customWidth="1"/>
    <col min="5890" max="5890" width="13" style="387" bestFit="1" customWidth="1"/>
    <col min="5891" max="5892" width="14.83203125" style="387" bestFit="1" customWidth="1"/>
    <col min="5893" max="5893" width="13.1640625" style="387" customWidth="1"/>
    <col min="5894" max="5895" width="13" style="387" bestFit="1" customWidth="1"/>
    <col min="5896" max="5896" width="12.83203125" style="387" customWidth="1"/>
    <col min="5897" max="5897" width="11.83203125" style="387" bestFit="1" customWidth="1"/>
    <col min="5898" max="5898" width="14.83203125" style="387" bestFit="1" customWidth="1"/>
    <col min="5899" max="6144" width="12.5" style="387"/>
    <col min="6145" max="6145" width="34" style="387" bestFit="1" customWidth="1"/>
    <col min="6146" max="6146" width="13" style="387" bestFit="1" customWidth="1"/>
    <col min="6147" max="6148" width="14.83203125" style="387" bestFit="1" customWidth="1"/>
    <col min="6149" max="6149" width="13.1640625" style="387" customWidth="1"/>
    <col min="6150" max="6151" width="13" style="387" bestFit="1" customWidth="1"/>
    <col min="6152" max="6152" width="12.83203125" style="387" customWidth="1"/>
    <col min="6153" max="6153" width="11.83203125" style="387" bestFit="1" customWidth="1"/>
    <col min="6154" max="6154" width="14.83203125" style="387" bestFit="1" customWidth="1"/>
    <col min="6155" max="6400" width="12.5" style="387"/>
    <col min="6401" max="6401" width="34" style="387" bestFit="1" customWidth="1"/>
    <col min="6402" max="6402" width="13" style="387" bestFit="1" customWidth="1"/>
    <col min="6403" max="6404" width="14.83203125" style="387" bestFit="1" customWidth="1"/>
    <col min="6405" max="6405" width="13.1640625" style="387" customWidth="1"/>
    <col min="6406" max="6407" width="13" style="387" bestFit="1" customWidth="1"/>
    <col min="6408" max="6408" width="12.83203125" style="387" customWidth="1"/>
    <col min="6409" max="6409" width="11.83203125" style="387" bestFit="1" customWidth="1"/>
    <col min="6410" max="6410" width="14.83203125" style="387" bestFit="1" customWidth="1"/>
    <col min="6411" max="6656" width="12.5" style="387"/>
    <col min="6657" max="6657" width="34" style="387" bestFit="1" customWidth="1"/>
    <col min="6658" max="6658" width="13" style="387" bestFit="1" customWidth="1"/>
    <col min="6659" max="6660" width="14.83203125" style="387" bestFit="1" customWidth="1"/>
    <col min="6661" max="6661" width="13.1640625" style="387" customWidth="1"/>
    <col min="6662" max="6663" width="13" style="387" bestFit="1" customWidth="1"/>
    <col min="6664" max="6664" width="12.83203125" style="387" customWidth="1"/>
    <col min="6665" max="6665" width="11.83203125" style="387" bestFit="1" customWidth="1"/>
    <col min="6666" max="6666" width="14.83203125" style="387" bestFit="1" customWidth="1"/>
    <col min="6667" max="6912" width="12.5" style="387"/>
    <col min="6913" max="6913" width="34" style="387" bestFit="1" customWidth="1"/>
    <col min="6914" max="6914" width="13" style="387" bestFit="1" customWidth="1"/>
    <col min="6915" max="6916" width="14.83203125" style="387" bestFit="1" customWidth="1"/>
    <col min="6917" max="6917" width="13.1640625" style="387" customWidth="1"/>
    <col min="6918" max="6919" width="13" style="387" bestFit="1" customWidth="1"/>
    <col min="6920" max="6920" width="12.83203125" style="387" customWidth="1"/>
    <col min="6921" max="6921" width="11.83203125" style="387" bestFit="1" customWidth="1"/>
    <col min="6922" max="6922" width="14.83203125" style="387" bestFit="1" customWidth="1"/>
    <col min="6923" max="7168" width="12.5" style="387"/>
    <col min="7169" max="7169" width="34" style="387" bestFit="1" customWidth="1"/>
    <col min="7170" max="7170" width="13" style="387" bestFit="1" customWidth="1"/>
    <col min="7171" max="7172" width="14.83203125" style="387" bestFit="1" customWidth="1"/>
    <col min="7173" max="7173" width="13.1640625" style="387" customWidth="1"/>
    <col min="7174" max="7175" width="13" style="387" bestFit="1" customWidth="1"/>
    <col min="7176" max="7176" width="12.83203125" style="387" customWidth="1"/>
    <col min="7177" max="7177" width="11.83203125" style="387" bestFit="1" customWidth="1"/>
    <col min="7178" max="7178" width="14.83203125" style="387" bestFit="1" customWidth="1"/>
    <col min="7179" max="7424" width="12.5" style="387"/>
    <col min="7425" max="7425" width="34" style="387" bestFit="1" customWidth="1"/>
    <col min="7426" max="7426" width="13" style="387" bestFit="1" customWidth="1"/>
    <col min="7427" max="7428" width="14.83203125" style="387" bestFit="1" customWidth="1"/>
    <col min="7429" max="7429" width="13.1640625" style="387" customWidth="1"/>
    <col min="7430" max="7431" width="13" style="387" bestFit="1" customWidth="1"/>
    <col min="7432" max="7432" width="12.83203125" style="387" customWidth="1"/>
    <col min="7433" max="7433" width="11.83203125" style="387" bestFit="1" customWidth="1"/>
    <col min="7434" max="7434" width="14.83203125" style="387" bestFit="1" customWidth="1"/>
    <col min="7435" max="7680" width="12.5" style="387"/>
    <col min="7681" max="7681" width="34" style="387" bestFit="1" customWidth="1"/>
    <col min="7682" max="7682" width="13" style="387" bestFit="1" customWidth="1"/>
    <col min="7683" max="7684" width="14.83203125" style="387" bestFit="1" customWidth="1"/>
    <col min="7685" max="7685" width="13.1640625" style="387" customWidth="1"/>
    <col min="7686" max="7687" width="13" style="387" bestFit="1" customWidth="1"/>
    <col min="7688" max="7688" width="12.83203125" style="387" customWidth="1"/>
    <col min="7689" max="7689" width="11.83203125" style="387" bestFit="1" customWidth="1"/>
    <col min="7690" max="7690" width="14.83203125" style="387" bestFit="1" customWidth="1"/>
    <col min="7691" max="7936" width="12.5" style="387"/>
    <col min="7937" max="7937" width="34" style="387" bestFit="1" customWidth="1"/>
    <col min="7938" max="7938" width="13" style="387" bestFit="1" customWidth="1"/>
    <col min="7939" max="7940" width="14.83203125" style="387" bestFit="1" customWidth="1"/>
    <col min="7941" max="7941" width="13.1640625" style="387" customWidth="1"/>
    <col min="7942" max="7943" width="13" style="387" bestFit="1" customWidth="1"/>
    <col min="7944" max="7944" width="12.83203125" style="387" customWidth="1"/>
    <col min="7945" max="7945" width="11.83203125" style="387" bestFit="1" customWidth="1"/>
    <col min="7946" max="7946" width="14.83203125" style="387" bestFit="1" customWidth="1"/>
    <col min="7947" max="8192" width="12.5" style="387"/>
    <col min="8193" max="8193" width="34" style="387" bestFit="1" customWidth="1"/>
    <col min="8194" max="8194" width="13" style="387" bestFit="1" customWidth="1"/>
    <col min="8195" max="8196" width="14.83203125" style="387" bestFit="1" customWidth="1"/>
    <col min="8197" max="8197" width="13.1640625" style="387" customWidth="1"/>
    <col min="8198" max="8199" width="13" style="387" bestFit="1" customWidth="1"/>
    <col min="8200" max="8200" width="12.83203125" style="387" customWidth="1"/>
    <col min="8201" max="8201" width="11.83203125" style="387" bestFit="1" customWidth="1"/>
    <col min="8202" max="8202" width="14.83203125" style="387" bestFit="1" customWidth="1"/>
    <col min="8203" max="8448" width="12.5" style="387"/>
    <col min="8449" max="8449" width="34" style="387" bestFit="1" customWidth="1"/>
    <col min="8450" max="8450" width="13" style="387" bestFit="1" customWidth="1"/>
    <col min="8451" max="8452" width="14.83203125" style="387" bestFit="1" customWidth="1"/>
    <col min="8453" max="8453" width="13.1640625" style="387" customWidth="1"/>
    <col min="8454" max="8455" width="13" style="387" bestFit="1" customWidth="1"/>
    <col min="8456" max="8456" width="12.83203125" style="387" customWidth="1"/>
    <col min="8457" max="8457" width="11.83203125" style="387" bestFit="1" customWidth="1"/>
    <col min="8458" max="8458" width="14.83203125" style="387" bestFit="1" customWidth="1"/>
    <col min="8459" max="8704" width="12.5" style="387"/>
    <col min="8705" max="8705" width="34" style="387" bestFit="1" customWidth="1"/>
    <col min="8706" max="8706" width="13" style="387" bestFit="1" customWidth="1"/>
    <col min="8707" max="8708" width="14.83203125" style="387" bestFit="1" customWidth="1"/>
    <col min="8709" max="8709" width="13.1640625" style="387" customWidth="1"/>
    <col min="8710" max="8711" width="13" style="387" bestFit="1" customWidth="1"/>
    <col min="8712" max="8712" width="12.83203125" style="387" customWidth="1"/>
    <col min="8713" max="8713" width="11.83203125" style="387" bestFit="1" customWidth="1"/>
    <col min="8714" max="8714" width="14.83203125" style="387" bestFit="1" customWidth="1"/>
    <col min="8715" max="8960" width="12.5" style="387"/>
    <col min="8961" max="8961" width="34" style="387" bestFit="1" customWidth="1"/>
    <col min="8962" max="8962" width="13" style="387" bestFit="1" customWidth="1"/>
    <col min="8963" max="8964" width="14.83203125" style="387" bestFit="1" customWidth="1"/>
    <col min="8965" max="8965" width="13.1640625" style="387" customWidth="1"/>
    <col min="8966" max="8967" width="13" style="387" bestFit="1" customWidth="1"/>
    <col min="8968" max="8968" width="12.83203125" style="387" customWidth="1"/>
    <col min="8969" max="8969" width="11.83203125" style="387" bestFit="1" customWidth="1"/>
    <col min="8970" max="8970" width="14.83203125" style="387" bestFit="1" customWidth="1"/>
    <col min="8971" max="9216" width="12.5" style="387"/>
    <col min="9217" max="9217" width="34" style="387" bestFit="1" customWidth="1"/>
    <col min="9218" max="9218" width="13" style="387" bestFit="1" customWidth="1"/>
    <col min="9219" max="9220" width="14.83203125" style="387" bestFit="1" customWidth="1"/>
    <col min="9221" max="9221" width="13.1640625" style="387" customWidth="1"/>
    <col min="9222" max="9223" width="13" style="387" bestFit="1" customWidth="1"/>
    <col min="9224" max="9224" width="12.83203125" style="387" customWidth="1"/>
    <col min="9225" max="9225" width="11.83203125" style="387" bestFit="1" customWidth="1"/>
    <col min="9226" max="9226" width="14.83203125" style="387" bestFit="1" customWidth="1"/>
    <col min="9227" max="9472" width="12.5" style="387"/>
    <col min="9473" max="9473" width="34" style="387" bestFit="1" customWidth="1"/>
    <col min="9474" max="9474" width="13" style="387" bestFit="1" customWidth="1"/>
    <col min="9475" max="9476" width="14.83203125" style="387" bestFit="1" customWidth="1"/>
    <col min="9477" max="9477" width="13.1640625" style="387" customWidth="1"/>
    <col min="9478" max="9479" width="13" style="387" bestFit="1" customWidth="1"/>
    <col min="9480" max="9480" width="12.83203125" style="387" customWidth="1"/>
    <col min="9481" max="9481" width="11.83203125" style="387" bestFit="1" customWidth="1"/>
    <col min="9482" max="9482" width="14.83203125" style="387" bestFit="1" customWidth="1"/>
    <col min="9483" max="9728" width="12.5" style="387"/>
    <col min="9729" max="9729" width="34" style="387" bestFit="1" customWidth="1"/>
    <col min="9730" max="9730" width="13" style="387" bestFit="1" customWidth="1"/>
    <col min="9731" max="9732" width="14.83203125" style="387" bestFit="1" customWidth="1"/>
    <col min="9733" max="9733" width="13.1640625" style="387" customWidth="1"/>
    <col min="9734" max="9735" width="13" style="387" bestFit="1" customWidth="1"/>
    <col min="9736" max="9736" width="12.83203125" style="387" customWidth="1"/>
    <col min="9737" max="9737" width="11.83203125" style="387" bestFit="1" customWidth="1"/>
    <col min="9738" max="9738" width="14.83203125" style="387" bestFit="1" customWidth="1"/>
    <col min="9739" max="9984" width="12.5" style="387"/>
    <col min="9985" max="9985" width="34" style="387" bestFit="1" customWidth="1"/>
    <col min="9986" max="9986" width="13" style="387" bestFit="1" customWidth="1"/>
    <col min="9987" max="9988" width="14.83203125" style="387" bestFit="1" customWidth="1"/>
    <col min="9989" max="9989" width="13.1640625" style="387" customWidth="1"/>
    <col min="9990" max="9991" width="13" style="387" bestFit="1" customWidth="1"/>
    <col min="9992" max="9992" width="12.83203125" style="387" customWidth="1"/>
    <col min="9993" max="9993" width="11.83203125" style="387" bestFit="1" customWidth="1"/>
    <col min="9994" max="9994" width="14.83203125" style="387" bestFit="1" customWidth="1"/>
    <col min="9995" max="10240" width="12.5" style="387"/>
    <col min="10241" max="10241" width="34" style="387" bestFit="1" customWidth="1"/>
    <col min="10242" max="10242" width="13" style="387" bestFit="1" customWidth="1"/>
    <col min="10243" max="10244" width="14.83203125" style="387" bestFit="1" customWidth="1"/>
    <col min="10245" max="10245" width="13.1640625" style="387" customWidth="1"/>
    <col min="10246" max="10247" width="13" style="387" bestFit="1" customWidth="1"/>
    <col min="10248" max="10248" width="12.83203125" style="387" customWidth="1"/>
    <col min="10249" max="10249" width="11.83203125" style="387" bestFit="1" customWidth="1"/>
    <col min="10250" max="10250" width="14.83203125" style="387" bestFit="1" customWidth="1"/>
    <col min="10251" max="10496" width="12.5" style="387"/>
    <col min="10497" max="10497" width="34" style="387" bestFit="1" customWidth="1"/>
    <col min="10498" max="10498" width="13" style="387" bestFit="1" customWidth="1"/>
    <col min="10499" max="10500" width="14.83203125" style="387" bestFit="1" customWidth="1"/>
    <col min="10501" max="10501" width="13.1640625" style="387" customWidth="1"/>
    <col min="10502" max="10503" width="13" style="387" bestFit="1" customWidth="1"/>
    <col min="10504" max="10504" width="12.83203125" style="387" customWidth="1"/>
    <col min="10505" max="10505" width="11.83203125" style="387" bestFit="1" customWidth="1"/>
    <col min="10506" max="10506" width="14.83203125" style="387" bestFit="1" customWidth="1"/>
    <col min="10507" max="10752" width="12.5" style="387"/>
    <col min="10753" max="10753" width="34" style="387" bestFit="1" customWidth="1"/>
    <col min="10754" max="10754" width="13" style="387" bestFit="1" customWidth="1"/>
    <col min="10755" max="10756" width="14.83203125" style="387" bestFit="1" customWidth="1"/>
    <col min="10757" max="10757" width="13.1640625" style="387" customWidth="1"/>
    <col min="10758" max="10759" width="13" style="387" bestFit="1" customWidth="1"/>
    <col min="10760" max="10760" width="12.83203125" style="387" customWidth="1"/>
    <col min="10761" max="10761" width="11.83203125" style="387" bestFit="1" customWidth="1"/>
    <col min="10762" max="10762" width="14.83203125" style="387" bestFit="1" customWidth="1"/>
    <col min="10763" max="11008" width="12.5" style="387"/>
    <col min="11009" max="11009" width="34" style="387" bestFit="1" customWidth="1"/>
    <col min="11010" max="11010" width="13" style="387" bestFit="1" customWidth="1"/>
    <col min="11011" max="11012" width="14.83203125" style="387" bestFit="1" customWidth="1"/>
    <col min="11013" max="11013" width="13.1640625" style="387" customWidth="1"/>
    <col min="11014" max="11015" width="13" style="387" bestFit="1" customWidth="1"/>
    <col min="11016" max="11016" width="12.83203125" style="387" customWidth="1"/>
    <col min="11017" max="11017" width="11.83203125" style="387" bestFit="1" customWidth="1"/>
    <col min="11018" max="11018" width="14.83203125" style="387" bestFit="1" customWidth="1"/>
    <col min="11019" max="11264" width="12.5" style="387"/>
    <col min="11265" max="11265" width="34" style="387" bestFit="1" customWidth="1"/>
    <col min="11266" max="11266" width="13" style="387" bestFit="1" customWidth="1"/>
    <col min="11267" max="11268" width="14.83203125" style="387" bestFit="1" customWidth="1"/>
    <col min="11269" max="11269" width="13.1640625" style="387" customWidth="1"/>
    <col min="11270" max="11271" width="13" style="387" bestFit="1" customWidth="1"/>
    <col min="11272" max="11272" width="12.83203125" style="387" customWidth="1"/>
    <col min="11273" max="11273" width="11.83203125" style="387" bestFit="1" customWidth="1"/>
    <col min="11274" max="11274" width="14.83203125" style="387" bestFit="1" customWidth="1"/>
    <col min="11275" max="11520" width="12.5" style="387"/>
    <col min="11521" max="11521" width="34" style="387" bestFit="1" customWidth="1"/>
    <col min="11522" max="11522" width="13" style="387" bestFit="1" customWidth="1"/>
    <col min="11523" max="11524" width="14.83203125" style="387" bestFit="1" customWidth="1"/>
    <col min="11525" max="11525" width="13.1640625" style="387" customWidth="1"/>
    <col min="11526" max="11527" width="13" style="387" bestFit="1" customWidth="1"/>
    <col min="11528" max="11528" width="12.83203125" style="387" customWidth="1"/>
    <col min="11529" max="11529" width="11.83203125" style="387" bestFit="1" customWidth="1"/>
    <col min="11530" max="11530" width="14.83203125" style="387" bestFit="1" customWidth="1"/>
    <col min="11531" max="11776" width="12.5" style="387"/>
    <col min="11777" max="11777" width="34" style="387" bestFit="1" customWidth="1"/>
    <col min="11778" max="11778" width="13" style="387" bestFit="1" customWidth="1"/>
    <col min="11779" max="11780" width="14.83203125" style="387" bestFit="1" customWidth="1"/>
    <col min="11781" max="11781" width="13.1640625" style="387" customWidth="1"/>
    <col min="11782" max="11783" width="13" style="387" bestFit="1" customWidth="1"/>
    <col min="11784" max="11784" width="12.83203125" style="387" customWidth="1"/>
    <col min="11785" max="11785" width="11.83203125" style="387" bestFit="1" customWidth="1"/>
    <col min="11786" max="11786" width="14.83203125" style="387" bestFit="1" customWidth="1"/>
    <col min="11787" max="12032" width="12.5" style="387"/>
    <col min="12033" max="12033" width="34" style="387" bestFit="1" customWidth="1"/>
    <col min="12034" max="12034" width="13" style="387" bestFit="1" customWidth="1"/>
    <col min="12035" max="12036" width="14.83203125" style="387" bestFit="1" customWidth="1"/>
    <col min="12037" max="12037" width="13.1640625" style="387" customWidth="1"/>
    <col min="12038" max="12039" width="13" style="387" bestFit="1" customWidth="1"/>
    <col min="12040" max="12040" width="12.83203125" style="387" customWidth="1"/>
    <col min="12041" max="12041" width="11.83203125" style="387" bestFit="1" customWidth="1"/>
    <col min="12042" max="12042" width="14.83203125" style="387" bestFit="1" customWidth="1"/>
    <col min="12043" max="12288" width="12.5" style="387"/>
    <col min="12289" max="12289" width="34" style="387" bestFit="1" customWidth="1"/>
    <col min="12290" max="12290" width="13" style="387" bestFit="1" customWidth="1"/>
    <col min="12291" max="12292" width="14.83203125" style="387" bestFit="1" customWidth="1"/>
    <col min="12293" max="12293" width="13.1640625" style="387" customWidth="1"/>
    <col min="12294" max="12295" width="13" style="387" bestFit="1" customWidth="1"/>
    <col min="12296" max="12296" width="12.83203125" style="387" customWidth="1"/>
    <col min="12297" max="12297" width="11.83203125" style="387" bestFit="1" customWidth="1"/>
    <col min="12298" max="12298" width="14.83203125" style="387" bestFit="1" customWidth="1"/>
    <col min="12299" max="12544" width="12.5" style="387"/>
    <col min="12545" max="12545" width="34" style="387" bestFit="1" customWidth="1"/>
    <col min="12546" max="12546" width="13" style="387" bestFit="1" customWidth="1"/>
    <col min="12547" max="12548" width="14.83203125" style="387" bestFit="1" customWidth="1"/>
    <col min="12549" max="12549" width="13.1640625" style="387" customWidth="1"/>
    <col min="12550" max="12551" width="13" style="387" bestFit="1" customWidth="1"/>
    <col min="12552" max="12552" width="12.83203125" style="387" customWidth="1"/>
    <col min="12553" max="12553" width="11.83203125" style="387" bestFit="1" customWidth="1"/>
    <col min="12554" max="12554" width="14.83203125" style="387" bestFit="1" customWidth="1"/>
    <col min="12555" max="12800" width="12.5" style="387"/>
    <col min="12801" max="12801" width="34" style="387" bestFit="1" customWidth="1"/>
    <col min="12802" max="12802" width="13" style="387" bestFit="1" customWidth="1"/>
    <col min="12803" max="12804" width="14.83203125" style="387" bestFit="1" customWidth="1"/>
    <col min="12805" max="12805" width="13.1640625" style="387" customWidth="1"/>
    <col min="12806" max="12807" width="13" style="387" bestFit="1" customWidth="1"/>
    <col min="12808" max="12808" width="12.83203125" style="387" customWidth="1"/>
    <col min="12809" max="12809" width="11.83203125" style="387" bestFit="1" customWidth="1"/>
    <col min="12810" max="12810" width="14.83203125" style="387" bestFit="1" customWidth="1"/>
    <col min="12811" max="13056" width="12.5" style="387"/>
    <col min="13057" max="13057" width="34" style="387" bestFit="1" customWidth="1"/>
    <col min="13058" max="13058" width="13" style="387" bestFit="1" customWidth="1"/>
    <col min="13059" max="13060" width="14.83203125" style="387" bestFit="1" customWidth="1"/>
    <col min="13061" max="13061" width="13.1640625" style="387" customWidth="1"/>
    <col min="13062" max="13063" width="13" style="387" bestFit="1" customWidth="1"/>
    <col min="13064" max="13064" width="12.83203125" style="387" customWidth="1"/>
    <col min="13065" max="13065" width="11.83203125" style="387" bestFit="1" customWidth="1"/>
    <col min="13066" max="13066" width="14.83203125" style="387" bestFit="1" customWidth="1"/>
    <col min="13067" max="13312" width="12.5" style="387"/>
    <col min="13313" max="13313" width="34" style="387" bestFit="1" customWidth="1"/>
    <col min="13314" max="13314" width="13" style="387" bestFit="1" customWidth="1"/>
    <col min="13315" max="13316" width="14.83203125" style="387" bestFit="1" customWidth="1"/>
    <col min="13317" max="13317" width="13.1640625" style="387" customWidth="1"/>
    <col min="13318" max="13319" width="13" style="387" bestFit="1" customWidth="1"/>
    <col min="13320" max="13320" width="12.83203125" style="387" customWidth="1"/>
    <col min="13321" max="13321" width="11.83203125" style="387" bestFit="1" customWidth="1"/>
    <col min="13322" max="13322" width="14.83203125" style="387" bestFit="1" customWidth="1"/>
    <col min="13323" max="13568" width="12.5" style="387"/>
    <col min="13569" max="13569" width="34" style="387" bestFit="1" customWidth="1"/>
    <col min="13570" max="13570" width="13" style="387" bestFit="1" customWidth="1"/>
    <col min="13571" max="13572" width="14.83203125" style="387" bestFit="1" customWidth="1"/>
    <col min="13573" max="13573" width="13.1640625" style="387" customWidth="1"/>
    <col min="13574" max="13575" width="13" style="387" bestFit="1" customWidth="1"/>
    <col min="13576" max="13576" width="12.83203125" style="387" customWidth="1"/>
    <col min="13577" max="13577" width="11.83203125" style="387" bestFit="1" customWidth="1"/>
    <col min="13578" max="13578" width="14.83203125" style="387" bestFit="1" customWidth="1"/>
    <col min="13579" max="13824" width="12.5" style="387"/>
    <col min="13825" max="13825" width="34" style="387" bestFit="1" customWidth="1"/>
    <col min="13826" max="13826" width="13" style="387" bestFit="1" customWidth="1"/>
    <col min="13827" max="13828" width="14.83203125" style="387" bestFit="1" customWidth="1"/>
    <col min="13829" max="13829" width="13.1640625" style="387" customWidth="1"/>
    <col min="13830" max="13831" width="13" style="387" bestFit="1" customWidth="1"/>
    <col min="13832" max="13832" width="12.83203125" style="387" customWidth="1"/>
    <col min="13833" max="13833" width="11.83203125" style="387" bestFit="1" customWidth="1"/>
    <col min="13834" max="13834" width="14.83203125" style="387" bestFit="1" customWidth="1"/>
    <col min="13835" max="14080" width="12.5" style="387"/>
    <col min="14081" max="14081" width="34" style="387" bestFit="1" customWidth="1"/>
    <col min="14082" max="14082" width="13" style="387" bestFit="1" customWidth="1"/>
    <col min="14083" max="14084" width="14.83203125" style="387" bestFit="1" customWidth="1"/>
    <col min="14085" max="14085" width="13.1640625" style="387" customWidth="1"/>
    <col min="14086" max="14087" width="13" style="387" bestFit="1" customWidth="1"/>
    <col min="14088" max="14088" width="12.83203125" style="387" customWidth="1"/>
    <col min="14089" max="14089" width="11.83203125" style="387" bestFit="1" customWidth="1"/>
    <col min="14090" max="14090" width="14.83203125" style="387" bestFit="1" customWidth="1"/>
    <col min="14091" max="14336" width="12.5" style="387"/>
    <col min="14337" max="14337" width="34" style="387" bestFit="1" customWidth="1"/>
    <col min="14338" max="14338" width="13" style="387" bestFit="1" customWidth="1"/>
    <col min="14339" max="14340" width="14.83203125" style="387" bestFit="1" customWidth="1"/>
    <col min="14341" max="14341" width="13.1640625" style="387" customWidth="1"/>
    <col min="14342" max="14343" width="13" style="387" bestFit="1" customWidth="1"/>
    <col min="14344" max="14344" width="12.83203125" style="387" customWidth="1"/>
    <col min="14345" max="14345" width="11.83203125" style="387" bestFit="1" customWidth="1"/>
    <col min="14346" max="14346" width="14.83203125" style="387" bestFit="1" customWidth="1"/>
    <col min="14347" max="14592" width="12.5" style="387"/>
    <col min="14593" max="14593" width="34" style="387" bestFit="1" customWidth="1"/>
    <col min="14594" max="14594" width="13" style="387" bestFit="1" customWidth="1"/>
    <col min="14595" max="14596" width="14.83203125" style="387" bestFit="1" customWidth="1"/>
    <col min="14597" max="14597" width="13.1640625" style="387" customWidth="1"/>
    <col min="14598" max="14599" width="13" style="387" bestFit="1" customWidth="1"/>
    <col min="14600" max="14600" width="12.83203125" style="387" customWidth="1"/>
    <col min="14601" max="14601" width="11.83203125" style="387" bestFit="1" customWidth="1"/>
    <col min="14602" max="14602" width="14.83203125" style="387" bestFit="1" customWidth="1"/>
    <col min="14603" max="14848" width="12.5" style="387"/>
    <col min="14849" max="14849" width="34" style="387" bestFit="1" customWidth="1"/>
    <col min="14850" max="14850" width="13" style="387" bestFit="1" customWidth="1"/>
    <col min="14851" max="14852" width="14.83203125" style="387" bestFit="1" customWidth="1"/>
    <col min="14853" max="14853" width="13.1640625" style="387" customWidth="1"/>
    <col min="14854" max="14855" width="13" style="387" bestFit="1" customWidth="1"/>
    <col min="14856" max="14856" width="12.83203125" style="387" customWidth="1"/>
    <col min="14857" max="14857" width="11.83203125" style="387" bestFit="1" customWidth="1"/>
    <col min="14858" max="14858" width="14.83203125" style="387" bestFit="1" customWidth="1"/>
    <col min="14859" max="15104" width="12.5" style="387"/>
    <col min="15105" max="15105" width="34" style="387" bestFit="1" customWidth="1"/>
    <col min="15106" max="15106" width="13" style="387" bestFit="1" customWidth="1"/>
    <col min="15107" max="15108" width="14.83203125" style="387" bestFit="1" customWidth="1"/>
    <col min="15109" max="15109" width="13.1640625" style="387" customWidth="1"/>
    <col min="15110" max="15111" width="13" style="387" bestFit="1" customWidth="1"/>
    <col min="15112" max="15112" width="12.83203125" style="387" customWidth="1"/>
    <col min="15113" max="15113" width="11.83203125" style="387" bestFit="1" customWidth="1"/>
    <col min="15114" max="15114" width="14.83203125" style="387" bestFit="1" customWidth="1"/>
    <col min="15115" max="15360" width="12.5" style="387"/>
    <col min="15361" max="15361" width="34" style="387" bestFit="1" customWidth="1"/>
    <col min="15362" max="15362" width="13" style="387" bestFit="1" customWidth="1"/>
    <col min="15363" max="15364" width="14.83203125" style="387" bestFit="1" customWidth="1"/>
    <col min="15365" max="15365" width="13.1640625" style="387" customWidth="1"/>
    <col min="15366" max="15367" width="13" style="387" bestFit="1" customWidth="1"/>
    <col min="15368" max="15368" width="12.83203125" style="387" customWidth="1"/>
    <col min="15369" max="15369" width="11.83203125" style="387" bestFit="1" customWidth="1"/>
    <col min="15370" max="15370" width="14.83203125" style="387" bestFit="1" customWidth="1"/>
    <col min="15371" max="15616" width="12.5" style="387"/>
    <col min="15617" max="15617" width="34" style="387" bestFit="1" customWidth="1"/>
    <col min="15618" max="15618" width="13" style="387" bestFit="1" customWidth="1"/>
    <col min="15619" max="15620" width="14.83203125" style="387" bestFit="1" customWidth="1"/>
    <col min="15621" max="15621" width="13.1640625" style="387" customWidth="1"/>
    <col min="15622" max="15623" width="13" style="387" bestFit="1" customWidth="1"/>
    <col min="15624" max="15624" width="12.83203125" style="387" customWidth="1"/>
    <col min="15625" max="15625" width="11.83203125" style="387" bestFit="1" customWidth="1"/>
    <col min="15626" max="15626" width="14.83203125" style="387" bestFit="1" customWidth="1"/>
    <col min="15627" max="15872" width="12.5" style="387"/>
    <col min="15873" max="15873" width="34" style="387" bestFit="1" customWidth="1"/>
    <col min="15874" max="15874" width="13" style="387" bestFit="1" customWidth="1"/>
    <col min="15875" max="15876" width="14.83203125" style="387" bestFit="1" customWidth="1"/>
    <col min="15877" max="15877" width="13.1640625" style="387" customWidth="1"/>
    <col min="15878" max="15879" width="13" style="387" bestFit="1" customWidth="1"/>
    <col min="15880" max="15880" width="12.83203125" style="387" customWidth="1"/>
    <col min="15881" max="15881" width="11.83203125" style="387" bestFit="1" customWidth="1"/>
    <col min="15882" max="15882" width="14.83203125" style="387" bestFit="1" customWidth="1"/>
    <col min="15883" max="16128" width="12.5" style="387"/>
    <col min="16129" max="16129" width="34" style="387" bestFit="1" customWidth="1"/>
    <col min="16130" max="16130" width="13" style="387" bestFit="1" customWidth="1"/>
    <col min="16131" max="16132" width="14.83203125" style="387" bestFit="1" customWidth="1"/>
    <col min="16133" max="16133" width="13.1640625" style="387" customWidth="1"/>
    <col min="16134" max="16135" width="13" style="387" bestFit="1" customWidth="1"/>
    <col min="16136" max="16136" width="12.83203125" style="387" customWidth="1"/>
    <col min="16137" max="16137" width="11.83203125" style="387" bestFit="1" customWidth="1"/>
    <col min="16138" max="16138" width="14.83203125" style="387" bestFit="1" customWidth="1"/>
    <col min="16139" max="16384" width="12.5" style="387"/>
  </cols>
  <sheetData>
    <row r="1" spans="1:11" x14ac:dyDescent="0.2">
      <c r="A1" s="386"/>
      <c r="B1" s="386"/>
      <c r="C1" s="386"/>
      <c r="D1" s="961"/>
      <c r="E1" s="386"/>
      <c r="F1" s="386"/>
      <c r="H1" s="388"/>
      <c r="I1" s="388"/>
      <c r="J1" s="389"/>
    </row>
    <row r="2" spans="1:11" x14ac:dyDescent="0.2">
      <c r="A2" s="386"/>
      <c r="B2" s="386"/>
      <c r="C2" s="386"/>
      <c r="D2" s="961"/>
      <c r="E2" s="386"/>
      <c r="F2" s="386"/>
      <c r="G2" s="390"/>
      <c r="H2" s="390"/>
      <c r="I2" s="390"/>
      <c r="J2" s="391"/>
    </row>
    <row r="3" spans="1:11" x14ac:dyDescent="0.2">
      <c r="A3" s="386"/>
      <c r="B3" s="386"/>
      <c r="C3" s="386"/>
      <c r="D3" s="961"/>
      <c r="E3" s="386"/>
      <c r="F3" s="386"/>
      <c r="G3" s="390"/>
      <c r="H3" s="390"/>
      <c r="I3" s="390"/>
      <c r="J3" s="390"/>
    </row>
    <row r="4" spans="1:11" ht="19.5" x14ac:dyDescent="0.35">
      <c r="A4" s="392" t="s">
        <v>392</v>
      </c>
      <c r="B4" s="392"/>
      <c r="C4" s="392"/>
      <c r="D4" s="392"/>
      <c r="E4" s="392"/>
      <c r="F4" s="392"/>
      <c r="G4" s="392"/>
      <c r="H4" s="392"/>
      <c r="I4" s="392"/>
      <c r="J4" s="392"/>
    </row>
    <row r="5" spans="1:11" ht="19.5" x14ac:dyDescent="0.35">
      <c r="A5" s="392" t="s">
        <v>627</v>
      </c>
      <c r="B5" s="392"/>
      <c r="C5" s="392"/>
      <c r="D5" s="392"/>
      <c r="E5" s="392"/>
      <c r="F5" s="392"/>
      <c r="G5" s="392"/>
      <c r="H5" s="392"/>
      <c r="I5" s="392"/>
      <c r="J5" s="392"/>
    </row>
    <row r="6" spans="1:11" ht="13.5" thickBot="1" x14ac:dyDescent="0.25">
      <c r="A6" s="386"/>
      <c r="B6" s="386"/>
      <c r="C6" s="386"/>
      <c r="D6" s="961"/>
      <c r="E6" s="386"/>
      <c r="F6" s="386"/>
      <c r="G6" s="386"/>
      <c r="H6" s="386"/>
      <c r="I6" s="386"/>
      <c r="J6" s="393" t="s">
        <v>4</v>
      </c>
    </row>
    <row r="7" spans="1:11" ht="15.95" customHeight="1" x14ac:dyDescent="0.2">
      <c r="A7" s="1027" t="s">
        <v>2</v>
      </c>
      <c r="B7" s="1030" t="s">
        <v>393</v>
      </c>
      <c r="C7" s="1031"/>
      <c r="D7" s="1031"/>
      <c r="E7" s="1032" t="s">
        <v>628</v>
      </c>
      <c r="F7" s="1033"/>
      <c r="G7" s="1033"/>
      <c r="H7" s="1033"/>
      <c r="I7" s="1033"/>
      <c r="J7" s="1034"/>
    </row>
    <row r="8" spans="1:11" ht="15.95" customHeight="1" x14ac:dyDescent="0.2">
      <c r="A8" s="1028"/>
      <c r="B8" s="394" t="s">
        <v>394</v>
      </c>
      <c r="C8" s="394" t="s">
        <v>395</v>
      </c>
      <c r="D8" s="394" t="s">
        <v>396</v>
      </c>
      <c r="E8" s="394" t="s">
        <v>397</v>
      </c>
      <c r="F8" s="394" t="s">
        <v>398</v>
      </c>
      <c r="G8" s="394" t="s">
        <v>399</v>
      </c>
      <c r="H8" s="394" t="s">
        <v>400</v>
      </c>
      <c r="I8" s="394" t="s">
        <v>401</v>
      </c>
      <c r="J8" s="395" t="s">
        <v>396</v>
      </c>
    </row>
    <row r="9" spans="1:11" ht="15.95" customHeight="1" x14ac:dyDescent="0.2">
      <c r="A9" s="1029"/>
      <c r="B9" s="394" t="s">
        <v>402</v>
      </c>
      <c r="C9" s="394" t="s">
        <v>403</v>
      </c>
      <c r="D9" s="394" t="s">
        <v>404</v>
      </c>
      <c r="E9" s="394" t="s">
        <v>405</v>
      </c>
      <c r="F9" s="394" t="s">
        <v>406</v>
      </c>
      <c r="G9" s="394" t="s">
        <v>407</v>
      </c>
      <c r="H9" s="394" t="s">
        <v>408</v>
      </c>
      <c r="I9" s="394" t="s">
        <v>407</v>
      </c>
      <c r="J9" s="395" t="s">
        <v>409</v>
      </c>
    </row>
    <row r="10" spans="1:11" ht="15.95" customHeight="1" x14ac:dyDescent="0.2">
      <c r="A10" s="396" t="s">
        <v>410</v>
      </c>
      <c r="B10" s="968">
        <v>174100032</v>
      </c>
      <c r="C10" s="968">
        <f t="shared" ref="C10:C15" si="0">J10-B10</f>
        <v>133638810</v>
      </c>
      <c r="D10" s="969">
        <f t="shared" ref="D10:D14" si="1">SUM(B10:C10)</f>
        <v>307738842</v>
      </c>
      <c r="E10" s="968">
        <f>61703726+51600</f>
        <v>61755326</v>
      </c>
      <c r="F10" s="968">
        <v>14089304</v>
      </c>
      <c r="G10" s="968">
        <v>230665212</v>
      </c>
      <c r="H10" s="968"/>
      <c r="I10" s="968">
        <v>1229000</v>
      </c>
      <c r="J10" s="915">
        <f t="shared" ref="J10:J15" si="2">SUM(E10:I10)</f>
        <v>307738842</v>
      </c>
      <c r="K10" s="397"/>
    </row>
    <row r="11" spans="1:11" ht="15.95" customHeight="1" x14ac:dyDescent="0.2">
      <c r="A11" s="396" t="s">
        <v>0</v>
      </c>
      <c r="B11" s="968">
        <v>12280923</v>
      </c>
      <c r="C11" s="968">
        <f>J11-B11</f>
        <v>291909978</v>
      </c>
      <c r="D11" s="969">
        <f t="shared" si="1"/>
        <v>304190901</v>
      </c>
      <c r="E11" s="968">
        <f>187166011+408000+80000+1630390-80000</f>
        <v>189204401</v>
      </c>
      <c r="F11" s="968">
        <f>40197175+71604+14040+308098</f>
        <v>40590917</v>
      </c>
      <c r="G11" s="968">
        <f>71308603+110000+60000+624000-624000+130000+80000</f>
        <v>71688603</v>
      </c>
      <c r="H11" s="968"/>
      <c r="I11" s="968">
        <f>2766980-60000</f>
        <v>2706980</v>
      </c>
      <c r="J11" s="915">
        <f t="shared" si="2"/>
        <v>304190901</v>
      </c>
      <c r="K11" s="398"/>
    </row>
    <row r="12" spans="1:11" ht="15.95" customHeight="1" x14ac:dyDescent="0.2">
      <c r="A12" s="396" t="s">
        <v>608</v>
      </c>
      <c r="B12" s="968">
        <v>13275287</v>
      </c>
      <c r="C12" s="968">
        <f t="shared" si="0"/>
        <v>84781354</v>
      </c>
      <c r="D12" s="969">
        <f t="shared" si="1"/>
        <v>98056641</v>
      </c>
      <c r="E12" s="968">
        <f>44090923+69000+170500</f>
        <v>44330423</v>
      </c>
      <c r="F12" s="968">
        <f>8671204+12110+33248</f>
        <v>8716562</v>
      </c>
      <c r="G12" s="968">
        <f>42412062-81110</f>
        <v>42330952</v>
      </c>
      <c r="H12" s="968"/>
      <c r="I12" s="968">
        <v>2678704</v>
      </c>
      <c r="J12" s="915">
        <f t="shared" si="2"/>
        <v>98056641</v>
      </c>
    </row>
    <row r="13" spans="1:11" s="397" customFormat="1" ht="18" customHeight="1" x14ac:dyDescent="0.2">
      <c r="A13" s="375" t="s">
        <v>589</v>
      </c>
      <c r="B13" s="970">
        <f>224494113-28+3011250</f>
        <v>227505335</v>
      </c>
      <c r="C13" s="968">
        <f t="shared" si="0"/>
        <v>505604493</v>
      </c>
      <c r="D13" s="969">
        <f t="shared" si="1"/>
        <v>733109828</v>
      </c>
      <c r="E13" s="971">
        <f>432587281+258000+374000+4907657+673383</f>
        <v>438800321</v>
      </c>
      <c r="F13" s="971">
        <f>91161523+50310+72930+949388+132042</f>
        <v>92366193</v>
      </c>
      <c r="G13" s="971">
        <f>186217978+192293+628600+1606688</f>
        <v>188645559</v>
      </c>
      <c r="H13" s="971"/>
      <c r="I13" s="971">
        <f>12698618+599137</f>
        <v>13297755</v>
      </c>
      <c r="J13" s="915">
        <f t="shared" si="2"/>
        <v>733109828</v>
      </c>
    </row>
    <row r="14" spans="1:11" s="397" customFormat="1" ht="18" customHeight="1" x14ac:dyDescent="0.2">
      <c r="A14" s="375" t="s">
        <v>566</v>
      </c>
      <c r="B14" s="970">
        <v>944234</v>
      </c>
      <c r="C14" s="968">
        <f t="shared" si="0"/>
        <v>86661516</v>
      </c>
      <c r="D14" s="969">
        <f t="shared" si="1"/>
        <v>87605750</v>
      </c>
      <c r="E14" s="971">
        <v>58944411</v>
      </c>
      <c r="F14" s="971">
        <v>11728198</v>
      </c>
      <c r="G14" s="971">
        <f>15292331+10000</f>
        <v>15302331</v>
      </c>
      <c r="H14" s="971"/>
      <c r="I14" s="971">
        <v>1630810</v>
      </c>
      <c r="J14" s="915">
        <f t="shared" si="2"/>
        <v>87605750</v>
      </c>
    </row>
    <row r="15" spans="1:11" s="397" customFormat="1" ht="18" customHeight="1" x14ac:dyDescent="0.2">
      <c r="A15" s="375" t="s">
        <v>590</v>
      </c>
      <c r="B15" s="970">
        <f>14887546+20620+63321</f>
        <v>14971487</v>
      </c>
      <c r="C15" s="968">
        <f t="shared" si="0"/>
        <v>228216446</v>
      </c>
      <c r="D15" s="969">
        <f t="shared" ref="D15" si="3">SUM(B15:C15)</f>
        <v>243187933</v>
      </c>
      <c r="E15" s="971">
        <f>139133390+152400</f>
        <v>139285790</v>
      </c>
      <c r="F15" s="971">
        <f>29443013+62043</f>
        <v>29505056</v>
      </c>
      <c r="G15" s="971">
        <f>45358887+20620-152400</f>
        <v>45227107</v>
      </c>
      <c r="H15" s="971">
        <v>24250000</v>
      </c>
      <c r="I15" s="971">
        <v>4919980</v>
      </c>
      <c r="J15" s="915">
        <f t="shared" si="2"/>
        <v>243187933</v>
      </c>
    </row>
    <row r="16" spans="1:11" s="965" customFormat="1" ht="18" customHeight="1" thickBot="1" x14ac:dyDescent="0.25">
      <c r="A16" s="962" t="s">
        <v>412</v>
      </c>
      <c r="B16" s="963">
        <f t="shared" ref="B16:J16" si="4">SUM(B10:B15)</f>
        <v>443077298</v>
      </c>
      <c r="C16" s="963">
        <f t="shared" si="4"/>
        <v>1330812597</v>
      </c>
      <c r="D16" s="963">
        <f t="shared" si="4"/>
        <v>1773889895</v>
      </c>
      <c r="E16" s="963">
        <f t="shared" si="4"/>
        <v>932320672</v>
      </c>
      <c r="F16" s="963">
        <f t="shared" si="4"/>
        <v>196996230</v>
      </c>
      <c r="G16" s="963">
        <f t="shared" si="4"/>
        <v>593859764</v>
      </c>
      <c r="H16" s="603">
        <f t="shared" si="4"/>
        <v>24250000</v>
      </c>
      <c r="I16" s="963">
        <f t="shared" si="4"/>
        <v>26463229</v>
      </c>
      <c r="J16" s="964">
        <f t="shared" si="4"/>
        <v>1773889895</v>
      </c>
    </row>
    <row r="17" spans="3:7" s="671" customFormat="1" ht="11.25" x14ac:dyDescent="0.2">
      <c r="D17" s="966"/>
    </row>
    <row r="18" spans="3:7" s="671" customFormat="1" ht="11.25" x14ac:dyDescent="0.2">
      <c r="D18" s="966"/>
    </row>
    <row r="19" spans="3:7" s="672" customFormat="1" x14ac:dyDescent="0.2">
      <c r="D19" s="967"/>
    </row>
    <row r="20" spans="3:7" s="672" customFormat="1" x14ac:dyDescent="0.2">
      <c r="D20" s="967"/>
    </row>
    <row r="21" spans="3:7" s="672" customFormat="1" x14ac:dyDescent="0.2">
      <c r="D21" s="967"/>
    </row>
    <row r="22" spans="3:7" s="672" customFormat="1" x14ac:dyDescent="0.2">
      <c r="D22" s="967"/>
    </row>
    <row r="23" spans="3:7" s="672" customFormat="1" x14ac:dyDescent="0.2">
      <c r="D23" s="967"/>
    </row>
    <row r="24" spans="3:7" s="672" customFormat="1" x14ac:dyDescent="0.2">
      <c r="D24" s="967"/>
    </row>
    <row r="25" spans="3:7" s="672" customFormat="1" x14ac:dyDescent="0.2">
      <c r="D25" s="967"/>
    </row>
    <row r="26" spans="3:7" s="672" customFormat="1" x14ac:dyDescent="0.2">
      <c r="D26" s="967"/>
    </row>
    <row r="27" spans="3:7" x14ac:dyDescent="0.2">
      <c r="C27" s="398"/>
      <c r="G27" s="398"/>
    </row>
    <row r="33" spans="10:10" x14ac:dyDescent="0.2">
      <c r="J33" s="399"/>
    </row>
  </sheetData>
  <mergeCells count="3">
    <mergeCell ref="A7:A9"/>
    <mergeCell ref="B7:D7"/>
    <mergeCell ref="E7:J7"/>
  </mergeCells>
  <pageMargins left="0.75" right="0.75" top="1" bottom="1" header="0.5" footer="0.5"/>
  <pageSetup paperSize="9" scale="91" fitToHeight="0" orientation="landscape" r:id="rId1"/>
  <headerFooter alignWithMargins="0">
    <oddHeader>&amp;R28. melléklet a 8/2018.(IV.27.)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workbookViewId="0">
      <selection activeCell="J91" sqref="J91"/>
    </sheetView>
  </sheetViews>
  <sheetFormatPr defaultColWidth="10.6640625" defaultRowHeight="12.75" x14ac:dyDescent="0.2"/>
  <cols>
    <col min="1" max="1" width="10" style="401" customWidth="1"/>
    <col min="2" max="2" width="37.33203125" style="401" customWidth="1"/>
    <col min="3" max="3" width="24.83203125" style="401" customWidth="1"/>
    <col min="4" max="4" width="22.6640625" style="401" customWidth="1"/>
    <col min="5" max="5" width="11.6640625" style="401" bestFit="1" customWidth="1"/>
    <col min="6" max="16384" width="10.6640625" style="401"/>
  </cols>
  <sheetData>
    <row r="1" spans="1:6" ht="15.75" x14ac:dyDescent="0.25">
      <c r="A1" s="400"/>
      <c r="B1" s="400"/>
      <c r="C1" s="400"/>
      <c r="D1" s="604"/>
    </row>
    <row r="2" spans="1:6" ht="15.75" x14ac:dyDescent="0.25">
      <c r="A2" s="400"/>
      <c r="B2" s="400"/>
      <c r="C2" s="400"/>
      <c r="D2" s="402"/>
    </row>
    <row r="3" spans="1:6" ht="15.75" x14ac:dyDescent="0.25">
      <c r="A3" s="400"/>
      <c r="B3" s="400"/>
      <c r="C3" s="400"/>
      <c r="D3" s="604"/>
    </row>
    <row r="4" spans="1:6" ht="15.75" x14ac:dyDescent="0.25">
      <c r="A4" s="400"/>
      <c r="B4" s="400"/>
      <c r="C4" s="400"/>
      <c r="D4" s="605"/>
    </row>
    <row r="5" spans="1:6" ht="15.75" x14ac:dyDescent="0.25">
      <c r="A5" s="400"/>
      <c r="B5" s="400"/>
      <c r="C5" s="400"/>
      <c r="D5" s="605"/>
    </row>
    <row r="6" spans="1:6" ht="15.75" x14ac:dyDescent="0.25">
      <c r="A6" s="400"/>
      <c r="B6" s="400"/>
      <c r="C6" s="400"/>
      <c r="D6" s="606"/>
    </row>
    <row r="7" spans="1:6" ht="19.5" x14ac:dyDescent="0.35">
      <c r="A7" s="403" t="s">
        <v>386</v>
      </c>
      <c r="B7" s="403"/>
      <c r="C7" s="403"/>
      <c r="D7" s="607"/>
    </row>
    <row r="8" spans="1:6" ht="19.5" x14ac:dyDescent="0.35">
      <c r="A8" s="403" t="s">
        <v>629</v>
      </c>
      <c r="B8" s="403"/>
      <c r="C8" s="403"/>
      <c r="D8" s="607"/>
    </row>
    <row r="9" spans="1:6" ht="19.5" x14ac:dyDescent="0.35">
      <c r="A9" s="403"/>
      <c r="B9" s="403"/>
      <c r="C9" s="403"/>
      <c r="D9" s="607"/>
    </row>
    <row r="10" spans="1:6" ht="19.5" x14ac:dyDescent="0.35">
      <c r="A10" s="403"/>
      <c r="B10" s="403"/>
      <c r="C10" s="403"/>
      <c r="D10" s="607"/>
    </row>
    <row r="11" spans="1:6" ht="19.5" x14ac:dyDescent="0.35">
      <c r="A11" s="403"/>
      <c r="B11" s="403"/>
      <c r="C11" s="403"/>
      <c r="D11" s="607"/>
    </row>
    <row r="12" spans="1:6" ht="19.5" x14ac:dyDescent="0.35">
      <c r="A12" s="403"/>
      <c r="B12" s="403"/>
      <c r="C12" s="403"/>
      <c r="D12" s="607"/>
    </row>
    <row r="13" spans="1:6" ht="16.5" thickBot="1" x14ac:dyDescent="0.3">
      <c r="A13" s="400"/>
      <c r="B13" s="400"/>
      <c r="C13" s="400"/>
      <c r="D13" s="608" t="s">
        <v>4</v>
      </c>
    </row>
    <row r="14" spans="1:6" s="407" customFormat="1" ht="33" customHeight="1" thickBot="1" x14ac:dyDescent="0.25">
      <c r="A14" s="404" t="s">
        <v>67</v>
      </c>
      <c r="B14" s="405"/>
      <c r="C14" s="406"/>
      <c r="D14" s="609" t="s">
        <v>60</v>
      </c>
    </row>
    <row r="15" spans="1:6" ht="16.5" thickBot="1" x14ac:dyDescent="0.3">
      <c r="A15" s="755" t="s">
        <v>64</v>
      </c>
      <c r="B15" s="756"/>
      <c r="C15" s="757"/>
      <c r="D15" s="916">
        <v>6526975</v>
      </c>
      <c r="E15" s="408"/>
      <c r="F15" s="409"/>
    </row>
    <row r="16" spans="1:6" ht="15.75" x14ac:dyDescent="0.25">
      <c r="A16" s="749" t="s">
        <v>388</v>
      </c>
      <c r="B16" s="759"/>
      <c r="C16" s="760"/>
      <c r="D16" s="761"/>
      <c r="E16" s="409"/>
      <c r="F16" s="409"/>
    </row>
    <row r="17" spans="1:6" x14ac:dyDescent="0.2">
      <c r="A17" s="612" t="s">
        <v>389</v>
      </c>
      <c r="B17" s="613"/>
      <c r="C17" s="750"/>
      <c r="D17" s="975">
        <v>3130181</v>
      </c>
      <c r="E17" s="614"/>
      <c r="F17" s="611"/>
    </row>
    <row r="18" spans="1:6" x14ac:dyDescent="0.2">
      <c r="A18" s="612" t="s">
        <v>728</v>
      </c>
      <c r="B18" s="613"/>
      <c r="C18" s="750"/>
      <c r="D18" s="610">
        <v>200000</v>
      </c>
      <c r="E18" s="614"/>
      <c r="F18" s="611"/>
    </row>
    <row r="19" spans="1:6" x14ac:dyDescent="0.2">
      <c r="A19" s="612" t="s">
        <v>560</v>
      </c>
      <c r="B19" s="613"/>
      <c r="C19" s="750"/>
      <c r="D19" s="610">
        <v>4504494</v>
      </c>
      <c r="E19" s="614"/>
      <c r="F19" s="616"/>
    </row>
    <row r="20" spans="1:6" x14ac:dyDescent="0.2">
      <c r="A20" s="612" t="s">
        <v>609</v>
      </c>
      <c r="B20" s="613"/>
      <c r="C20" s="750"/>
      <c r="D20" s="610">
        <v>2540590</v>
      </c>
      <c r="E20" s="614"/>
      <c r="F20" s="616"/>
    </row>
    <row r="21" spans="1:6" x14ac:dyDescent="0.2">
      <c r="A21" s="615" t="s">
        <v>413</v>
      </c>
      <c r="B21" s="613"/>
      <c r="C21" s="750"/>
      <c r="D21" s="610">
        <v>36771408</v>
      </c>
      <c r="E21" s="614"/>
      <c r="F21" s="611"/>
    </row>
    <row r="22" spans="1:6" x14ac:dyDescent="0.2">
      <c r="A22" s="689" t="s">
        <v>5</v>
      </c>
      <c r="B22" s="690"/>
      <c r="C22" s="750"/>
      <c r="D22" s="610">
        <v>400000</v>
      </c>
      <c r="E22" s="614"/>
      <c r="F22" s="611"/>
    </row>
    <row r="23" spans="1:6" x14ac:dyDescent="0.2">
      <c r="A23" s="689" t="s">
        <v>611</v>
      </c>
      <c r="B23" s="690"/>
      <c r="C23" s="750"/>
      <c r="D23" s="610">
        <v>846565</v>
      </c>
      <c r="E23" s="614"/>
      <c r="F23" s="611"/>
    </row>
    <row r="24" spans="1:6" x14ac:dyDescent="0.2">
      <c r="A24" s="689" t="s">
        <v>613</v>
      </c>
      <c r="B24" s="690"/>
      <c r="C24" s="750"/>
      <c r="D24" s="975">
        <v>6007265</v>
      </c>
      <c r="E24" s="614"/>
      <c r="F24" s="611"/>
    </row>
    <row r="25" spans="1:6" x14ac:dyDescent="0.2">
      <c r="A25" s="689" t="s">
        <v>727</v>
      </c>
      <c r="B25" s="690"/>
      <c r="C25" s="750"/>
      <c r="D25" s="610">
        <v>4500000</v>
      </c>
      <c r="E25" s="614"/>
      <c r="F25" s="611"/>
    </row>
    <row r="26" spans="1:6" ht="16.5" thickBot="1" x14ac:dyDescent="0.3">
      <c r="A26" s="751" t="s">
        <v>390</v>
      </c>
      <c r="B26" s="752"/>
      <c r="C26" s="753"/>
      <c r="D26" s="754">
        <f>SUM(D17:D25)</f>
        <v>58900503</v>
      </c>
    </row>
    <row r="27" spans="1:6" ht="16.5" thickBot="1" x14ac:dyDescent="0.3">
      <c r="A27" s="762"/>
      <c r="B27" s="763"/>
      <c r="C27" s="764"/>
      <c r="D27" s="764"/>
    </row>
    <row r="28" spans="1:6" ht="16.5" thickBot="1" x14ac:dyDescent="0.3">
      <c r="A28" s="755" t="s">
        <v>391</v>
      </c>
      <c r="B28" s="756"/>
      <c r="C28" s="757"/>
      <c r="D28" s="758">
        <f>SUM(D15,D26)</f>
        <v>65427478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&amp;R29. melléklet a 8/2018.(IV.27.)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tabSelected="1" zoomScaleNormal="100" zoomScaleSheetLayoutView="100" workbookViewId="0">
      <selection activeCell="J91" sqref="J91"/>
    </sheetView>
  </sheetViews>
  <sheetFormatPr defaultRowHeight="15.75" x14ac:dyDescent="0.25"/>
  <cols>
    <col min="1" max="1" width="9.5" style="218" customWidth="1"/>
    <col min="2" max="2" width="83.83203125" style="218" customWidth="1"/>
    <col min="3" max="3" width="21.6640625" style="219" customWidth="1"/>
    <col min="4" max="4" width="19.33203125" style="229" hidden="1" customWidth="1"/>
    <col min="5" max="5" width="15.83203125" style="229" hidden="1" customWidth="1"/>
    <col min="6" max="6" width="15.33203125" style="229" hidden="1" customWidth="1"/>
    <col min="7" max="16384" width="9.33203125" style="229"/>
  </cols>
  <sheetData>
    <row r="1" spans="1:6" ht="15.95" customHeight="1" x14ac:dyDescent="0.25">
      <c r="A1" s="987" t="s">
        <v>20</v>
      </c>
      <c r="B1" s="987"/>
      <c r="C1" s="987"/>
    </row>
    <row r="2" spans="1:6" ht="15.95" customHeight="1" thickBot="1" x14ac:dyDescent="0.3">
      <c r="A2" s="990"/>
      <c r="B2" s="990"/>
      <c r="C2" s="159" t="s">
        <v>596</v>
      </c>
    </row>
    <row r="3" spans="1:6" ht="38.1" customHeight="1" thickBot="1" x14ac:dyDescent="0.3">
      <c r="A3" s="22" t="s">
        <v>74</v>
      </c>
      <c r="B3" s="23" t="s">
        <v>22</v>
      </c>
      <c r="C3" s="30" t="s">
        <v>620</v>
      </c>
      <c r="D3" s="218" t="s">
        <v>603</v>
      </c>
      <c r="E3" s="218" t="s">
        <v>604</v>
      </c>
      <c r="F3" s="218" t="s">
        <v>605</v>
      </c>
    </row>
    <row r="4" spans="1:6" s="230" customFormat="1" ht="12" customHeight="1" thickBot="1" x14ac:dyDescent="0.25">
      <c r="A4" s="224" t="s">
        <v>469</v>
      </c>
      <c r="B4" s="225" t="s">
        <v>470</v>
      </c>
      <c r="C4" s="226" t="s">
        <v>471</v>
      </c>
    </row>
    <row r="5" spans="1:6" s="231" customFormat="1" ht="12" customHeight="1" thickBot="1" x14ac:dyDescent="0.25">
      <c r="A5" s="19" t="s">
        <v>23</v>
      </c>
      <c r="B5" s="20" t="s">
        <v>200</v>
      </c>
      <c r="C5" s="155">
        <f t="shared" ref="C5:C68" si="0">SUM(D5:F5)</f>
        <v>196543899</v>
      </c>
      <c r="D5" s="326">
        <f>+D6+D7+D8+D9+D10+D11</f>
        <v>196543899</v>
      </c>
      <c r="E5" s="150">
        <f>+E6+E7+E8+E9+E10+E11</f>
        <v>0</v>
      </c>
      <c r="F5" s="150">
        <f>+F6+F7+F8+F9+F10+F11</f>
        <v>0</v>
      </c>
    </row>
    <row r="6" spans="1:6" s="231" customFormat="1" ht="12" customHeight="1" x14ac:dyDescent="0.2">
      <c r="A6" s="14" t="s">
        <v>99</v>
      </c>
      <c r="B6" s="232" t="s">
        <v>201</v>
      </c>
      <c r="C6" s="372">
        <f t="shared" si="0"/>
        <v>0</v>
      </c>
      <c r="D6" s="328"/>
      <c r="E6" s="270"/>
      <c r="F6" s="152"/>
    </row>
    <row r="7" spans="1:6" s="231" customFormat="1" ht="12" customHeight="1" x14ac:dyDescent="0.2">
      <c r="A7" s="13" t="s">
        <v>100</v>
      </c>
      <c r="B7" s="233" t="s">
        <v>202</v>
      </c>
      <c r="C7" s="373">
        <f t="shared" si="0"/>
        <v>0</v>
      </c>
      <c r="D7" s="137"/>
      <c r="E7" s="154"/>
      <c r="F7" s="151"/>
    </row>
    <row r="8" spans="1:6" s="231" customFormat="1" ht="12" customHeight="1" x14ac:dyDescent="0.2">
      <c r="A8" s="13" t="s">
        <v>101</v>
      </c>
      <c r="B8" s="233" t="s">
        <v>586</v>
      </c>
      <c r="C8" s="373">
        <f t="shared" si="0"/>
        <v>119410000</v>
      </c>
      <c r="D8" s="137">
        <v>119410000</v>
      </c>
      <c r="E8" s="154"/>
      <c r="F8" s="151"/>
    </row>
    <row r="9" spans="1:6" s="231" customFormat="1" ht="12" customHeight="1" x14ac:dyDescent="0.2">
      <c r="A9" s="13" t="s">
        <v>102</v>
      </c>
      <c r="B9" s="233" t="s">
        <v>204</v>
      </c>
      <c r="C9" s="373">
        <f t="shared" si="0"/>
        <v>12622000</v>
      </c>
      <c r="D9" s="137">
        <v>12622000</v>
      </c>
      <c r="E9" s="154"/>
      <c r="F9" s="151"/>
    </row>
    <row r="10" spans="1:6" s="231" customFormat="1" ht="12" customHeight="1" x14ac:dyDescent="0.2">
      <c r="A10" s="13" t="s">
        <v>136</v>
      </c>
      <c r="B10" s="146" t="s">
        <v>472</v>
      </c>
      <c r="C10" s="516">
        <f t="shared" si="0"/>
        <v>64511899</v>
      </c>
      <c r="D10" s="303">
        <f>63796813+715086</f>
        <v>64511899</v>
      </c>
      <c r="E10" s="154"/>
      <c r="F10" s="154"/>
    </row>
    <row r="11" spans="1:6" s="231" customFormat="1" ht="12" customHeight="1" thickBot="1" x14ac:dyDescent="0.25">
      <c r="A11" s="15" t="s">
        <v>103</v>
      </c>
      <c r="B11" s="147" t="s">
        <v>473</v>
      </c>
      <c r="C11" s="374">
        <f t="shared" si="0"/>
        <v>0</v>
      </c>
      <c r="D11" s="137"/>
      <c r="E11" s="151"/>
      <c r="F11" s="151"/>
    </row>
    <row r="12" spans="1:6" s="231" customFormat="1" ht="12" customHeight="1" thickBot="1" x14ac:dyDescent="0.25">
      <c r="A12" s="19" t="s">
        <v>24</v>
      </c>
      <c r="B12" s="145" t="s">
        <v>205</v>
      </c>
      <c r="C12" s="155">
        <f t="shared" si="0"/>
        <v>149299645</v>
      </c>
      <c r="D12" s="326">
        <f>+D13+D14+D15+D16+D17</f>
        <v>129787110</v>
      </c>
      <c r="E12" s="150">
        <f>+E13+E14+E15+E16+E17</f>
        <v>0</v>
      </c>
      <c r="F12" s="150">
        <f>+F13+F14+F15+F16+F17</f>
        <v>19512535</v>
      </c>
    </row>
    <row r="13" spans="1:6" s="231" customFormat="1" ht="12" customHeight="1" x14ac:dyDescent="0.2">
      <c r="A13" s="14" t="s">
        <v>105</v>
      </c>
      <c r="B13" s="232" t="s">
        <v>206</v>
      </c>
      <c r="C13" s="372">
        <f t="shared" si="0"/>
        <v>0</v>
      </c>
      <c r="D13" s="328"/>
      <c r="E13" s="152"/>
      <c r="F13" s="152"/>
    </row>
    <row r="14" spans="1:6" s="231" customFormat="1" ht="12" customHeight="1" x14ac:dyDescent="0.2">
      <c r="A14" s="13" t="s">
        <v>106</v>
      </c>
      <c r="B14" s="233" t="s">
        <v>207</v>
      </c>
      <c r="C14" s="373">
        <f t="shared" si="0"/>
        <v>0</v>
      </c>
      <c r="D14" s="137"/>
      <c r="E14" s="151"/>
      <c r="F14" s="151"/>
    </row>
    <row r="15" spans="1:6" s="231" customFormat="1" ht="12" customHeight="1" x14ac:dyDescent="0.2">
      <c r="A15" s="13" t="s">
        <v>107</v>
      </c>
      <c r="B15" s="233" t="s">
        <v>376</v>
      </c>
      <c r="C15" s="373">
        <f t="shared" si="0"/>
        <v>0</v>
      </c>
      <c r="D15" s="137"/>
      <c r="E15" s="151"/>
      <c r="F15" s="151"/>
    </row>
    <row r="16" spans="1:6" s="231" customFormat="1" ht="12" customHeight="1" x14ac:dyDescent="0.2">
      <c r="A16" s="13" t="s">
        <v>108</v>
      </c>
      <c r="B16" s="233" t="s">
        <v>377</v>
      </c>
      <c r="C16" s="373">
        <f t="shared" si="0"/>
        <v>0</v>
      </c>
      <c r="D16" s="137"/>
      <c r="E16" s="151"/>
      <c r="F16" s="151"/>
    </row>
    <row r="17" spans="1:6" s="231" customFormat="1" ht="12" customHeight="1" x14ac:dyDescent="0.2">
      <c r="A17" s="13" t="s">
        <v>109</v>
      </c>
      <c r="B17" s="233" t="s">
        <v>208</v>
      </c>
      <c r="C17" s="373">
        <f t="shared" si="0"/>
        <v>149299645</v>
      </c>
      <c r="D17" s="303">
        <f>3900000+125887110</f>
        <v>129787110</v>
      </c>
      <c r="E17" s="305"/>
      <c r="F17" s="154">
        <v>19512535</v>
      </c>
    </row>
    <row r="18" spans="1:6" s="231" customFormat="1" ht="12" customHeight="1" thickBot="1" x14ac:dyDescent="0.25">
      <c r="A18" s="15" t="s">
        <v>118</v>
      </c>
      <c r="B18" s="147" t="s">
        <v>209</v>
      </c>
      <c r="C18" s="374">
        <f t="shared" si="0"/>
        <v>399535</v>
      </c>
      <c r="D18" s="307"/>
      <c r="E18" s="221"/>
      <c r="F18" s="221">
        <v>399535</v>
      </c>
    </row>
    <row r="19" spans="1:6" s="231" customFormat="1" ht="12" customHeight="1" thickBot="1" x14ac:dyDescent="0.25">
      <c r="A19" s="19" t="s">
        <v>25</v>
      </c>
      <c r="B19" s="20" t="s">
        <v>210</v>
      </c>
      <c r="C19" s="304">
        <f t="shared" si="0"/>
        <v>0</v>
      </c>
      <c r="D19" s="326">
        <f>+D20+D21+D22+D23+D24</f>
        <v>0</v>
      </c>
      <c r="E19" s="150">
        <f>+E20+E21+E22+E23+E24</f>
        <v>0</v>
      </c>
      <c r="F19" s="150">
        <f>+F20+F21+F22+F23+F24</f>
        <v>0</v>
      </c>
    </row>
    <row r="20" spans="1:6" s="231" customFormat="1" ht="12" customHeight="1" x14ac:dyDescent="0.2">
      <c r="A20" s="14" t="s">
        <v>88</v>
      </c>
      <c r="B20" s="232" t="s">
        <v>211</v>
      </c>
      <c r="C20" s="372">
        <f t="shared" si="0"/>
        <v>0</v>
      </c>
      <c r="D20" s="328"/>
      <c r="E20" s="302"/>
      <c r="F20" s="152"/>
    </row>
    <row r="21" spans="1:6" s="231" customFormat="1" ht="12" customHeight="1" x14ac:dyDescent="0.2">
      <c r="A21" s="13" t="s">
        <v>89</v>
      </c>
      <c r="B21" s="233" t="s">
        <v>212</v>
      </c>
      <c r="C21" s="373">
        <f t="shared" si="0"/>
        <v>0</v>
      </c>
      <c r="D21" s="137"/>
      <c r="E21" s="154"/>
      <c r="F21" s="151"/>
    </row>
    <row r="22" spans="1:6" s="231" customFormat="1" ht="12" customHeight="1" x14ac:dyDescent="0.2">
      <c r="A22" s="13" t="s">
        <v>90</v>
      </c>
      <c r="B22" s="233" t="s">
        <v>378</v>
      </c>
      <c r="C22" s="373">
        <f t="shared" si="0"/>
        <v>0</v>
      </c>
      <c r="D22" s="137"/>
      <c r="E22" s="154"/>
      <c r="F22" s="151"/>
    </row>
    <row r="23" spans="1:6" s="231" customFormat="1" ht="12" customHeight="1" x14ac:dyDescent="0.2">
      <c r="A23" s="13" t="s">
        <v>91</v>
      </c>
      <c r="B23" s="233" t="s">
        <v>379</v>
      </c>
      <c r="C23" s="373">
        <f t="shared" si="0"/>
        <v>0</v>
      </c>
      <c r="D23" s="137"/>
      <c r="E23" s="154"/>
      <c r="F23" s="151"/>
    </row>
    <row r="24" spans="1:6" s="231" customFormat="1" ht="12" customHeight="1" x14ac:dyDescent="0.2">
      <c r="A24" s="13" t="s">
        <v>147</v>
      </c>
      <c r="B24" s="233" t="s">
        <v>213</v>
      </c>
      <c r="C24" s="373">
        <f t="shared" si="0"/>
        <v>0</v>
      </c>
      <c r="D24" s="303"/>
      <c r="E24" s="154"/>
      <c r="F24" s="154"/>
    </row>
    <row r="25" spans="1:6" s="231" customFormat="1" ht="12" customHeight="1" thickBot="1" x14ac:dyDescent="0.25">
      <c r="A25" s="15" t="s">
        <v>148</v>
      </c>
      <c r="B25" s="234" t="s">
        <v>214</v>
      </c>
      <c r="C25" s="374">
        <f t="shared" si="0"/>
        <v>0</v>
      </c>
      <c r="D25" s="307"/>
      <c r="E25" s="221"/>
      <c r="F25" s="221"/>
    </row>
    <row r="26" spans="1:6" s="231" customFormat="1" ht="12" customHeight="1" thickBot="1" x14ac:dyDescent="0.25">
      <c r="A26" s="19" t="s">
        <v>149</v>
      </c>
      <c r="B26" s="20" t="s">
        <v>215</v>
      </c>
      <c r="C26" s="304">
        <f t="shared" si="0"/>
        <v>0</v>
      </c>
      <c r="D26" s="329">
        <f>+D27+D31+D32+D33</f>
        <v>0</v>
      </c>
      <c r="E26" s="155">
        <f>+E27+E31+E32+E33</f>
        <v>0</v>
      </c>
      <c r="F26" s="155">
        <f>+F27+F31+F32+F33</f>
        <v>0</v>
      </c>
    </row>
    <row r="27" spans="1:6" s="231" customFormat="1" ht="12" customHeight="1" x14ac:dyDescent="0.2">
      <c r="A27" s="14" t="s">
        <v>216</v>
      </c>
      <c r="B27" s="232" t="s">
        <v>474</v>
      </c>
      <c r="C27" s="372">
        <f t="shared" si="0"/>
        <v>0</v>
      </c>
      <c r="D27" s="362">
        <f>+D28+D29+D30</f>
        <v>0</v>
      </c>
      <c r="E27" s="227"/>
      <c r="F27" s="227">
        <f>+F28+F29+F30</f>
        <v>0</v>
      </c>
    </row>
    <row r="28" spans="1:6" s="231" customFormat="1" ht="12" customHeight="1" x14ac:dyDescent="0.2">
      <c r="A28" s="13" t="s">
        <v>217</v>
      </c>
      <c r="B28" s="233" t="s">
        <v>222</v>
      </c>
      <c r="C28" s="373">
        <f t="shared" si="0"/>
        <v>0</v>
      </c>
      <c r="D28" s="137"/>
      <c r="E28" s="151"/>
      <c r="F28" s="151"/>
    </row>
    <row r="29" spans="1:6" s="231" customFormat="1" ht="12" customHeight="1" x14ac:dyDescent="0.2">
      <c r="A29" s="13" t="s">
        <v>218</v>
      </c>
      <c r="B29" s="233" t="s">
        <v>223</v>
      </c>
      <c r="C29" s="373">
        <f t="shared" si="0"/>
        <v>0</v>
      </c>
      <c r="D29" s="137"/>
      <c r="E29" s="151"/>
      <c r="F29" s="151"/>
    </row>
    <row r="30" spans="1:6" s="231" customFormat="1" ht="12" customHeight="1" x14ac:dyDescent="0.2">
      <c r="A30" s="13" t="s">
        <v>475</v>
      </c>
      <c r="B30" s="286" t="s">
        <v>476</v>
      </c>
      <c r="C30" s="373">
        <f t="shared" si="0"/>
        <v>0</v>
      </c>
      <c r="D30" s="137"/>
      <c r="E30" s="154"/>
      <c r="F30" s="151"/>
    </row>
    <row r="31" spans="1:6" s="231" customFormat="1" ht="12" customHeight="1" x14ac:dyDescent="0.2">
      <c r="A31" s="13" t="s">
        <v>219</v>
      </c>
      <c r="B31" s="233" t="s">
        <v>224</v>
      </c>
      <c r="C31" s="373">
        <f t="shared" si="0"/>
        <v>0</v>
      </c>
      <c r="D31" s="137"/>
      <c r="E31" s="151"/>
      <c r="F31" s="151"/>
    </row>
    <row r="32" spans="1:6" s="231" customFormat="1" ht="12" customHeight="1" x14ac:dyDescent="0.2">
      <c r="A32" s="13" t="s">
        <v>220</v>
      </c>
      <c r="B32" s="233" t="s">
        <v>225</v>
      </c>
      <c r="C32" s="373">
        <f t="shared" si="0"/>
        <v>0</v>
      </c>
      <c r="D32" s="137"/>
      <c r="E32" s="151"/>
      <c r="F32" s="151"/>
    </row>
    <row r="33" spans="1:6" s="231" customFormat="1" ht="12" customHeight="1" thickBot="1" x14ac:dyDescent="0.25">
      <c r="A33" s="15" t="s">
        <v>221</v>
      </c>
      <c r="B33" s="234" t="s">
        <v>226</v>
      </c>
      <c r="C33" s="374">
        <f t="shared" si="0"/>
        <v>0</v>
      </c>
      <c r="D33" s="138"/>
      <c r="E33" s="221"/>
      <c r="F33" s="153"/>
    </row>
    <row r="34" spans="1:6" s="231" customFormat="1" ht="12" customHeight="1" thickBot="1" x14ac:dyDescent="0.25">
      <c r="A34" s="19" t="s">
        <v>27</v>
      </c>
      <c r="B34" s="20" t="s">
        <v>477</v>
      </c>
      <c r="C34" s="155">
        <f t="shared" si="0"/>
        <v>198152636</v>
      </c>
      <c r="D34" s="326">
        <f>SUM(D35:D45)</f>
        <v>15582000</v>
      </c>
      <c r="E34" s="150">
        <f>SUM(E35:E45)</f>
        <v>3646250</v>
      </c>
      <c r="F34" s="150">
        <f>SUM(F35:F45)</f>
        <v>178924386</v>
      </c>
    </row>
    <row r="35" spans="1:6" s="231" customFormat="1" ht="12" customHeight="1" x14ac:dyDescent="0.2">
      <c r="A35" s="14" t="s">
        <v>92</v>
      </c>
      <c r="B35" s="232" t="s">
        <v>229</v>
      </c>
      <c r="C35" s="372">
        <f t="shared" si="0"/>
        <v>12159000</v>
      </c>
      <c r="D35" s="328">
        <v>12159000</v>
      </c>
      <c r="E35" s="270"/>
      <c r="F35" s="152"/>
    </row>
    <row r="36" spans="1:6" s="231" customFormat="1" ht="12" customHeight="1" x14ac:dyDescent="0.2">
      <c r="A36" s="13" t="s">
        <v>93</v>
      </c>
      <c r="B36" s="233" t="s">
        <v>230</v>
      </c>
      <c r="C36" s="516">
        <f t="shared" si="0"/>
        <v>8730783</v>
      </c>
      <c r="D36" s="303">
        <v>62992</v>
      </c>
      <c r="E36" s="154">
        <f>500000+2371063</f>
        <v>2871063</v>
      </c>
      <c r="F36" s="152">
        <v>5796728</v>
      </c>
    </row>
    <row r="37" spans="1:6" s="231" customFormat="1" ht="12" customHeight="1" x14ac:dyDescent="0.2">
      <c r="A37" s="13" t="s">
        <v>94</v>
      </c>
      <c r="B37" s="233" t="s">
        <v>231</v>
      </c>
      <c r="C37" s="373">
        <f t="shared" si="0"/>
        <v>12700000</v>
      </c>
      <c r="D37" s="303"/>
      <c r="E37" s="154"/>
      <c r="F37" s="152">
        <v>12700000</v>
      </c>
    </row>
    <row r="38" spans="1:6" s="231" customFormat="1" ht="12" customHeight="1" x14ac:dyDescent="0.2">
      <c r="A38" s="13" t="s">
        <v>151</v>
      </c>
      <c r="B38" s="233" t="s">
        <v>232</v>
      </c>
      <c r="C38" s="373">
        <f t="shared" si="0"/>
        <v>0</v>
      </c>
      <c r="D38" s="137"/>
      <c r="E38" s="154"/>
      <c r="F38" s="152"/>
    </row>
    <row r="39" spans="1:6" s="231" customFormat="1" ht="12" customHeight="1" x14ac:dyDescent="0.2">
      <c r="A39" s="13" t="s">
        <v>152</v>
      </c>
      <c r="B39" s="233" t="s">
        <v>233</v>
      </c>
      <c r="C39" s="373">
        <f t="shared" si="0"/>
        <v>157919035</v>
      </c>
      <c r="D39" s="137"/>
      <c r="E39" s="154"/>
      <c r="F39" s="152">
        <v>157919035</v>
      </c>
    </row>
    <row r="40" spans="1:6" s="231" customFormat="1" ht="12" customHeight="1" x14ac:dyDescent="0.2">
      <c r="A40" s="13" t="s">
        <v>153</v>
      </c>
      <c r="B40" s="233" t="s">
        <v>234</v>
      </c>
      <c r="C40" s="516">
        <f t="shared" si="0"/>
        <v>6583818</v>
      </c>
      <c r="D40" s="137">
        <f>3283000+17008</f>
        <v>3300008</v>
      </c>
      <c r="E40" s="154">
        <f>135000+640187</f>
        <v>775187</v>
      </c>
      <c r="F40" s="152">
        <v>2508623</v>
      </c>
    </row>
    <row r="41" spans="1:6" s="231" customFormat="1" ht="12" customHeight="1" x14ac:dyDescent="0.2">
      <c r="A41" s="13" t="s">
        <v>154</v>
      </c>
      <c r="B41" s="233" t="s">
        <v>235</v>
      </c>
      <c r="C41" s="373">
        <f t="shared" si="0"/>
        <v>0</v>
      </c>
      <c r="D41" s="137"/>
      <c r="E41" s="154"/>
      <c r="F41" s="152"/>
    </row>
    <row r="42" spans="1:6" s="231" customFormat="1" ht="12" customHeight="1" x14ac:dyDescent="0.2">
      <c r="A42" s="13" t="s">
        <v>155</v>
      </c>
      <c r="B42" s="233" t="s">
        <v>583</v>
      </c>
      <c r="C42" s="373">
        <f t="shared" si="0"/>
        <v>0</v>
      </c>
      <c r="D42" s="137"/>
      <c r="E42" s="154"/>
      <c r="F42" s="154"/>
    </row>
    <row r="43" spans="1:6" s="231" customFormat="1" ht="12" customHeight="1" x14ac:dyDescent="0.2">
      <c r="A43" s="13" t="s">
        <v>227</v>
      </c>
      <c r="B43" s="233" t="s">
        <v>237</v>
      </c>
      <c r="C43" s="373">
        <f t="shared" si="0"/>
        <v>0</v>
      </c>
      <c r="D43" s="303"/>
      <c r="E43" s="154"/>
      <c r="F43" s="154"/>
    </row>
    <row r="44" spans="1:6" s="231" customFormat="1" ht="12" customHeight="1" x14ac:dyDescent="0.2">
      <c r="A44" s="15" t="s">
        <v>228</v>
      </c>
      <c r="B44" s="234" t="s">
        <v>478</v>
      </c>
      <c r="C44" s="373">
        <f t="shared" si="0"/>
        <v>0</v>
      </c>
      <c r="D44" s="307"/>
      <c r="E44" s="221"/>
      <c r="F44" s="221"/>
    </row>
    <row r="45" spans="1:6" s="231" customFormat="1" ht="12" customHeight="1" thickBot="1" x14ac:dyDescent="0.25">
      <c r="A45" s="15" t="s">
        <v>479</v>
      </c>
      <c r="B45" s="147" t="s">
        <v>238</v>
      </c>
      <c r="C45" s="374">
        <f t="shared" si="0"/>
        <v>60000</v>
      </c>
      <c r="D45" s="307">
        <v>60000</v>
      </c>
      <c r="E45" s="221"/>
      <c r="F45" s="221"/>
    </row>
    <row r="46" spans="1:6" s="231" customFormat="1" ht="12" customHeight="1" thickBot="1" x14ac:dyDescent="0.25">
      <c r="A46" s="19" t="s">
        <v>28</v>
      </c>
      <c r="B46" s="20" t="s">
        <v>239</v>
      </c>
      <c r="C46" s="155">
        <f t="shared" si="0"/>
        <v>0</v>
      </c>
      <c r="D46" s="326">
        <f>SUM(D47:D51)</f>
        <v>0</v>
      </c>
      <c r="E46" s="150">
        <f>SUM(E47:E51)</f>
        <v>0</v>
      </c>
      <c r="F46" s="150">
        <f>SUM(F47:F51)</f>
        <v>0</v>
      </c>
    </row>
    <row r="47" spans="1:6" s="231" customFormat="1" ht="12" customHeight="1" x14ac:dyDescent="0.2">
      <c r="A47" s="14" t="s">
        <v>95</v>
      </c>
      <c r="B47" s="232" t="s">
        <v>243</v>
      </c>
      <c r="C47" s="372">
        <f t="shared" si="0"/>
        <v>0</v>
      </c>
      <c r="D47" s="332"/>
      <c r="E47" s="270"/>
      <c r="F47" s="270"/>
    </row>
    <row r="48" spans="1:6" s="231" customFormat="1" ht="12" customHeight="1" x14ac:dyDescent="0.2">
      <c r="A48" s="13" t="s">
        <v>96</v>
      </c>
      <c r="B48" s="233" t="s">
        <v>244</v>
      </c>
      <c r="C48" s="373">
        <f t="shared" si="0"/>
        <v>0</v>
      </c>
      <c r="D48" s="303"/>
      <c r="E48" s="154"/>
      <c r="F48" s="154"/>
    </row>
    <row r="49" spans="1:6" s="231" customFormat="1" ht="12" customHeight="1" x14ac:dyDescent="0.2">
      <c r="A49" s="13" t="s">
        <v>240</v>
      </c>
      <c r="B49" s="233" t="s">
        <v>245</v>
      </c>
      <c r="C49" s="373">
        <f t="shared" si="0"/>
        <v>0</v>
      </c>
      <c r="D49" s="303"/>
      <c r="E49" s="154"/>
      <c r="F49" s="154"/>
    </row>
    <row r="50" spans="1:6" s="231" customFormat="1" ht="12" customHeight="1" x14ac:dyDescent="0.2">
      <c r="A50" s="13" t="s">
        <v>241</v>
      </c>
      <c r="B50" s="233" t="s">
        <v>246</v>
      </c>
      <c r="C50" s="373">
        <f t="shared" si="0"/>
        <v>0</v>
      </c>
      <c r="D50" s="303"/>
      <c r="E50" s="154"/>
      <c r="F50" s="154"/>
    </row>
    <row r="51" spans="1:6" s="231" customFormat="1" ht="12" customHeight="1" thickBot="1" x14ac:dyDescent="0.25">
      <c r="A51" s="15" t="s">
        <v>242</v>
      </c>
      <c r="B51" s="147" t="s">
        <v>247</v>
      </c>
      <c r="C51" s="374">
        <f t="shared" si="0"/>
        <v>0</v>
      </c>
      <c r="D51" s="307"/>
      <c r="E51" s="221"/>
      <c r="F51" s="221"/>
    </row>
    <row r="52" spans="1:6" s="231" customFormat="1" ht="12" customHeight="1" thickBot="1" x14ac:dyDescent="0.25">
      <c r="A52" s="19" t="s">
        <v>156</v>
      </c>
      <c r="B52" s="20" t="s">
        <v>248</v>
      </c>
      <c r="C52" s="155">
        <f t="shared" si="0"/>
        <v>1866000</v>
      </c>
      <c r="D52" s="326">
        <f>SUM(D53:D55)</f>
        <v>1866000</v>
      </c>
      <c r="E52" s="150">
        <f>SUM(E53:E55)</f>
        <v>0</v>
      </c>
      <c r="F52" s="150">
        <f>SUM(F53:F55)</f>
        <v>0</v>
      </c>
    </row>
    <row r="53" spans="1:6" s="231" customFormat="1" ht="12" customHeight="1" x14ac:dyDescent="0.2">
      <c r="A53" s="14" t="s">
        <v>97</v>
      </c>
      <c r="B53" s="232" t="s">
        <v>249</v>
      </c>
      <c r="C53" s="372">
        <f t="shared" si="0"/>
        <v>0</v>
      </c>
      <c r="D53" s="328"/>
      <c r="E53" s="152"/>
      <c r="F53" s="152"/>
    </row>
    <row r="54" spans="1:6" s="231" customFormat="1" ht="12" customHeight="1" x14ac:dyDescent="0.2">
      <c r="A54" s="13" t="s">
        <v>98</v>
      </c>
      <c r="B54" s="233" t="s">
        <v>380</v>
      </c>
      <c r="C54" s="373">
        <f t="shared" si="0"/>
        <v>1866000</v>
      </c>
      <c r="D54" s="303">
        <f>300000+1566000</f>
        <v>1866000</v>
      </c>
      <c r="E54" s="154"/>
      <c r="F54" s="154"/>
    </row>
    <row r="55" spans="1:6" s="231" customFormat="1" ht="12" customHeight="1" x14ac:dyDescent="0.2">
      <c r="A55" s="13" t="s">
        <v>252</v>
      </c>
      <c r="B55" s="233" t="s">
        <v>250</v>
      </c>
      <c r="C55" s="373">
        <f t="shared" si="0"/>
        <v>0</v>
      </c>
      <c r="D55" s="303"/>
      <c r="E55" s="154"/>
      <c r="F55" s="154"/>
    </row>
    <row r="56" spans="1:6" s="231" customFormat="1" ht="12" customHeight="1" thickBot="1" x14ac:dyDescent="0.25">
      <c r="A56" s="15" t="s">
        <v>253</v>
      </c>
      <c r="B56" s="147" t="s">
        <v>251</v>
      </c>
      <c r="C56" s="374">
        <f t="shared" si="0"/>
        <v>0</v>
      </c>
      <c r="D56" s="138"/>
      <c r="E56" s="153"/>
      <c r="F56" s="153"/>
    </row>
    <row r="57" spans="1:6" s="231" customFormat="1" ht="12" customHeight="1" thickBot="1" x14ac:dyDescent="0.25">
      <c r="A57" s="19" t="s">
        <v>30</v>
      </c>
      <c r="B57" s="145" t="s">
        <v>254</v>
      </c>
      <c r="C57" s="155">
        <f t="shared" si="0"/>
        <v>0</v>
      </c>
      <c r="D57" s="326">
        <f>SUM(D58:D60)</f>
        <v>0</v>
      </c>
      <c r="E57" s="150">
        <f>SUM(E58:E60)</f>
        <v>0</v>
      </c>
      <c r="F57" s="150">
        <f>SUM(F58:F60)</f>
        <v>0</v>
      </c>
    </row>
    <row r="58" spans="1:6" s="231" customFormat="1" ht="12" customHeight="1" x14ac:dyDescent="0.2">
      <c r="A58" s="14" t="s">
        <v>157</v>
      </c>
      <c r="B58" s="232" t="s">
        <v>256</v>
      </c>
      <c r="C58" s="372">
        <f t="shared" si="0"/>
        <v>0</v>
      </c>
      <c r="D58" s="303"/>
      <c r="E58" s="154"/>
      <c r="F58" s="154"/>
    </row>
    <row r="59" spans="1:6" s="231" customFormat="1" ht="12" customHeight="1" x14ac:dyDescent="0.2">
      <c r="A59" s="13" t="s">
        <v>158</v>
      </c>
      <c r="B59" s="233" t="s">
        <v>381</v>
      </c>
      <c r="C59" s="373">
        <f t="shared" si="0"/>
        <v>0</v>
      </c>
      <c r="D59" s="303"/>
      <c r="E59" s="154"/>
      <c r="F59" s="154"/>
    </row>
    <row r="60" spans="1:6" s="231" customFormat="1" ht="12" customHeight="1" x14ac:dyDescent="0.2">
      <c r="A60" s="13" t="s">
        <v>180</v>
      </c>
      <c r="B60" s="233" t="s">
        <v>257</v>
      </c>
      <c r="C60" s="373">
        <f t="shared" si="0"/>
        <v>0</v>
      </c>
      <c r="D60" s="303"/>
      <c r="E60" s="154"/>
      <c r="F60" s="154"/>
    </row>
    <row r="61" spans="1:6" s="231" customFormat="1" ht="12" customHeight="1" thickBot="1" x14ac:dyDescent="0.25">
      <c r="A61" s="15" t="s">
        <v>255</v>
      </c>
      <c r="B61" s="147" t="s">
        <v>258</v>
      </c>
      <c r="C61" s="374">
        <f t="shared" si="0"/>
        <v>0</v>
      </c>
      <c r="D61" s="303"/>
      <c r="E61" s="154"/>
      <c r="F61" s="154"/>
    </row>
    <row r="62" spans="1:6" s="231" customFormat="1" ht="12" customHeight="1" thickBot="1" x14ac:dyDescent="0.25">
      <c r="A62" s="287" t="s">
        <v>480</v>
      </c>
      <c r="B62" s="20" t="s">
        <v>259</v>
      </c>
      <c r="C62" s="155">
        <f t="shared" si="0"/>
        <v>545862180</v>
      </c>
      <c r="D62" s="329">
        <f>+D5+D12+D19+D26+D34+D46+D52+D57</f>
        <v>343779009</v>
      </c>
      <c r="E62" s="155">
        <f>+E5+E12+E19+E26+E34+E46+E52+E57</f>
        <v>3646250</v>
      </c>
      <c r="F62" s="155">
        <f>+F5+F12+F19+F26+F34+F46+F52+F57</f>
        <v>198436921</v>
      </c>
    </row>
    <row r="63" spans="1:6" s="231" customFormat="1" ht="12" customHeight="1" thickBot="1" x14ac:dyDescent="0.25">
      <c r="A63" s="288" t="s">
        <v>260</v>
      </c>
      <c r="B63" s="145" t="s">
        <v>261</v>
      </c>
      <c r="C63" s="155">
        <f t="shared" si="0"/>
        <v>0</v>
      </c>
      <c r="D63" s="326">
        <f>SUM(D64:D66)</f>
        <v>0</v>
      </c>
      <c r="E63" s="150">
        <f>SUM(E64:E66)</f>
        <v>0</v>
      </c>
      <c r="F63" s="304">
        <f>SUM(F64:F66)</f>
        <v>0</v>
      </c>
    </row>
    <row r="64" spans="1:6" s="231" customFormat="1" ht="12" customHeight="1" x14ac:dyDescent="0.2">
      <c r="A64" s="14" t="s">
        <v>292</v>
      </c>
      <c r="B64" s="232" t="s">
        <v>262</v>
      </c>
      <c r="C64" s="372">
        <f t="shared" si="0"/>
        <v>0</v>
      </c>
      <c r="D64" s="308"/>
      <c r="E64" s="154"/>
      <c r="F64" s="154">
        <v>0</v>
      </c>
    </row>
    <row r="65" spans="1:6" s="231" customFormat="1" ht="12" customHeight="1" x14ac:dyDescent="0.2">
      <c r="A65" s="13" t="s">
        <v>301</v>
      </c>
      <c r="B65" s="233" t="s">
        <v>263</v>
      </c>
      <c r="C65" s="373">
        <f t="shared" si="0"/>
        <v>0</v>
      </c>
      <c r="D65" s="303"/>
      <c r="E65" s="154"/>
      <c r="F65" s="154"/>
    </row>
    <row r="66" spans="1:6" s="231" customFormat="1" ht="12" customHeight="1" thickBot="1" x14ac:dyDescent="0.25">
      <c r="A66" s="15" t="s">
        <v>302</v>
      </c>
      <c r="B66" s="289" t="s">
        <v>481</v>
      </c>
      <c r="C66" s="374">
        <f t="shared" si="0"/>
        <v>0</v>
      </c>
      <c r="D66" s="303"/>
      <c r="E66" s="154"/>
      <c r="F66" s="154"/>
    </row>
    <row r="67" spans="1:6" s="231" customFormat="1" ht="12" customHeight="1" thickBot="1" x14ac:dyDescent="0.25">
      <c r="A67" s="288" t="s">
        <v>265</v>
      </c>
      <c r="B67" s="145" t="s">
        <v>266</v>
      </c>
      <c r="C67" s="304">
        <f t="shared" si="0"/>
        <v>0</v>
      </c>
      <c r="D67" s="326">
        <f>SUM(D68:D71)</f>
        <v>0</v>
      </c>
      <c r="E67" s="150">
        <f>SUM(E68:E71)</f>
        <v>0</v>
      </c>
      <c r="F67" s="150">
        <f>SUM(F68:F71)</f>
        <v>0</v>
      </c>
    </row>
    <row r="68" spans="1:6" s="231" customFormat="1" ht="12" customHeight="1" x14ac:dyDescent="0.2">
      <c r="A68" s="14" t="s">
        <v>137</v>
      </c>
      <c r="B68" s="232" t="s">
        <v>267</v>
      </c>
      <c r="C68" s="372">
        <f t="shared" si="0"/>
        <v>0</v>
      </c>
      <c r="D68" s="303"/>
      <c r="E68" s="154"/>
      <c r="F68" s="154"/>
    </row>
    <row r="69" spans="1:6" s="231" customFormat="1" ht="12" customHeight="1" x14ac:dyDescent="0.2">
      <c r="A69" s="13" t="s">
        <v>138</v>
      </c>
      <c r="B69" s="233" t="s">
        <v>268</v>
      </c>
      <c r="C69" s="373">
        <f t="shared" ref="C69:C87" si="1">SUM(D69:F69)</f>
        <v>0</v>
      </c>
      <c r="D69" s="303"/>
      <c r="E69" s="154"/>
      <c r="F69" s="154"/>
    </row>
    <row r="70" spans="1:6" s="231" customFormat="1" ht="12" customHeight="1" x14ac:dyDescent="0.2">
      <c r="A70" s="13" t="s">
        <v>293</v>
      </c>
      <c r="B70" s="233" t="s">
        <v>269</v>
      </c>
      <c r="C70" s="373">
        <f t="shared" si="1"/>
        <v>0</v>
      </c>
      <c r="D70" s="303"/>
      <c r="E70" s="154"/>
      <c r="F70" s="154"/>
    </row>
    <row r="71" spans="1:6" s="231" customFormat="1" ht="12" customHeight="1" thickBot="1" x14ac:dyDescent="0.25">
      <c r="A71" s="15" t="s">
        <v>294</v>
      </c>
      <c r="B71" s="147" t="s">
        <v>270</v>
      </c>
      <c r="C71" s="374">
        <f t="shared" si="1"/>
        <v>0</v>
      </c>
      <c r="D71" s="303"/>
      <c r="E71" s="154"/>
      <c r="F71" s="154"/>
    </row>
    <row r="72" spans="1:6" s="231" customFormat="1" ht="12" customHeight="1" thickBot="1" x14ac:dyDescent="0.25">
      <c r="A72" s="288" t="s">
        <v>271</v>
      </c>
      <c r="B72" s="145" t="s">
        <v>272</v>
      </c>
      <c r="C72" s="155">
        <f t="shared" si="1"/>
        <v>18026960</v>
      </c>
      <c r="D72" s="326">
        <f>SUM(D73:D74)</f>
        <v>0</v>
      </c>
      <c r="E72" s="150">
        <f>SUM(E73:E74)</f>
        <v>0</v>
      </c>
      <c r="F72" s="150">
        <f>SUM(F73:F74)</f>
        <v>18026960</v>
      </c>
    </row>
    <row r="73" spans="1:6" s="231" customFormat="1" ht="12" customHeight="1" x14ac:dyDescent="0.2">
      <c r="A73" s="14" t="s">
        <v>295</v>
      </c>
      <c r="B73" s="232" t="s">
        <v>273</v>
      </c>
      <c r="C73" s="372">
        <f t="shared" si="1"/>
        <v>18026960</v>
      </c>
      <c r="D73" s="303"/>
      <c r="E73" s="154"/>
      <c r="F73" s="154">
        <v>18026960</v>
      </c>
    </row>
    <row r="74" spans="1:6" s="231" customFormat="1" ht="12" customHeight="1" thickBot="1" x14ac:dyDescent="0.25">
      <c r="A74" s="15" t="s">
        <v>296</v>
      </c>
      <c r="B74" s="147" t="s">
        <v>274</v>
      </c>
      <c r="C74" s="374">
        <f t="shared" si="1"/>
        <v>0</v>
      </c>
      <c r="D74" s="303"/>
      <c r="E74" s="154"/>
      <c r="F74" s="154"/>
    </row>
    <row r="75" spans="1:6" s="231" customFormat="1" ht="12" customHeight="1" thickBot="1" x14ac:dyDescent="0.25">
      <c r="A75" s="288" t="s">
        <v>275</v>
      </c>
      <c r="B75" s="145" t="s">
        <v>276</v>
      </c>
      <c r="C75" s="155">
        <f t="shared" si="1"/>
        <v>0</v>
      </c>
      <c r="D75" s="326">
        <f>SUM(D76:D78)</f>
        <v>0</v>
      </c>
      <c r="E75" s="150">
        <f>SUM(E76:E78)</f>
        <v>0</v>
      </c>
      <c r="F75" s="150">
        <f>SUM(F76:F78)</f>
        <v>0</v>
      </c>
    </row>
    <row r="76" spans="1:6" s="231" customFormat="1" ht="12" customHeight="1" x14ac:dyDescent="0.2">
      <c r="A76" s="14" t="s">
        <v>297</v>
      </c>
      <c r="B76" s="232" t="s">
        <v>277</v>
      </c>
      <c r="C76" s="372">
        <f t="shared" si="1"/>
        <v>0</v>
      </c>
      <c r="D76" s="303"/>
      <c r="E76" s="154"/>
      <c r="F76" s="154"/>
    </row>
    <row r="77" spans="1:6" s="231" customFormat="1" ht="12" customHeight="1" x14ac:dyDescent="0.2">
      <c r="A77" s="13" t="s">
        <v>298</v>
      </c>
      <c r="B77" s="233" t="s">
        <v>278</v>
      </c>
      <c r="C77" s="373">
        <f t="shared" si="1"/>
        <v>0</v>
      </c>
      <c r="D77" s="303"/>
      <c r="E77" s="154"/>
      <c r="F77" s="154"/>
    </row>
    <row r="78" spans="1:6" s="231" customFormat="1" ht="12" customHeight="1" thickBot="1" x14ac:dyDescent="0.25">
      <c r="A78" s="15" t="s">
        <v>299</v>
      </c>
      <c r="B78" s="147" t="s">
        <v>279</v>
      </c>
      <c r="C78" s="374">
        <f t="shared" si="1"/>
        <v>0</v>
      </c>
      <c r="D78" s="303"/>
      <c r="E78" s="154"/>
      <c r="F78" s="154"/>
    </row>
    <row r="79" spans="1:6" s="231" customFormat="1" ht="12" customHeight="1" thickBot="1" x14ac:dyDescent="0.25">
      <c r="A79" s="288" t="s">
        <v>280</v>
      </c>
      <c r="B79" s="145" t="s">
        <v>300</v>
      </c>
      <c r="C79" s="155">
        <f t="shared" si="1"/>
        <v>0</v>
      </c>
      <c r="D79" s="326">
        <f>SUM(D80:D83)</f>
        <v>0</v>
      </c>
      <c r="E79" s="150">
        <f>SUM(E80:E83)</f>
        <v>0</v>
      </c>
      <c r="F79" s="150">
        <f>SUM(F80:F83)</f>
        <v>0</v>
      </c>
    </row>
    <row r="80" spans="1:6" s="231" customFormat="1" ht="12" customHeight="1" x14ac:dyDescent="0.2">
      <c r="A80" s="236" t="s">
        <v>281</v>
      </c>
      <c r="B80" s="232" t="s">
        <v>282</v>
      </c>
      <c r="C80" s="372">
        <f t="shared" si="1"/>
        <v>0</v>
      </c>
      <c r="D80" s="303"/>
      <c r="E80" s="154"/>
      <c r="F80" s="154"/>
    </row>
    <row r="81" spans="1:6" s="231" customFormat="1" ht="12" customHeight="1" x14ac:dyDescent="0.2">
      <c r="A81" s="237" t="s">
        <v>283</v>
      </c>
      <c r="B81" s="233" t="s">
        <v>284</v>
      </c>
      <c r="C81" s="373">
        <f t="shared" si="1"/>
        <v>0</v>
      </c>
      <c r="D81" s="303"/>
      <c r="E81" s="154"/>
      <c r="F81" s="154"/>
    </row>
    <row r="82" spans="1:6" s="231" customFormat="1" ht="12" customHeight="1" x14ac:dyDescent="0.2">
      <c r="A82" s="237" t="s">
        <v>285</v>
      </c>
      <c r="B82" s="233" t="s">
        <v>286</v>
      </c>
      <c r="C82" s="373">
        <f t="shared" si="1"/>
        <v>0</v>
      </c>
      <c r="D82" s="303"/>
      <c r="E82" s="154"/>
      <c r="F82" s="154"/>
    </row>
    <row r="83" spans="1:6" s="231" customFormat="1" ht="12" customHeight="1" thickBot="1" x14ac:dyDescent="0.25">
      <c r="A83" s="238" t="s">
        <v>287</v>
      </c>
      <c r="B83" s="147" t="s">
        <v>288</v>
      </c>
      <c r="C83" s="374">
        <f t="shared" si="1"/>
        <v>0</v>
      </c>
      <c r="D83" s="303"/>
      <c r="E83" s="154"/>
      <c r="F83" s="154"/>
    </row>
    <row r="84" spans="1:6" s="231" customFormat="1" ht="12" customHeight="1" thickBot="1" x14ac:dyDescent="0.25">
      <c r="A84" s="288" t="s">
        <v>289</v>
      </c>
      <c r="B84" s="145" t="s">
        <v>482</v>
      </c>
      <c r="C84" s="150">
        <f t="shared" si="1"/>
        <v>0</v>
      </c>
      <c r="D84" s="333"/>
      <c r="E84" s="271"/>
      <c r="F84" s="271"/>
    </row>
    <row r="85" spans="1:6" s="231" customFormat="1" ht="13.5" customHeight="1" thickBot="1" x14ac:dyDescent="0.25">
      <c r="A85" s="288" t="s">
        <v>291</v>
      </c>
      <c r="B85" s="145" t="s">
        <v>290</v>
      </c>
      <c r="C85" s="150">
        <f t="shared" si="1"/>
        <v>0</v>
      </c>
      <c r="D85" s="333"/>
      <c r="E85" s="271"/>
      <c r="F85" s="271"/>
    </row>
    <row r="86" spans="1:6" s="231" customFormat="1" ht="15.75" customHeight="1" thickBot="1" x14ac:dyDescent="0.25">
      <c r="A86" s="288" t="s">
        <v>303</v>
      </c>
      <c r="B86" s="239" t="s">
        <v>483</v>
      </c>
      <c r="C86" s="150">
        <f t="shared" si="1"/>
        <v>18026960</v>
      </c>
      <c r="D86" s="329">
        <f>+D63+D67+D72+D75+D79+D85+D84</f>
        <v>0</v>
      </c>
      <c r="E86" s="155">
        <f>+E63+E67+E72+E75+E79+E85+E84</f>
        <v>0</v>
      </c>
      <c r="F86" s="155">
        <f>+F63+F67+F72+F75+F79+F85+F84</f>
        <v>18026960</v>
      </c>
    </row>
    <row r="87" spans="1:6" s="231" customFormat="1" ht="16.5" customHeight="1" thickBot="1" x14ac:dyDescent="0.25">
      <c r="A87" s="290" t="s">
        <v>484</v>
      </c>
      <c r="B87" s="240" t="s">
        <v>485</v>
      </c>
      <c r="C87" s="150">
        <f t="shared" si="1"/>
        <v>563889140</v>
      </c>
      <c r="D87" s="329">
        <f>+D62+D86</f>
        <v>343779009</v>
      </c>
      <c r="E87" s="155">
        <f>+E62+E86</f>
        <v>3646250</v>
      </c>
      <c r="F87" s="155">
        <f>+F62+F86</f>
        <v>216463881</v>
      </c>
    </row>
    <row r="88" spans="1:6" s="231" customFormat="1" ht="83.25" customHeight="1" x14ac:dyDescent="0.2">
      <c r="A88" s="4"/>
      <c r="B88" s="5"/>
      <c r="C88" s="156"/>
    </row>
    <row r="89" spans="1:6" ht="16.5" customHeight="1" x14ac:dyDescent="0.25">
      <c r="A89" s="987" t="s">
        <v>51</v>
      </c>
      <c r="B89" s="987"/>
      <c r="C89" s="987"/>
    </row>
    <row r="90" spans="1:6" s="241" customFormat="1" ht="16.5" customHeight="1" thickBot="1" x14ac:dyDescent="0.3">
      <c r="A90" s="988" t="s">
        <v>140</v>
      </c>
      <c r="B90" s="988"/>
      <c r="C90" s="81" t="s">
        <v>596</v>
      </c>
    </row>
    <row r="91" spans="1:6" ht="38.1" customHeight="1" thickBot="1" x14ac:dyDescent="0.3">
      <c r="A91" s="22" t="s">
        <v>74</v>
      </c>
      <c r="B91" s="23" t="s">
        <v>52</v>
      </c>
      <c r="C91" s="30" t="str">
        <f>+C3</f>
        <v>2018. évi előirányzat</v>
      </c>
    </row>
    <row r="92" spans="1:6" s="230" customFormat="1" ht="12" customHeight="1" thickBot="1" x14ac:dyDescent="0.25">
      <c r="A92" s="26" t="s">
        <v>469</v>
      </c>
      <c r="B92" s="27" t="s">
        <v>470</v>
      </c>
      <c r="C92" s="28" t="s">
        <v>471</v>
      </c>
    </row>
    <row r="93" spans="1:6" ht="12" customHeight="1" thickBot="1" x14ac:dyDescent="0.3">
      <c r="A93" s="21" t="s">
        <v>23</v>
      </c>
      <c r="B93" s="25" t="s">
        <v>523</v>
      </c>
      <c r="C93" s="150">
        <f t="shared" ref="C93:C154" si="2">SUM(D93:F93)</f>
        <v>682071397</v>
      </c>
      <c r="D93" s="336">
        <f>+D94+D95+D96+D97+D98+D111</f>
        <v>95834673</v>
      </c>
      <c r="E93" s="149">
        <f>+E94+E95+E96+E97+E98+E111</f>
        <v>7067754</v>
      </c>
      <c r="F93" s="150">
        <f>F94+F95+F96+F97+F98+F111</f>
        <v>579168970</v>
      </c>
    </row>
    <row r="94" spans="1:6" ht="12" customHeight="1" x14ac:dyDescent="0.25">
      <c r="A94" s="16" t="s">
        <v>99</v>
      </c>
      <c r="B94" s="9" t="s">
        <v>53</v>
      </c>
      <c r="C94" s="517">
        <f t="shared" si="2"/>
        <v>346719994</v>
      </c>
      <c r="D94" s="363">
        <f>75000+4401892+2491000+258000</f>
        <v>7225892</v>
      </c>
      <c r="E94" s="312">
        <v>2528076</v>
      </c>
      <c r="F94" s="312">
        <f>330210986+1473383+4907657+374000</f>
        <v>336966026</v>
      </c>
    </row>
    <row r="95" spans="1:6" ht="12" customHeight="1" x14ac:dyDescent="0.25">
      <c r="A95" s="13" t="s">
        <v>100</v>
      </c>
      <c r="B95" s="7" t="s">
        <v>159</v>
      </c>
      <c r="C95" s="516">
        <f t="shared" si="2"/>
        <v>72594938</v>
      </c>
      <c r="D95" s="303">
        <f>13275+17258+773000+1015000+281135+50310</f>
        <v>2149978</v>
      </c>
      <c r="E95" s="154">
        <v>443678</v>
      </c>
      <c r="F95" s="154">
        <f>68706522+272442+949388+72930</f>
        <v>70001282</v>
      </c>
    </row>
    <row r="96" spans="1:6" ht="12" customHeight="1" x14ac:dyDescent="0.25">
      <c r="A96" s="13" t="s">
        <v>101</v>
      </c>
      <c r="B96" s="7" t="s">
        <v>129</v>
      </c>
      <c r="C96" s="516">
        <f t="shared" si="2"/>
        <v>236713465</v>
      </c>
      <c r="D96" s="307">
        <f>16099000+3082677+397000+194467+34200000+156511+2681000+3300000+44100-8245+192293+77000</f>
        <v>60415803</v>
      </c>
      <c r="E96" s="221">
        <v>4096000</v>
      </c>
      <c r="F96" s="154">
        <f>170312254+1606688+282720</f>
        <v>172201662</v>
      </c>
    </row>
    <row r="97" spans="1:6" ht="12" customHeight="1" x14ac:dyDescent="0.25">
      <c r="A97" s="13" t="s">
        <v>102</v>
      </c>
      <c r="B97" s="7" t="s">
        <v>160</v>
      </c>
      <c r="C97" s="373">
        <f t="shared" si="2"/>
        <v>0</v>
      </c>
      <c r="D97" s="307"/>
      <c r="E97" s="221"/>
      <c r="F97" s="154"/>
    </row>
    <row r="98" spans="1:6" ht="12" customHeight="1" x14ac:dyDescent="0.25">
      <c r="A98" s="13" t="s">
        <v>113</v>
      </c>
      <c r="B98" s="6" t="s">
        <v>161</v>
      </c>
      <c r="C98" s="373">
        <f t="shared" si="2"/>
        <v>26043000</v>
      </c>
      <c r="D98" s="307">
        <f>5950000+16000000+4093000</f>
        <v>26043000</v>
      </c>
      <c r="E98" s="221"/>
      <c r="F98" s="221"/>
    </row>
    <row r="99" spans="1:6" ht="12" customHeight="1" x14ac:dyDescent="0.25">
      <c r="A99" s="13" t="s">
        <v>103</v>
      </c>
      <c r="B99" s="7" t="s">
        <v>486</v>
      </c>
      <c r="C99" s="373">
        <f t="shared" si="2"/>
        <v>0</v>
      </c>
      <c r="D99" s="307"/>
      <c r="E99" s="221"/>
      <c r="F99" s="221"/>
    </row>
    <row r="100" spans="1:6" ht="12" customHeight="1" x14ac:dyDescent="0.25">
      <c r="A100" s="13" t="s">
        <v>104</v>
      </c>
      <c r="B100" s="85" t="s">
        <v>487</v>
      </c>
      <c r="C100" s="373">
        <f t="shared" si="2"/>
        <v>0</v>
      </c>
      <c r="D100" s="307"/>
      <c r="E100" s="221"/>
      <c r="F100" s="221"/>
    </row>
    <row r="101" spans="1:6" ht="12" customHeight="1" x14ac:dyDescent="0.25">
      <c r="A101" s="13" t="s">
        <v>114</v>
      </c>
      <c r="B101" s="85" t="s">
        <v>488</v>
      </c>
      <c r="C101" s="373">
        <f t="shared" si="2"/>
        <v>0</v>
      </c>
      <c r="D101" s="307"/>
      <c r="E101" s="221"/>
      <c r="F101" s="221"/>
    </row>
    <row r="102" spans="1:6" ht="12" customHeight="1" x14ac:dyDescent="0.25">
      <c r="A102" s="13" t="s">
        <v>115</v>
      </c>
      <c r="B102" s="83" t="s">
        <v>306</v>
      </c>
      <c r="C102" s="373">
        <f t="shared" si="2"/>
        <v>0</v>
      </c>
      <c r="D102" s="307"/>
      <c r="E102" s="221"/>
      <c r="F102" s="221"/>
    </row>
    <row r="103" spans="1:6" ht="12" customHeight="1" x14ac:dyDescent="0.25">
      <c r="A103" s="13" t="s">
        <v>116</v>
      </c>
      <c r="B103" s="84" t="s">
        <v>307</v>
      </c>
      <c r="C103" s="373">
        <f t="shared" si="2"/>
        <v>0</v>
      </c>
      <c r="D103" s="307"/>
      <c r="E103" s="221"/>
      <c r="F103" s="221"/>
    </row>
    <row r="104" spans="1:6" ht="12" customHeight="1" x14ac:dyDescent="0.25">
      <c r="A104" s="13" t="s">
        <v>117</v>
      </c>
      <c r="B104" s="84" t="s">
        <v>308</v>
      </c>
      <c r="C104" s="373">
        <f t="shared" si="2"/>
        <v>0</v>
      </c>
      <c r="D104" s="307"/>
      <c r="E104" s="221"/>
      <c r="F104" s="221"/>
    </row>
    <row r="105" spans="1:6" ht="12" customHeight="1" x14ac:dyDescent="0.25">
      <c r="A105" s="13" t="s">
        <v>119</v>
      </c>
      <c r="B105" s="83" t="s">
        <v>309</v>
      </c>
      <c r="C105" s="373">
        <f t="shared" si="2"/>
        <v>0</v>
      </c>
      <c r="D105" s="307"/>
      <c r="E105" s="221"/>
      <c r="F105" s="221"/>
    </row>
    <row r="106" spans="1:6" ht="12" customHeight="1" x14ac:dyDescent="0.25">
      <c r="A106" s="13" t="s">
        <v>162</v>
      </c>
      <c r="B106" s="83" t="s">
        <v>310</v>
      </c>
      <c r="C106" s="373">
        <f t="shared" si="2"/>
        <v>0</v>
      </c>
      <c r="D106" s="307"/>
      <c r="E106" s="221"/>
      <c r="F106" s="221"/>
    </row>
    <row r="107" spans="1:6" ht="12" customHeight="1" x14ac:dyDescent="0.25">
      <c r="A107" s="13" t="s">
        <v>304</v>
      </c>
      <c r="B107" s="84" t="s">
        <v>311</v>
      </c>
      <c r="C107" s="373">
        <f t="shared" si="2"/>
        <v>0</v>
      </c>
      <c r="D107" s="307"/>
      <c r="E107" s="221"/>
      <c r="F107" s="221"/>
    </row>
    <row r="108" spans="1:6" ht="12" customHeight="1" x14ac:dyDescent="0.25">
      <c r="A108" s="12" t="s">
        <v>305</v>
      </c>
      <c r="B108" s="85" t="s">
        <v>312</v>
      </c>
      <c r="C108" s="373">
        <f t="shared" si="2"/>
        <v>0</v>
      </c>
      <c r="D108" s="307"/>
      <c r="E108" s="221"/>
      <c r="F108" s="221"/>
    </row>
    <row r="109" spans="1:6" ht="12" customHeight="1" x14ac:dyDescent="0.25">
      <c r="A109" s="13" t="s">
        <v>489</v>
      </c>
      <c r="B109" s="85" t="s">
        <v>313</v>
      </c>
      <c r="C109" s="373">
        <f t="shared" si="2"/>
        <v>0</v>
      </c>
      <c r="D109" s="307"/>
      <c r="E109" s="221"/>
      <c r="F109" s="221"/>
    </row>
    <row r="110" spans="1:6" ht="12" customHeight="1" x14ac:dyDescent="0.25">
      <c r="A110" s="15" t="s">
        <v>490</v>
      </c>
      <c r="B110" s="85" t="s">
        <v>314</v>
      </c>
      <c r="C110" s="373">
        <f t="shared" si="2"/>
        <v>26043000</v>
      </c>
      <c r="D110" s="303">
        <f>5950000+16000000+4093000</f>
        <v>26043000</v>
      </c>
      <c r="E110" s="154"/>
      <c r="F110" s="316"/>
    </row>
    <row r="111" spans="1:6" ht="12" customHeight="1" x14ac:dyDescent="0.25">
      <c r="A111" s="13" t="s">
        <v>491</v>
      </c>
      <c r="B111" s="7" t="s">
        <v>54</v>
      </c>
      <c r="C111" s="373">
        <f t="shared" si="2"/>
        <v>0</v>
      </c>
      <c r="D111" s="137"/>
      <c r="E111" s="154"/>
      <c r="F111" s="151"/>
    </row>
    <row r="112" spans="1:6" ht="12" customHeight="1" x14ac:dyDescent="0.25">
      <c r="A112" s="13" t="s">
        <v>492</v>
      </c>
      <c r="B112" s="7" t="s">
        <v>493</v>
      </c>
      <c r="C112" s="373">
        <f t="shared" si="2"/>
        <v>0</v>
      </c>
      <c r="D112" s="138"/>
      <c r="E112" s="221"/>
      <c r="F112" s="151"/>
    </row>
    <row r="113" spans="1:6" ht="12" customHeight="1" thickBot="1" x14ac:dyDescent="0.3">
      <c r="A113" s="17" t="s">
        <v>494</v>
      </c>
      <c r="B113" s="291" t="s">
        <v>495</v>
      </c>
      <c r="C113" s="374">
        <f t="shared" si="2"/>
        <v>0</v>
      </c>
      <c r="D113" s="337"/>
      <c r="E113" s="322"/>
      <c r="F113" s="157"/>
    </row>
    <row r="114" spans="1:6" ht="12" customHeight="1" thickBot="1" x14ac:dyDescent="0.3">
      <c r="A114" s="292" t="s">
        <v>24</v>
      </c>
      <c r="B114" s="293" t="s">
        <v>315</v>
      </c>
      <c r="C114" s="155">
        <f t="shared" si="2"/>
        <v>27028442</v>
      </c>
      <c r="D114" s="326">
        <f>+D115+D117+D119</f>
        <v>14676073</v>
      </c>
      <c r="E114" s="150">
        <f>+E115+E117+E119</f>
        <v>0</v>
      </c>
      <c r="F114" s="294">
        <f>+F115+F117+F119</f>
        <v>12352369</v>
      </c>
    </row>
    <row r="115" spans="1:6" ht="12" customHeight="1" x14ac:dyDescent="0.25">
      <c r="A115" s="14" t="s">
        <v>105</v>
      </c>
      <c r="B115" s="7" t="s">
        <v>179</v>
      </c>
      <c r="C115" s="517">
        <f t="shared" si="2"/>
        <v>27028442</v>
      </c>
      <c r="D115" s="332">
        <f>12873483+377190+3000+1422400</f>
        <v>14676073</v>
      </c>
      <c r="E115" s="270"/>
      <c r="F115" s="270">
        <f>11730618+621751</f>
        <v>12352369</v>
      </c>
    </row>
    <row r="116" spans="1:6" ht="12" customHeight="1" x14ac:dyDescent="0.25">
      <c r="A116" s="14" t="s">
        <v>106</v>
      </c>
      <c r="B116" s="11" t="s">
        <v>319</v>
      </c>
      <c r="C116" s="373">
        <f t="shared" si="2"/>
        <v>14946401</v>
      </c>
      <c r="D116" s="332">
        <v>12873483</v>
      </c>
      <c r="E116" s="270"/>
      <c r="F116" s="270">
        <v>2072918</v>
      </c>
    </row>
    <row r="117" spans="1:6" ht="12" customHeight="1" x14ac:dyDescent="0.25">
      <c r="A117" s="14" t="s">
        <v>107</v>
      </c>
      <c r="B117" s="11" t="s">
        <v>163</v>
      </c>
      <c r="C117" s="373">
        <f t="shared" si="2"/>
        <v>0</v>
      </c>
      <c r="D117" s="137"/>
      <c r="E117" s="154"/>
      <c r="F117" s="154"/>
    </row>
    <row r="118" spans="1:6" ht="12" customHeight="1" x14ac:dyDescent="0.25">
      <c r="A118" s="14" t="s">
        <v>108</v>
      </c>
      <c r="B118" s="11" t="s">
        <v>320</v>
      </c>
      <c r="C118" s="373">
        <f t="shared" si="2"/>
        <v>0</v>
      </c>
      <c r="D118" s="137"/>
      <c r="E118" s="315"/>
      <c r="F118" s="303"/>
    </row>
    <row r="119" spans="1:6" ht="12" customHeight="1" x14ac:dyDescent="0.25">
      <c r="A119" s="14" t="s">
        <v>109</v>
      </c>
      <c r="B119" s="147" t="s">
        <v>181</v>
      </c>
      <c r="C119" s="373">
        <f t="shared" si="2"/>
        <v>0</v>
      </c>
      <c r="D119" s="308"/>
      <c r="E119" s="303"/>
      <c r="F119" s="303"/>
    </row>
    <row r="120" spans="1:6" ht="12" customHeight="1" x14ac:dyDescent="0.25">
      <c r="A120" s="14" t="s">
        <v>118</v>
      </c>
      <c r="B120" s="146" t="s">
        <v>382</v>
      </c>
      <c r="C120" s="373">
        <f t="shared" si="2"/>
        <v>0</v>
      </c>
      <c r="D120" s="308"/>
      <c r="E120" s="137"/>
      <c r="F120" s="137"/>
    </row>
    <row r="121" spans="1:6" ht="12" customHeight="1" x14ac:dyDescent="0.25">
      <c r="A121" s="14" t="s">
        <v>120</v>
      </c>
      <c r="B121" s="228" t="s">
        <v>325</v>
      </c>
      <c r="C121" s="373">
        <f t="shared" si="2"/>
        <v>0</v>
      </c>
      <c r="D121" s="308"/>
      <c r="E121" s="137"/>
      <c r="F121" s="137"/>
    </row>
    <row r="122" spans="1:6" x14ac:dyDescent="0.25">
      <c r="A122" s="14" t="s">
        <v>164</v>
      </c>
      <c r="B122" s="84" t="s">
        <v>308</v>
      </c>
      <c r="C122" s="373">
        <f t="shared" si="2"/>
        <v>0</v>
      </c>
      <c r="D122" s="308"/>
      <c r="E122" s="137"/>
      <c r="F122" s="137"/>
    </row>
    <row r="123" spans="1:6" ht="12" customHeight="1" x14ac:dyDescent="0.25">
      <c r="A123" s="14" t="s">
        <v>165</v>
      </c>
      <c r="B123" s="84" t="s">
        <v>324</v>
      </c>
      <c r="C123" s="373">
        <f t="shared" si="2"/>
        <v>0</v>
      </c>
      <c r="D123" s="308"/>
      <c r="E123" s="137"/>
      <c r="F123" s="137"/>
    </row>
    <row r="124" spans="1:6" ht="12" customHeight="1" x14ac:dyDescent="0.25">
      <c r="A124" s="14" t="s">
        <v>166</v>
      </c>
      <c r="B124" s="84" t="s">
        <v>323</v>
      </c>
      <c r="C124" s="373">
        <f t="shared" si="2"/>
        <v>0</v>
      </c>
      <c r="D124" s="308"/>
      <c r="E124" s="137"/>
      <c r="F124" s="137"/>
    </row>
    <row r="125" spans="1:6" ht="12" customHeight="1" x14ac:dyDescent="0.25">
      <c r="A125" s="14" t="s">
        <v>316</v>
      </c>
      <c r="B125" s="84" t="s">
        <v>311</v>
      </c>
      <c r="C125" s="373">
        <f t="shared" si="2"/>
        <v>0</v>
      </c>
      <c r="D125" s="308"/>
      <c r="E125" s="137"/>
      <c r="F125" s="137"/>
    </row>
    <row r="126" spans="1:6" ht="12" customHeight="1" x14ac:dyDescent="0.25">
      <c r="A126" s="14" t="s">
        <v>317</v>
      </c>
      <c r="B126" s="84" t="s">
        <v>322</v>
      </c>
      <c r="C126" s="373">
        <f t="shared" si="2"/>
        <v>0</v>
      </c>
      <c r="D126" s="308"/>
      <c r="E126" s="137"/>
      <c r="F126" s="137"/>
    </row>
    <row r="127" spans="1:6" ht="16.5" thickBot="1" x14ac:dyDescent="0.3">
      <c r="A127" s="12" t="s">
        <v>318</v>
      </c>
      <c r="B127" s="84" t="s">
        <v>321</v>
      </c>
      <c r="C127" s="374">
        <f t="shared" si="2"/>
        <v>0</v>
      </c>
      <c r="D127" s="309"/>
      <c r="E127" s="307"/>
      <c r="F127" s="307"/>
    </row>
    <row r="128" spans="1:6" ht="12" customHeight="1" thickBot="1" x14ac:dyDescent="0.3">
      <c r="A128" s="19" t="s">
        <v>25</v>
      </c>
      <c r="B128" s="79" t="s">
        <v>496</v>
      </c>
      <c r="C128" s="155">
        <f t="shared" si="2"/>
        <v>709099839</v>
      </c>
      <c r="D128" s="326">
        <f>+D93+D114</f>
        <v>110510746</v>
      </c>
      <c r="E128" s="150">
        <f>+E93+E114</f>
        <v>7067754</v>
      </c>
      <c r="F128" s="150">
        <f>+F93+F114</f>
        <v>591521339</v>
      </c>
    </row>
    <row r="129" spans="1:6" ht="12" customHeight="1" thickBot="1" x14ac:dyDescent="0.3">
      <c r="A129" s="19" t="s">
        <v>26</v>
      </c>
      <c r="B129" s="79" t="s">
        <v>497</v>
      </c>
      <c r="C129" s="155">
        <f t="shared" si="2"/>
        <v>4444000</v>
      </c>
      <c r="D129" s="326">
        <f>+D130+D131+D132</f>
        <v>4444000</v>
      </c>
      <c r="E129" s="150">
        <f>+E130+E131+E132</f>
        <v>0</v>
      </c>
      <c r="F129" s="150">
        <f>+F130+F131+F132</f>
        <v>0</v>
      </c>
    </row>
    <row r="130" spans="1:6" ht="12" customHeight="1" x14ac:dyDescent="0.25">
      <c r="A130" s="14" t="s">
        <v>216</v>
      </c>
      <c r="B130" s="11" t="s">
        <v>498</v>
      </c>
      <c r="C130" s="372">
        <f t="shared" si="2"/>
        <v>4444000</v>
      </c>
      <c r="D130" s="303">
        <v>4444000</v>
      </c>
      <c r="E130" s="303"/>
      <c r="F130" s="303"/>
    </row>
    <row r="131" spans="1:6" ht="12" customHeight="1" x14ac:dyDescent="0.25">
      <c r="A131" s="14" t="s">
        <v>219</v>
      </c>
      <c r="B131" s="11" t="s">
        <v>499</v>
      </c>
      <c r="C131" s="373">
        <f t="shared" si="2"/>
        <v>0</v>
      </c>
      <c r="D131" s="137"/>
      <c r="E131" s="137"/>
      <c r="F131" s="137"/>
    </row>
    <row r="132" spans="1:6" ht="12" customHeight="1" thickBot="1" x14ac:dyDescent="0.3">
      <c r="A132" s="12" t="s">
        <v>220</v>
      </c>
      <c r="B132" s="11" t="s">
        <v>500</v>
      </c>
      <c r="C132" s="374">
        <f t="shared" si="2"/>
        <v>0</v>
      </c>
      <c r="D132" s="137"/>
      <c r="E132" s="137"/>
      <c r="F132" s="137"/>
    </row>
    <row r="133" spans="1:6" ht="12" customHeight="1" thickBot="1" x14ac:dyDescent="0.3">
      <c r="A133" s="19" t="s">
        <v>27</v>
      </c>
      <c r="B133" s="79" t="s">
        <v>501</v>
      </c>
      <c r="C133" s="304">
        <f t="shared" si="2"/>
        <v>0</v>
      </c>
      <c r="D133" s="326">
        <f>+D134+D135+D136+D137+D138+D139</f>
        <v>0</v>
      </c>
      <c r="E133" s="150">
        <f>+E134+E135+E136+E137+E138+E139</f>
        <v>0</v>
      </c>
      <c r="F133" s="150">
        <f>SUM(F134:F139)</f>
        <v>0</v>
      </c>
    </row>
    <row r="134" spans="1:6" ht="12" customHeight="1" x14ac:dyDescent="0.25">
      <c r="A134" s="14" t="s">
        <v>92</v>
      </c>
      <c r="B134" s="8" t="s">
        <v>502</v>
      </c>
      <c r="C134" s="372">
        <f t="shared" si="2"/>
        <v>0</v>
      </c>
      <c r="D134" s="137"/>
      <c r="E134" s="137"/>
      <c r="F134" s="137"/>
    </row>
    <row r="135" spans="1:6" ht="12" customHeight="1" x14ac:dyDescent="0.25">
      <c r="A135" s="14" t="s">
        <v>93</v>
      </c>
      <c r="B135" s="8" t="s">
        <v>503</v>
      </c>
      <c r="C135" s="373">
        <f t="shared" si="2"/>
        <v>0</v>
      </c>
      <c r="D135" s="137"/>
      <c r="E135" s="137"/>
      <c r="F135" s="137"/>
    </row>
    <row r="136" spans="1:6" ht="12" customHeight="1" x14ac:dyDescent="0.25">
      <c r="A136" s="14" t="s">
        <v>94</v>
      </c>
      <c r="B136" s="8" t="s">
        <v>504</v>
      </c>
      <c r="C136" s="373">
        <f t="shared" si="2"/>
        <v>0</v>
      </c>
      <c r="D136" s="137"/>
      <c r="E136" s="137"/>
      <c r="F136" s="137"/>
    </row>
    <row r="137" spans="1:6" ht="12" customHeight="1" x14ac:dyDescent="0.25">
      <c r="A137" s="14" t="s">
        <v>151</v>
      </c>
      <c r="B137" s="8" t="s">
        <v>505</v>
      </c>
      <c r="C137" s="373">
        <f t="shared" si="2"/>
        <v>0</v>
      </c>
      <c r="D137" s="137"/>
      <c r="E137" s="137"/>
      <c r="F137" s="137"/>
    </row>
    <row r="138" spans="1:6" ht="12" customHeight="1" x14ac:dyDescent="0.25">
      <c r="A138" s="14" t="s">
        <v>152</v>
      </c>
      <c r="B138" s="8" t="s">
        <v>506</v>
      </c>
      <c r="C138" s="373">
        <f t="shared" si="2"/>
        <v>0</v>
      </c>
      <c r="D138" s="137"/>
      <c r="E138" s="137"/>
      <c r="F138" s="137"/>
    </row>
    <row r="139" spans="1:6" ht="12" customHeight="1" thickBot="1" x14ac:dyDescent="0.3">
      <c r="A139" s="12" t="s">
        <v>153</v>
      </c>
      <c r="B139" s="8" t="s">
        <v>507</v>
      </c>
      <c r="C139" s="374">
        <f t="shared" si="2"/>
        <v>0</v>
      </c>
      <c r="D139" s="137"/>
      <c r="E139" s="137"/>
      <c r="F139" s="137"/>
    </row>
    <row r="140" spans="1:6" ht="12" customHeight="1" thickBot="1" x14ac:dyDescent="0.3">
      <c r="A140" s="19" t="s">
        <v>28</v>
      </c>
      <c r="B140" s="79" t="s">
        <v>508</v>
      </c>
      <c r="C140" s="155">
        <f t="shared" si="2"/>
        <v>0</v>
      </c>
      <c r="D140" s="329">
        <f>+D141+D142+D143+D144</f>
        <v>0</v>
      </c>
      <c r="E140" s="155">
        <f>+E141+E142+E143+E144</f>
        <v>0</v>
      </c>
      <c r="F140" s="155">
        <f>+F141+F142+F143+F144</f>
        <v>0</v>
      </c>
    </row>
    <row r="141" spans="1:6" ht="12" customHeight="1" x14ac:dyDescent="0.25">
      <c r="A141" s="14" t="s">
        <v>95</v>
      </c>
      <c r="B141" s="8" t="s">
        <v>326</v>
      </c>
      <c r="C141" s="372">
        <f t="shared" si="2"/>
        <v>0</v>
      </c>
      <c r="D141" s="137"/>
      <c r="E141" s="137"/>
      <c r="F141" s="137"/>
    </row>
    <row r="142" spans="1:6" ht="12" customHeight="1" x14ac:dyDescent="0.25">
      <c r="A142" s="14" t="s">
        <v>96</v>
      </c>
      <c r="B142" s="8" t="s">
        <v>327</v>
      </c>
      <c r="C142" s="373">
        <f t="shared" si="2"/>
        <v>0</v>
      </c>
      <c r="D142" s="137"/>
      <c r="E142" s="137"/>
      <c r="F142" s="137"/>
    </row>
    <row r="143" spans="1:6" ht="12" customHeight="1" x14ac:dyDescent="0.25">
      <c r="A143" s="14" t="s">
        <v>240</v>
      </c>
      <c r="B143" s="8" t="s">
        <v>509</v>
      </c>
      <c r="C143" s="373">
        <f t="shared" si="2"/>
        <v>0</v>
      </c>
      <c r="D143" s="137"/>
      <c r="E143" s="137"/>
      <c r="F143" s="137"/>
    </row>
    <row r="144" spans="1:6" ht="12" customHeight="1" thickBot="1" x14ac:dyDescent="0.3">
      <c r="A144" s="12" t="s">
        <v>241</v>
      </c>
      <c r="B144" s="6" t="s">
        <v>345</v>
      </c>
      <c r="C144" s="374">
        <f t="shared" si="2"/>
        <v>0</v>
      </c>
      <c r="D144" s="137"/>
      <c r="E144" s="137"/>
      <c r="F144" s="137"/>
    </row>
    <row r="145" spans="1:9" ht="12" customHeight="1" thickBot="1" x14ac:dyDescent="0.3">
      <c r="A145" s="19" t="s">
        <v>29</v>
      </c>
      <c r="B145" s="79" t="s">
        <v>510</v>
      </c>
      <c r="C145" s="155">
        <f t="shared" si="2"/>
        <v>0</v>
      </c>
      <c r="D145" s="338">
        <f>+D146+D147+D148+D149+D150</f>
        <v>0</v>
      </c>
      <c r="E145" s="158">
        <f>+E146+E147+E148+E149+E150</f>
        <v>0</v>
      </c>
      <c r="F145" s="158">
        <f>SUM(F146:F150)</f>
        <v>0</v>
      </c>
    </row>
    <row r="146" spans="1:9" ht="12" customHeight="1" x14ac:dyDescent="0.25">
      <c r="A146" s="14" t="s">
        <v>97</v>
      </c>
      <c r="B146" s="8" t="s">
        <v>511</v>
      </c>
      <c r="C146" s="372">
        <f t="shared" si="2"/>
        <v>0</v>
      </c>
      <c r="D146" s="137"/>
      <c r="E146" s="137"/>
      <c r="F146" s="137"/>
    </row>
    <row r="147" spans="1:9" ht="12" customHeight="1" x14ac:dyDescent="0.25">
      <c r="A147" s="14" t="s">
        <v>98</v>
      </c>
      <c r="B147" s="8" t="s">
        <v>512</v>
      </c>
      <c r="C147" s="373">
        <f t="shared" si="2"/>
        <v>0</v>
      </c>
      <c r="D147" s="137"/>
      <c r="E147" s="137"/>
      <c r="F147" s="137"/>
    </row>
    <row r="148" spans="1:9" ht="12" customHeight="1" x14ac:dyDescent="0.25">
      <c r="A148" s="14" t="s">
        <v>252</v>
      </c>
      <c r="B148" s="8" t="s">
        <v>513</v>
      </c>
      <c r="C148" s="373">
        <f t="shared" si="2"/>
        <v>0</v>
      </c>
      <c r="D148" s="137"/>
      <c r="E148" s="137"/>
      <c r="F148" s="137"/>
    </row>
    <row r="149" spans="1:9" ht="12" customHeight="1" x14ac:dyDescent="0.25">
      <c r="A149" s="14" t="s">
        <v>253</v>
      </c>
      <c r="B149" s="8" t="s">
        <v>514</v>
      </c>
      <c r="C149" s="373">
        <f t="shared" si="2"/>
        <v>0</v>
      </c>
      <c r="D149" s="137"/>
      <c r="E149" s="137"/>
      <c r="F149" s="137"/>
    </row>
    <row r="150" spans="1:9" ht="12" customHeight="1" thickBot="1" x14ac:dyDescent="0.3">
      <c r="A150" s="14" t="s">
        <v>515</v>
      </c>
      <c r="B150" s="8" t="s">
        <v>516</v>
      </c>
      <c r="C150" s="374">
        <f t="shared" si="2"/>
        <v>0</v>
      </c>
      <c r="D150" s="138"/>
      <c r="E150" s="138"/>
      <c r="F150" s="137"/>
    </row>
    <row r="151" spans="1:9" ht="12" customHeight="1" thickBot="1" x14ac:dyDescent="0.3">
      <c r="A151" s="19" t="s">
        <v>30</v>
      </c>
      <c r="B151" s="79" t="s">
        <v>517</v>
      </c>
      <c r="C151" s="150">
        <f t="shared" si="2"/>
        <v>0</v>
      </c>
      <c r="D151" s="338"/>
      <c r="E151" s="158"/>
      <c r="F151" s="295"/>
    </row>
    <row r="152" spans="1:9" ht="12" customHeight="1" thickBot="1" x14ac:dyDescent="0.3">
      <c r="A152" s="19" t="s">
        <v>31</v>
      </c>
      <c r="B152" s="79" t="s">
        <v>518</v>
      </c>
      <c r="C152" s="150">
        <f t="shared" si="2"/>
        <v>0</v>
      </c>
      <c r="D152" s="338"/>
      <c r="E152" s="158"/>
      <c r="F152" s="295"/>
    </row>
    <row r="153" spans="1:9" ht="15" customHeight="1" thickBot="1" x14ac:dyDescent="0.3">
      <c r="A153" s="19" t="s">
        <v>32</v>
      </c>
      <c r="B153" s="79" t="s">
        <v>519</v>
      </c>
      <c r="C153" s="150">
        <f t="shared" si="2"/>
        <v>4444000</v>
      </c>
      <c r="D153" s="339">
        <f>+D129+D133+D140+D145+D151+D152</f>
        <v>4444000</v>
      </c>
      <c r="E153" s="242">
        <f>+E129+E133+E140+E145+E151+E152</f>
        <v>0</v>
      </c>
      <c r="F153" s="242">
        <f>+F129+F133+F140+F145+F151+F152</f>
        <v>0</v>
      </c>
      <c r="G153" s="243"/>
      <c r="H153" s="243"/>
      <c r="I153" s="243"/>
    </row>
    <row r="154" spans="1:9" s="231" customFormat="1" ht="12.95" customHeight="1" thickBot="1" x14ac:dyDescent="0.25">
      <c r="A154" s="148" t="s">
        <v>33</v>
      </c>
      <c r="B154" s="217" t="s">
        <v>520</v>
      </c>
      <c r="C154" s="150">
        <f t="shared" si="2"/>
        <v>713543839</v>
      </c>
      <c r="D154" s="339">
        <f>+D128+D153</f>
        <v>114954746</v>
      </c>
      <c r="E154" s="242">
        <f>+E128+E153</f>
        <v>7067754</v>
      </c>
      <c r="F154" s="242">
        <f>+F128+F153</f>
        <v>591521339</v>
      </c>
    </row>
    <row r="155" spans="1:9" ht="7.5" customHeight="1" x14ac:dyDescent="0.25"/>
    <row r="156" spans="1:9" x14ac:dyDescent="0.25">
      <c r="A156" s="989" t="s">
        <v>328</v>
      </c>
      <c r="B156" s="989"/>
      <c r="C156" s="989"/>
    </row>
    <row r="157" spans="1:9" ht="15" customHeight="1" thickBot="1" x14ac:dyDescent="0.3">
      <c r="A157" s="986" t="s">
        <v>141</v>
      </c>
      <c r="B157" s="986"/>
      <c r="C157" s="159" t="s">
        <v>596</v>
      </c>
    </row>
    <row r="158" spans="1:9" ht="13.5" customHeight="1" thickBot="1" x14ac:dyDescent="0.3">
      <c r="A158" s="19">
        <v>1</v>
      </c>
      <c r="B158" s="24" t="s">
        <v>521</v>
      </c>
      <c r="C158" s="150">
        <f>+C62-C128</f>
        <v>-163237659</v>
      </c>
    </row>
    <row r="159" spans="1:9" ht="27.75" customHeight="1" thickBot="1" x14ac:dyDescent="0.3">
      <c r="A159" s="19" t="s">
        <v>24</v>
      </c>
      <c r="B159" s="24" t="s">
        <v>522</v>
      </c>
      <c r="C159" s="150">
        <f>+C86-C153</f>
        <v>13582960</v>
      </c>
    </row>
    <row r="162" spans="4:4" x14ac:dyDescent="0.25">
      <c r="D162" s="24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 8/2018.(IV.27.)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zoomScaleNormal="100" zoomScaleSheetLayoutView="85" zoomScalePageLayoutView="85" workbookViewId="0">
      <selection activeCell="J91" sqref="J91"/>
    </sheetView>
  </sheetViews>
  <sheetFormatPr defaultRowHeight="15.75" x14ac:dyDescent="0.25"/>
  <cols>
    <col min="1" max="1" width="9" style="340" customWidth="1"/>
    <col min="2" max="2" width="75.83203125" style="340" customWidth="1"/>
    <col min="3" max="3" width="16.5" style="872" customWidth="1"/>
    <col min="4" max="4" width="15.5" style="872" customWidth="1"/>
    <col min="5" max="7" width="15.5" style="872" hidden="1" customWidth="1"/>
    <col min="8" max="8" width="15.5" style="872" customWidth="1"/>
    <col min="9" max="9" width="14.33203125" style="324" hidden="1" customWidth="1"/>
    <col min="10" max="10" width="12.6640625" style="324" hidden="1" customWidth="1"/>
    <col min="11" max="11" width="14.33203125" style="324" hidden="1" customWidth="1"/>
    <col min="12" max="16384" width="9.33203125" style="324"/>
  </cols>
  <sheetData>
    <row r="1" spans="1:11" ht="35.25" customHeight="1" x14ac:dyDescent="0.25">
      <c r="A1" s="1035" t="s">
        <v>735</v>
      </c>
      <c r="B1" s="1036"/>
      <c r="C1" s="1036"/>
      <c r="D1" s="1036"/>
      <c r="E1" s="1036"/>
      <c r="F1" s="1036"/>
      <c r="G1" s="1036"/>
      <c r="H1" s="1036"/>
    </row>
    <row r="3" spans="1:11" ht="15.95" customHeight="1" x14ac:dyDescent="0.25">
      <c r="A3" s="987" t="s">
        <v>20</v>
      </c>
      <c r="B3" s="987"/>
      <c r="C3" s="987"/>
      <c r="D3" s="987"/>
      <c r="E3" s="987"/>
      <c r="F3" s="987"/>
      <c r="G3" s="987"/>
      <c r="H3" s="987"/>
    </row>
    <row r="4" spans="1:11" ht="15.95" customHeight="1" thickBot="1" x14ac:dyDescent="0.3">
      <c r="A4" s="986" t="s">
        <v>139</v>
      </c>
      <c r="B4" s="986"/>
      <c r="C4" s="855"/>
      <c r="D4" s="855"/>
      <c r="E4" s="856"/>
      <c r="F4" s="856"/>
      <c r="G4" s="856"/>
      <c r="H4" s="857" t="s">
        <v>606</v>
      </c>
    </row>
    <row r="5" spans="1:11" ht="38.1" customHeight="1" thickBot="1" x14ac:dyDescent="0.3">
      <c r="A5" s="22" t="s">
        <v>74</v>
      </c>
      <c r="B5" s="23" t="s">
        <v>22</v>
      </c>
      <c r="C5" s="858" t="s">
        <v>729</v>
      </c>
      <c r="D5" s="858" t="s">
        <v>630</v>
      </c>
      <c r="E5" s="859"/>
      <c r="F5" s="859"/>
      <c r="G5" s="859"/>
      <c r="H5" s="860" t="s">
        <v>620</v>
      </c>
    </row>
    <row r="6" spans="1:11" s="325" customFormat="1" ht="12" customHeight="1" thickBot="1" x14ac:dyDescent="0.25">
      <c r="A6" s="26" t="s">
        <v>469</v>
      </c>
      <c r="B6" s="27" t="s">
        <v>470</v>
      </c>
      <c r="C6" s="790" t="s">
        <v>471</v>
      </c>
      <c r="D6" s="790" t="s">
        <v>524</v>
      </c>
      <c r="E6" s="861"/>
      <c r="F6" s="861"/>
      <c r="G6" s="861"/>
      <c r="H6" s="831" t="s">
        <v>525</v>
      </c>
    </row>
    <row r="7" spans="1:11" s="327" customFormat="1" ht="12" customHeight="1" thickBot="1" x14ac:dyDescent="0.25">
      <c r="A7" s="19" t="s">
        <v>23</v>
      </c>
      <c r="B7" s="20" t="s">
        <v>200</v>
      </c>
      <c r="C7" s="790">
        <f>SUM(C8:C13)</f>
        <v>1024115149</v>
      </c>
      <c r="D7" s="791">
        <f>SUM(D8:D13)</f>
        <v>1157368280</v>
      </c>
      <c r="E7" s="792">
        <f>+E8+E9+E10+E11+E12+E13</f>
        <v>1133144785</v>
      </c>
      <c r="F7" s="791">
        <f>+F8+F9+F10+F11+F12+F13</f>
        <v>0</v>
      </c>
      <c r="G7" s="791">
        <f>+G8+G9+G10+G11+G12+G13</f>
        <v>0</v>
      </c>
      <c r="H7" s="150">
        <f>SUM(I7:K7)</f>
        <v>1319904176</v>
      </c>
      <c r="I7" s="326">
        <f>+I8+I9+I10+I11+I12+I13</f>
        <v>1319904176</v>
      </c>
      <c r="J7" s="150">
        <f>+J8+J9+J10+J11+J12+J13</f>
        <v>0</v>
      </c>
      <c r="K7" s="150">
        <f>+K8+K9+K10+K11+K12+K13</f>
        <v>0</v>
      </c>
    </row>
    <row r="8" spans="1:11" s="327" customFormat="1" ht="12" customHeight="1" x14ac:dyDescent="0.2">
      <c r="A8" s="14" t="s">
        <v>99</v>
      </c>
      <c r="B8" s="358" t="s">
        <v>201</v>
      </c>
      <c r="C8" s="793">
        <v>231987612</v>
      </c>
      <c r="D8" s="794">
        <f>SUM(E8:G8)+905743</f>
        <v>228418282</v>
      </c>
      <c r="E8" s="795">
        <v>227512539</v>
      </c>
      <c r="F8" s="796"/>
      <c r="G8" s="796"/>
      <c r="H8" s="876">
        <f t="shared" ref="H8:H71" si="0">SUM(I8:K8)</f>
        <v>227855923</v>
      </c>
      <c r="I8" s="270">
        <v>227855923</v>
      </c>
      <c r="J8" s="270"/>
      <c r="K8" s="270"/>
    </row>
    <row r="9" spans="1:11" s="327" customFormat="1" ht="12" customHeight="1" x14ac:dyDescent="0.2">
      <c r="A9" s="13" t="s">
        <v>100</v>
      </c>
      <c r="B9" s="359" t="s">
        <v>202</v>
      </c>
      <c r="C9" s="797">
        <v>218221810</v>
      </c>
      <c r="D9" s="798">
        <f>SUM(E9:G9)+10461768-4721982-4278000</f>
        <v>219569080</v>
      </c>
      <c r="E9" s="799">
        <v>218107294</v>
      </c>
      <c r="F9" s="800"/>
      <c r="G9" s="800"/>
      <c r="H9" s="373">
        <f t="shared" si="0"/>
        <v>224734134</v>
      </c>
      <c r="I9" s="154">
        <v>224734134</v>
      </c>
      <c r="J9" s="154"/>
      <c r="K9" s="154"/>
    </row>
    <row r="10" spans="1:11" s="327" customFormat="1" ht="12" customHeight="1" x14ac:dyDescent="0.2">
      <c r="A10" s="13" t="s">
        <v>101</v>
      </c>
      <c r="B10" s="359" t="s">
        <v>203</v>
      </c>
      <c r="C10" s="797">
        <v>534266192</v>
      </c>
      <c r="D10" s="798">
        <f>SUM(E10:G10)-35761000-1921230+31350000</f>
        <v>597207802</v>
      </c>
      <c r="E10" s="799">
        <f>121200000+67844165+118423160+15562200+177597260+4526280+11511000+24250000+62625967</f>
        <v>603540032</v>
      </c>
      <c r="F10" s="800"/>
      <c r="G10" s="800"/>
      <c r="H10" s="373">
        <f t="shared" si="0"/>
        <v>565964345</v>
      </c>
      <c r="I10" s="154">
        <f>126991000+65060600+119410000+192410145+62092600</f>
        <v>565964345</v>
      </c>
      <c r="J10" s="154"/>
      <c r="K10" s="154"/>
    </row>
    <row r="11" spans="1:11" s="327" customFormat="1" ht="12" customHeight="1" x14ac:dyDescent="0.2">
      <c r="A11" s="13" t="s">
        <v>102</v>
      </c>
      <c r="B11" s="359" t="s">
        <v>204</v>
      </c>
      <c r="C11" s="797">
        <v>26942276</v>
      </c>
      <c r="D11" s="798">
        <f>SUM(E11:G11)-4412740+4412740+1038248</f>
        <v>31342308</v>
      </c>
      <c r="E11" s="799">
        <f>4412740+15262320+10629000</f>
        <v>30304060</v>
      </c>
      <c r="F11" s="800"/>
      <c r="G11" s="800"/>
      <c r="H11" s="373">
        <f t="shared" si="0"/>
        <v>28744040</v>
      </c>
      <c r="I11" s="154">
        <f>16122040+12622000</f>
        <v>28744040</v>
      </c>
      <c r="J11" s="154"/>
      <c r="K11" s="154"/>
    </row>
    <row r="12" spans="1:11" s="327" customFormat="1" ht="12" customHeight="1" x14ac:dyDescent="0.2">
      <c r="A12" s="13" t="s">
        <v>136</v>
      </c>
      <c r="B12" s="766" t="s">
        <v>472</v>
      </c>
      <c r="C12" s="797">
        <v>1738907</v>
      </c>
      <c r="D12" s="798">
        <f>SUM(E12:G12)+23885805+49094027+4501192-4412740-15000000+306000-31224336</f>
        <v>80830808</v>
      </c>
      <c r="E12" s="799">
        <f>3551000+1060845+168707597+58000+128000-119824582</f>
        <v>53680860</v>
      </c>
      <c r="F12" s="800"/>
      <c r="G12" s="800"/>
      <c r="H12" s="516">
        <f t="shared" si="0"/>
        <v>272605734</v>
      </c>
      <c r="I12" s="154">
        <f>16254886+63796813+190231327+1309600+1013108</f>
        <v>272605734</v>
      </c>
      <c r="J12" s="154"/>
      <c r="K12" s="154"/>
    </row>
    <row r="13" spans="1:11" s="327" customFormat="1" ht="12" customHeight="1" thickBot="1" x14ac:dyDescent="0.25">
      <c r="A13" s="15" t="s">
        <v>103</v>
      </c>
      <c r="B13" s="767" t="s">
        <v>473</v>
      </c>
      <c r="C13" s="801">
        <v>10958352</v>
      </c>
      <c r="D13" s="802">
        <f>SUM(E13:G13)</f>
        <v>0</v>
      </c>
      <c r="E13" s="803"/>
      <c r="F13" s="804"/>
      <c r="G13" s="804"/>
      <c r="H13" s="877">
        <f t="shared" si="0"/>
        <v>0</v>
      </c>
      <c r="I13" s="137"/>
      <c r="J13" s="151"/>
      <c r="K13" s="151"/>
    </row>
    <row r="14" spans="1:11" s="327" customFormat="1" ht="12" customHeight="1" thickBot="1" x14ac:dyDescent="0.25">
      <c r="A14" s="19" t="s">
        <v>24</v>
      </c>
      <c r="B14" s="768" t="s">
        <v>205</v>
      </c>
      <c r="C14" s="805">
        <v>710827871</v>
      </c>
      <c r="D14" s="792">
        <f>SUM(D15:D19)</f>
        <v>335849323</v>
      </c>
      <c r="E14" s="792">
        <f>+E15+E16+E17+E18+E19</f>
        <v>-145452435</v>
      </c>
      <c r="F14" s="791">
        <f>+F15+F16+F17+F18+F19</f>
        <v>0</v>
      </c>
      <c r="G14" s="791">
        <f>+G15+G16+G17+G18+G19</f>
        <v>5485000</v>
      </c>
      <c r="H14" s="150">
        <f t="shared" si="0"/>
        <v>180642060</v>
      </c>
      <c r="I14" s="326">
        <f>+I15+I16+I17+I18+I19</f>
        <v>158012668</v>
      </c>
      <c r="J14" s="150">
        <f>+J15+J16+J17+J18+J19</f>
        <v>3116857</v>
      </c>
      <c r="K14" s="150">
        <f>+K15+K16+K17+K18+K19</f>
        <v>19512535</v>
      </c>
    </row>
    <row r="15" spans="1:11" s="327" customFormat="1" ht="12" customHeight="1" x14ac:dyDescent="0.2">
      <c r="A15" s="14" t="s">
        <v>105</v>
      </c>
      <c r="B15" s="358" t="s">
        <v>206</v>
      </c>
      <c r="C15" s="797"/>
      <c r="D15" s="794">
        <f>SUM(E15:G15)</f>
        <v>0</v>
      </c>
      <c r="E15" s="806"/>
      <c r="F15" s="807"/>
      <c r="G15" s="807"/>
      <c r="H15" s="878">
        <f t="shared" si="0"/>
        <v>0</v>
      </c>
      <c r="I15" s="328"/>
      <c r="J15" s="152"/>
      <c r="K15" s="152"/>
    </row>
    <row r="16" spans="1:11" s="327" customFormat="1" ht="12" customHeight="1" x14ac:dyDescent="0.2">
      <c r="A16" s="13" t="s">
        <v>106</v>
      </c>
      <c r="B16" s="359" t="s">
        <v>207</v>
      </c>
      <c r="C16" s="797"/>
      <c r="D16" s="808">
        <f>SUM(E16:G16)</f>
        <v>0</v>
      </c>
      <c r="E16" s="803"/>
      <c r="F16" s="804"/>
      <c r="G16" s="804"/>
      <c r="H16" s="373">
        <f t="shared" si="0"/>
        <v>0</v>
      </c>
      <c r="I16" s="137"/>
      <c r="J16" s="151"/>
      <c r="K16" s="151"/>
    </row>
    <row r="17" spans="1:11" s="327" customFormat="1" ht="12" customHeight="1" x14ac:dyDescent="0.2">
      <c r="A17" s="13" t="s">
        <v>107</v>
      </c>
      <c r="B17" s="359" t="s">
        <v>376</v>
      </c>
      <c r="C17" s="797"/>
      <c r="D17" s="798">
        <f>SUM(E17:G17)</f>
        <v>0</v>
      </c>
      <c r="E17" s="803"/>
      <c r="F17" s="804"/>
      <c r="G17" s="804"/>
      <c r="H17" s="373">
        <f t="shared" si="0"/>
        <v>0</v>
      </c>
      <c r="I17" s="137"/>
      <c r="J17" s="151"/>
      <c r="K17" s="151"/>
    </row>
    <row r="18" spans="1:11" s="327" customFormat="1" ht="12" customHeight="1" x14ac:dyDescent="0.2">
      <c r="A18" s="13" t="s">
        <v>108</v>
      </c>
      <c r="B18" s="359" t="s">
        <v>377</v>
      </c>
      <c r="C18" s="797"/>
      <c r="D18" s="798">
        <f>SUM(E18:G18)</f>
        <v>0</v>
      </c>
      <c r="E18" s="803"/>
      <c r="F18" s="804"/>
      <c r="G18" s="804"/>
      <c r="H18" s="373">
        <f t="shared" si="0"/>
        <v>0</v>
      </c>
      <c r="I18" s="137"/>
      <c r="J18" s="151"/>
      <c r="K18" s="151"/>
    </row>
    <row r="19" spans="1:11" s="327" customFormat="1" ht="12" customHeight="1" x14ac:dyDescent="0.2">
      <c r="A19" s="13" t="s">
        <v>109</v>
      </c>
      <c r="B19" s="359" t="s">
        <v>208</v>
      </c>
      <c r="C19" s="797">
        <v>710827871</v>
      </c>
      <c r="D19" s="798">
        <f>SUM(E19:G19)+326152588+94906504+10325405+7215044+33734217+3483000</f>
        <v>335849323</v>
      </c>
      <c r="E19" s="799">
        <f>2285000+210000+110446000+65342000-323735435</f>
        <v>-145452435</v>
      </c>
      <c r="F19" s="800"/>
      <c r="G19" s="800">
        <v>5485000</v>
      </c>
      <c r="H19" s="516">
        <f t="shared" si="0"/>
        <v>180642060</v>
      </c>
      <c r="I19" s="308">
        <f>3900000+4320000+125887110+24250000-344442</f>
        <v>158012668</v>
      </c>
      <c r="J19" s="305">
        <f>3096237+20620</f>
        <v>3116857</v>
      </c>
      <c r="K19" s="154">
        <v>19512535</v>
      </c>
    </row>
    <row r="20" spans="1:11" s="327" customFormat="1" ht="12" customHeight="1" thickBot="1" x14ac:dyDescent="0.25">
      <c r="A20" s="15" t="s">
        <v>118</v>
      </c>
      <c r="B20" s="767" t="s">
        <v>209</v>
      </c>
      <c r="C20" s="801"/>
      <c r="D20" s="802">
        <f>374405+16502729</f>
        <v>16877134</v>
      </c>
      <c r="E20" s="809"/>
      <c r="F20" s="810"/>
      <c r="G20" s="810"/>
      <c r="H20" s="877">
        <f t="shared" si="0"/>
        <v>399535</v>
      </c>
      <c r="I20" s="307"/>
      <c r="J20" s="221"/>
      <c r="K20" s="221">
        <v>399535</v>
      </c>
    </row>
    <row r="21" spans="1:11" s="327" customFormat="1" ht="12" customHeight="1" thickBot="1" x14ac:dyDescent="0.25">
      <c r="A21" s="19" t="s">
        <v>25</v>
      </c>
      <c r="B21" s="765" t="s">
        <v>210</v>
      </c>
      <c r="C21" s="805">
        <v>92052777</v>
      </c>
      <c r="D21" s="792">
        <f>SUM(D22:D26)</f>
        <v>532260298</v>
      </c>
      <c r="E21" s="792">
        <f>+E22+E23+E24+E25+E26</f>
        <v>-11381976</v>
      </c>
      <c r="F21" s="791">
        <f>+F22+F23+F24+F25+F26</f>
        <v>0</v>
      </c>
      <c r="G21" s="791">
        <f>+G22+G23+G24+G25+G26</f>
        <v>0</v>
      </c>
      <c r="H21" s="150">
        <f t="shared" si="0"/>
        <v>13442271</v>
      </c>
      <c r="I21" s="326">
        <f>+I22+I23+I24+I25+I26</f>
        <v>13442271</v>
      </c>
      <c r="J21" s="150">
        <f>+J22+J23+J24+J25+J26</f>
        <v>0</v>
      </c>
      <c r="K21" s="150">
        <f>+K22+K23+K24+K25+K26</f>
        <v>0</v>
      </c>
    </row>
    <row r="22" spans="1:11" s="327" customFormat="1" ht="12" customHeight="1" x14ac:dyDescent="0.2">
      <c r="A22" s="14" t="s">
        <v>88</v>
      </c>
      <c r="B22" s="358" t="s">
        <v>211</v>
      </c>
      <c r="C22" s="797">
        <v>20850665</v>
      </c>
      <c r="D22" s="794">
        <f>SUM(E22:G22)+15690532</f>
        <v>15690532</v>
      </c>
      <c r="E22" s="811"/>
      <c r="F22" s="812"/>
      <c r="G22" s="812"/>
      <c r="H22" s="878">
        <f t="shared" si="0"/>
        <v>0</v>
      </c>
      <c r="I22" s="361"/>
      <c r="J22" s="302"/>
      <c r="K22" s="302"/>
    </row>
    <row r="23" spans="1:11" s="327" customFormat="1" ht="12" customHeight="1" x14ac:dyDescent="0.2">
      <c r="A23" s="13" t="s">
        <v>89</v>
      </c>
      <c r="B23" s="359" t="s">
        <v>212</v>
      </c>
      <c r="C23" s="797"/>
      <c r="D23" s="808">
        <f>SUM(E23:G23)</f>
        <v>0</v>
      </c>
      <c r="E23" s="799"/>
      <c r="F23" s="800"/>
      <c r="G23" s="800"/>
      <c r="H23" s="879">
        <f t="shared" si="0"/>
        <v>0</v>
      </c>
      <c r="I23" s="303"/>
      <c r="J23" s="154"/>
      <c r="K23" s="154"/>
    </row>
    <row r="24" spans="1:11" s="327" customFormat="1" ht="12" customHeight="1" x14ac:dyDescent="0.2">
      <c r="A24" s="13" t="s">
        <v>90</v>
      </c>
      <c r="B24" s="359" t="s">
        <v>378</v>
      </c>
      <c r="C24" s="797"/>
      <c r="D24" s="808">
        <f>SUM(E24:G24)</f>
        <v>0</v>
      </c>
      <c r="E24" s="799"/>
      <c r="F24" s="800"/>
      <c r="G24" s="800"/>
      <c r="H24" s="373">
        <f t="shared" si="0"/>
        <v>0</v>
      </c>
      <c r="I24" s="303"/>
      <c r="J24" s="154"/>
      <c r="K24" s="154"/>
    </row>
    <row r="25" spans="1:11" s="327" customFormat="1" ht="12" customHeight="1" x14ac:dyDescent="0.2">
      <c r="A25" s="13" t="s">
        <v>91</v>
      </c>
      <c r="B25" s="359" t="s">
        <v>379</v>
      </c>
      <c r="C25" s="797"/>
      <c r="D25" s="808">
        <f>SUM(E25:G25)</f>
        <v>0</v>
      </c>
      <c r="E25" s="799"/>
      <c r="F25" s="800"/>
      <c r="G25" s="800"/>
      <c r="H25" s="373">
        <f t="shared" si="0"/>
        <v>0</v>
      </c>
      <c r="I25" s="303"/>
      <c r="J25" s="154"/>
      <c r="K25" s="154"/>
    </row>
    <row r="26" spans="1:11" s="327" customFormat="1" ht="12" customHeight="1" x14ac:dyDescent="0.2">
      <c r="A26" s="13" t="s">
        <v>147</v>
      </c>
      <c r="B26" s="359" t="s">
        <v>213</v>
      </c>
      <c r="C26" s="797">
        <v>71202112</v>
      </c>
      <c r="D26" s="808">
        <f>SUM(E26:G26)+15179276+93705029+216916507+202150930</f>
        <v>516569766</v>
      </c>
      <c r="E26" s="799">
        <f>3797300-15179276</f>
        <v>-11381976</v>
      </c>
      <c r="F26" s="800"/>
      <c r="G26" s="800"/>
      <c r="H26" s="373">
        <f t="shared" si="0"/>
        <v>13442271</v>
      </c>
      <c r="I26" s="303">
        <f>5866130+3779393+3796748</f>
        <v>13442271</v>
      </c>
      <c r="J26" s="154"/>
      <c r="K26" s="154"/>
    </row>
    <row r="27" spans="1:11" s="327" customFormat="1" ht="12" customHeight="1" thickBot="1" x14ac:dyDescent="0.25">
      <c r="A27" s="15" t="s">
        <v>148</v>
      </c>
      <c r="B27" s="360" t="s">
        <v>214</v>
      </c>
      <c r="C27" s="801">
        <v>71149405</v>
      </c>
      <c r="D27" s="813">
        <f>SUM(E27:G27)+91545029+214128350+202150930</f>
        <v>511621609</v>
      </c>
      <c r="E27" s="809">
        <v>3797300</v>
      </c>
      <c r="F27" s="810"/>
      <c r="G27" s="810"/>
      <c r="H27" s="877">
        <f t="shared" si="0"/>
        <v>13442271</v>
      </c>
      <c r="I27" s="307">
        <f>9645523+3796748</f>
        <v>13442271</v>
      </c>
      <c r="J27" s="221"/>
      <c r="K27" s="221"/>
    </row>
    <row r="28" spans="1:11" s="327" customFormat="1" ht="12" customHeight="1" thickBot="1" x14ac:dyDescent="0.25">
      <c r="A28" s="19" t="s">
        <v>149</v>
      </c>
      <c r="B28" s="765" t="s">
        <v>215</v>
      </c>
      <c r="C28" s="805">
        <f>C29+C33+C34+C35</f>
        <v>356945262</v>
      </c>
      <c r="D28" s="792">
        <f>SUM(D29)+SUM(D32:D35)</f>
        <v>366490000</v>
      </c>
      <c r="E28" s="814">
        <f>+E29+E33+E34+E35</f>
        <v>329390000</v>
      </c>
      <c r="F28" s="815">
        <f>+F29+F33+F34+F35</f>
        <v>0</v>
      </c>
      <c r="G28" s="815">
        <f>+G29+G33+G34+G35</f>
        <v>0</v>
      </c>
      <c r="H28" s="150">
        <f t="shared" si="0"/>
        <v>352658000</v>
      </c>
      <c r="I28" s="329">
        <f>+I29+I33+I34+I35</f>
        <v>352658000</v>
      </c>
      <c r="J28" s="155">
        <f>+J29+J33+J34+J35</f>
        <v>0</v>
      </c>
      <c r="K28" s="155">
        <f>+K29+K33+K34+K35</f>
        <v>0</v>
      </c>
    </row>
    <row r="29" spans="1:11" s="327" customFormat="1" ht="12" customHeight="1" x14ac:dyDescent="0.2">
      <c r="A29" s="14" t="s">
        <v>216</v>
      </c>
      <c r="B29" s="358" t="s">
        <v>6</v>
      </c>
      <c r="C29" s="797">
        <f>SUM(C30:C32)</f>
        <v>320366432</v>
      </c>
      <c r="D29" s="794">
        <f>SUM(D30:D31)</f>
        <v>327830000</v>
      </c>
      <c r="E29" s="794">
        <f>SUM(E30:E32)</f>
        <v>292830000</v>
      </c>
      <c r="F29" s="816"/>
      <c r="G29" s="816"/>
      <c r="H29" s="876">
        <f t="shared" si="0"/>
        <v>308654000</v>
      </c>
      <c r="I29" s="362">
        <f>SUM(I30:I32)</f>
        <v>308654000</v>
      </c>
      <c r="J29" s="227"/>
      <c r="K29" s="227"/>
    </row>
    <row r="30" spans="1:11" s="327" customFormat="1" ht="12" customHeight="1" x14ac:dyDescent="0.2">
      <c r="A30" s="13" t="s">
        <v>219</v>
      </c>
      <c r="B30" s="359" t="s">
        <v>8</v>
      </c>
      <c r="C30" s="797">
        <v>78837793</v>
      </c>
      <c r="D30" s="808">
        <f>SUM(E30:G30)</f>
        <v>78990000</v>
      </c>
      <c r="E30" s="803">
        <f>8990000+70000000</f>
        <v>78990000</v>
      </c>
      <c r="F30" s="804"/>
      <c r="G30" s="804"/>
      <c r="H30" s="373">
        <f t="shared" si="0"/>
        <v>77500000</v>
      </c>
      <c r="I30" s="137">
        <f>7500000+70000000</f>
        <v>77500000</v>
      </c>
      <c r="J30" s="151"/>
      <c r="K30" s="151"/>
    </row>
    <row r="31" spans="1:11" s="327" customFormat="1" ht="12" customHeight="1" x14ac:dyDescent="0.2">
      <c r="A31" s="13" t="s">
        <v>220</v>
      </c>
      <c r="B31" s="359" t="s">
        <v>576</v>
      </c>
      <c r="C31" s="797">
        <v>241343096</v>
      </c>
      <c r="D31" s="798">
        <f>SUM(E31:G31)+35000000</f>
        <v>248840000</v>
      </c>
      <c r="E31" s="803">
        <f>203840000+10000000</f>
        <v>213840000</v>
      </c>
      <c r="F31" s="804"/>
      <c r="G31" s="804"/>
      <c r="H31" s="373">
        <f t="shared" si="0"/>
        <v>231154000</v>
      </c>
      <c r="I31" s="137">
        <v>231154000</v>
      </c>
      <c r="J31" s="151"/>
      <c r="K31" s="151"/>
    </row>
    <row r="32" spans="1:11" s="327" customFormat="1" ht="12" customHeight="1" x14ac:dyDescent="0.2">
      <c r="A32" s="13" t="s">
        <v>221</v>
      </c>
      <c r="B32" s="359" t="s">
        <v>7</v>
      </c>
      <c r="C32" s="797">
        <v>185543</v>
      </c>
      <c r="D32" s="808">
        <f>SUM(E32:G32)</f>
        <v>0</v>
      </c>
      <c r="E32" s="799"/>
      <c r="F32" s="800"/>
      <c r="G32" s="800"/>
      <c r="H32" s="373">
        <f t="shared" si="0"/>
        <v>0</v>
      </c>
      <c r="I32" s="303"/>
      <c r="J32" s="154"/>
      <c r="K32" s="154"/>
    </row>
    <row r="33" spans="1:11" s="327" customFormat="1" ht="12" customHeight="1" x14ac:dyDescent="0.2">
      <c r="A33" s="13" t="s">
        <v>575</v>
      </c>
      <c r="B33" s="359" t="s">
        <v>224</v>
      </c>
      <c r="C33" s="797">
        <v>27707080</v>
      </c>
      <c r="D33" s="808">
        <f>SUM(E33:G33)</f>
        <v>27000000</v>
      </c>
      <c r="E33" s="803">
        <f>27000000</f>
        <v>27000000</v>
      </c>
      <c r="F33" s="804"/>
      <c r="G33" s="804"/>
      <c r="H33" s="373">
        <f t="shared" si="0"/>
        <v>28000000</v>
      </c>
      <c r="I33" s="137">
        <v>28000000</v>
      </c>
      <c r="J33" s="151"/>
      <c r="K33" s="151"/>
    </row>
    <row r="34" spans="1:11" s="327" customFormat="1" ht="12" customHeight="1" x14ac:dyDescent="0.2">
      <c r="A34" s="13" t="s">
        <v>591</v>
      </c>
      <c r="B34" s="359" t="s">
        <v>225</v>
      </c>
      <c r="C34" s="797">
        <v>3865671</v>
      </c>
      <c r="D34" s="808">
        <f>SUM(E34:G34)-4000000</f>
        <v>60000</v>
      </c>
      <c r="E34" s="803">
        <v>4060000</v>
      </c>
      <c r="F34" s="804"/>
      <c r="G34" s="804"/>
      <c r="H34" s="373">
        <f t="shared" si="0"/>
        <v>4000</v>
      </c>
      <c r="I34" s="137">
        <f>4000+4500000-4500000</f>
        <v>4000</v>
      </c>
      <c r="J34" s="151"/>
      <c r="K34" s="151"/>
    </row>
    <row r="35" spans="1:11" s="327" customFormat="1" ht="12" customHeight="1" thickBot="1" x14ac:dyDescent="0.25">
      <c r="A35" s="15" t="s">
        <v>592</v>
      </c>
      <c r="B35" s="360" t="s">
        <v>226</v>
      </c>
      <c r="C35" s="801">
        <v>5006079</v>
      </c>
      <c r="D35" s="813">
        <f>SUM(E35:G35)+4000000+2100000</f>
        <v>11600000</v>
      </c>
      <c r="E35" s="809">
        <v>5500000</v>
      </c>
      <c r="F35" s="810"/>
      <c r="G35" s="810"/>
      <c r="H35" s="877">
        <f t="shared" si="0"/>
        <v>16000000</v>
      </c>
      <c r="I35" s="307">
        <f>1500000+2000000+1000000+7000000+4500000</f>
        <v>16000000</v>
      </c>
      <c r="J35" s="221"/>
      <c r="K35" s="221"/>
    </row>
    <row r="36" spans="1:11" s="327" customFormat="1" ht="12" customHeight="1" thickBot="1" x14ac:dyDescent="0.25">
      <c r="A36" s="19" t="s">
        <v>27</v>
      </c>
      <c r="B36" s="765" t="s">
        <v>477</v>
      </c>
      <c r="C36" s="805">
        <f>SUM(C37:C47)</f>
        <v>438590106</v>
      </c>
      <c r="D36" s="792">
        <f>SUM(D37:D47)</f>
        <v>464679145</v>
      </c>
      <c r="E36" s="792">
        <f>SUM(E37:E47)</f>
        <v>54395907</v>
      </c>
      <c r="F36" s="791">
        <f>SUM(F37:F47)</f>
        <v>9416500</v>
      </c>
      <c r="G36" s="791">
        <f>SUM(G37:G47)</f>
        <v>385266178</v>
      </c>
      <c r="H36" s="150">
        <f t="shared" si="0"/>
        <v>434983575</v>
      </c>
      <c r="I36" s="326">
        <f>SUM(I37:I47)</f>
        <v>40932127</v>
      </c>
      <c r="J36" s="150">
        <f>SUM(J37:J47)</f>
        <v>8419440</v>
      </c>
      <c r="K36" s="150">
        <f>SUM(K37:K47)</f>
        <v>385632008</v>
      </c>
    </row>
    <row r="37" spans="1:11" s="327" customFormat="1" ht="12" customHeight="1" x14ac:dyDescent="0.2">
      <c r="A37" s="14" t="s">
        <v>92</v>
      </c>
      <c r="B37" s="358" t="s">
        <v>229</v>
      </c>
      <c r="C37" s="797">
        <v>13801743</v>
      </c>
      <c r="D37" s="817">
        <f>SUM(E37:G37)+5500000+275371-130000+3954000</f>
        <v>19744849</v>
      </c>
      <c r="E37" s="795">
        <f>3937000+4000000+5000000-2941522</f>
        <v>9995478</v>
      </c>
      <c r="F37" s="796"/>
      <c r="G37" s="796">
        <v>150000</v>
      </c>
      <c r="H37" s="876">
        <f t="shared" si="0"/>
        <v>12179000</v>
      </c>
      <c r="I37" s="332">
        <v>12159000</v>
      </c>
      <c r="J37" s="270"/>
      <c r="K37" s="270">
        <v>20000</v>
      </c>
    </row>
    <row r="38" spans="1:11" s="327" customFormat="1" ht="12" customHeight="1" x14ac:dyDescent="0.2">
      <c r="A38" s="13" t="s">
        <v>93</v>
      </c>
      <c r="B38" s="359" t="s">
        <v>230</v>
      </c>
      <c r="C38" s="797">
        <v>92246962</v>
      </c>
      <c r="D38" s="798">
        <f>SUM(E38:G38)+1813568-195228+4055000-5885856+1800934</f>
        <v>96708620</v>
      </c>
      <c r="E38" s="799">
        <f>100000+12004000+160000+7128864</f>
        <v>19392864</v>
      </c>
      <c r="F38" s="800">
        <v>7533500</v>
      </c>
      <c r="G38" s="796">
        <v>68193838</v>
      </c>
      <c r="H38" s="516">
        <f t="shared" si="0"/>
        <v>74735980</v>
      </c>
      <c r="I38" s="303">
        <f>13910169+100000+62992</f>
        <v>14073161</v>
      </c>
      <c r="J38" s="154">
        <f>500000+1198440+380000+4150000</f>
        <v>6228440</v>
      </c>
      <c r="K38" s="270">
        <f>52063316+2371063</f>
        <v>54434379</v>
      </c>
    </row>
    <row r="39" spans="1:11" s="327" customFormat="1" ht="12" customHeight="1" x14ac:dyDescent="0.2">
      <c r="A39" s="13" t="s">
        <v>94</v>
      </c>
      <c r="B39" s="359" t="s">
        <v>231</v>
      </c>
      <c r="C39" s="797">
        <v>87133464</v>
      </c>
      <c r="D39" s="798">
        <f>SUM(E39:G39)+1061599-195228+364027-3376000-189000-42520+2246520</f>
        <v>95492738</v>
      </c>
      <c r="E39" s="799">
        <f>8458000+947000</f>
        <v>9405000</v>
      </c>
      <c r="F39" s="800">
        <v>500000</v>
      </c>
      <c r="G39" s="796">
        <v>85718340</v>
      </c>
      <c r="H39" s="373">
        <f t="shared" si="0"/>
        <v>103069200</v>
      </c>
      <c r="I39" s="303">
        <f>500000+300000+50000+1400000+947000+300000+52200</f>
        <v>3549200</v>
      </c>
      <c r="J39" s="154">
        <v>300000</v>
      </c>
      <c r="K39" s="270">
        <v>99220000</v>
      </c>
    </row>
    <row r="40" spans="1:11" s="327" customFormat="1" ht="12" customHeight="1" x14ac:dyDescent="0.2">
      <c r="A40" s="13" t="s">
        <v>151</v>
      </c>
      <c r="B40" s="359" t="s">
        <v>232</v>
      </c>
      <c r="C40" s="797">
        <v>7452660</v>
      </c>
      <c r="D40" s="798">
        <f>SUM(E40:G40)</f>
        <v>430000</v>
      </c>
      <c r="E40" s="799">
        <f>430000</f>
        <v>430000</v>
      </c>
      <c r="F40" s="800"/>
      <c r="G40" s="796"/>
      <c r="H40" s="373">
        <f t="shared" si="0"/>
        <v>430000</v>
      </c>
      <c r="I40" s="303">
        <v>430000</v>
      </c>
      <c r="J40" s="154"/>
      <c r="K40" s="270"/>
    </row>
    <row r="41" spans="1:11" s="327" customFormat="1" ht="12" customHeight="1" x14ac:dyDescent="0.2">
      <c r="A41" s="13" t="s">
        <v>152</v>
      </c>
      <c r="B41" s="359" t="s">
        <v>233</v>
      </c>
      <c r="C41" s="797">
        <v>175650577</v>
      </c>
      <c r="D41" s="798">
        <f>SUM(E41:G41)-1800934</f>
        <v>176438468</v>
      </c>
      <c r="E41" s="799"/>
      <c r="F41" s="800"/>
      <c r="G41" s="796">
        <f>182811402-4572000</f>
        <v>178239402</v>
      </c>
      <c r="H41" s="373">
        <f t="shared" si="0"/>
        <v>179085653</v>
      </c>
      <c r="I41" s="303"/>
      <c r="J41" s="154"/>
      <c r="K41" s="270">
        <v>179085653</v>
      </c>
    </row>
    <row r="42" spans="1:11" s="327" customFormat="1" ht="12" customHeight="1" x14ac:dyDescent="0.2">
      <c r="A42" s="13" t="s">
        <v>153</v>
      </c>
      <c r="B42" s="359" t="s">
        <v>234</v>
      </c>
      <c r="C42" s="797">
        <v>40626143</v>
      </c>
      <c r="D42" s="798">
        <f>SUM(E42:G42)+270000+1485000+976640+195228+195228+246410+2609072+189000+42520-2463811</f>
        <v>50887450</v>
      </c>
      <c r="E42" s="799">
        <f>1063000+3242000+5853000+44000+378000+600000+1350000+1408565</f>
        <v>13938565</v>
      </c>
      <c r="F42" s="800">
        <v>1283000</v>
      </c>
      <c r="G42" s="796">
        <v>31920598</v>
      </c>
      <c r="H42" s="516">
        <f t="shared" si="0"/>
        <v>45481578</v>
      </c>
      <c r="I42" s="303">
        <f>3283000+5162000+81000+13500+378000+81000+14094+17008</f>
        <v>9029602</v>
      </c>
      <c r="J42" s="154">
        <f>135000+324000+103000+1229000</f>
        <v>1791000</v>
      </c>
      <c r="K42" s="270">
        <f>34020789+640187</f>
        <v>34660976</v>
      </c>
    </row>
    <row r="43" spans="1:11" s="327" customFormat="1" ht="12" customHeight="1" x14ac:dyDescent="0.2">
      <c r="A43" s="13" t="s">
        <v>154</v>
      </c>
      <c r="B43" s="359" t="s">
        <v>235</v>
      </c>
      <c r="C43" s="797">
        <v>19170000</v>
      </c>
      <c r="D43" s="798">
        <f>SUM(E43:G43)-1286000+1924793</f>
        <v>21672793</v>
      </c>
      <c r="E43" s="799"/>
      <c r="F43" s="800"/>
      <c r="G43" s="796">
        <v>21034000</v>
      </c>
      <c r="H43" s="373">
        <f t="shared" si="0"/>
        <v>18210000</v>
      </c>
      <c r="I43" s="303"/>
      <c r="J43" s="154"/>
      <c r="K43" s="270">
        <v>18210000</v>
      </c>
    </row>
    <row r="44" spans="1:11" s="327" customFormat="1" ht="12" customHeight="1" x14ac:dyDescent="0.2">
      <c r="A44" s="13" t="s">
        <v>155</v>
      </c>
      <c r="B44" s="359" t="s">
        <v>593</v>
      </c>
      <c r="C44" s="797">
        <v>132091</v>
      </c>
      <c r="D44" s="798">
        <f>SUM(E44:G44)</f>
        <v>40000</v>
      </c>
      <c r="E44" s="799">
        <v>30000</v>
      </c>
      <c r="F44" s="800"/>
      <c r="G44" s="796">
        <v>10000</v>
      </c>
      <c r="H44" s="373">
        <f t="shared" si="0"/>
        <v>31000</v>
      </c>
      <c r="I44" s="303">
        <v>30000</v>
      </c>
      <c r="J44" s="154"/>
      <c r="K44" s="270">
        <v>1000</v>
      </c>
    </row>
    <row r="45" spans="1:11" s="327" customFormat="1" ht="12" customHeight="1" x14ac:dyDescent="0.2">
      <c r="A45" s="13" t="s">
        <v>227</v>
      </c>
      <c r="B45" s="359" t="s">
        <v>237</v>
      </c>
      <c r="C45" s="797"/>
      <c r="D45" s="798">
        <f>SUM(E45:G45)</f>
        <v>0</v>
      </c>
      <c r="E45" s="799"/>
      <c r="F45" s="800"/>
      <c r="G45" s="796"/>
      <c r="H45" s="373">
        <f t="shared" si="0"/>
        <v>0</v>
      </c>
      <c r="I45" s="303"/>
      <c r="J45" s="154"/>
      <c r="K45" s="270"/>
    </row>
    <row r="46" spans="1:11" s="327" customFormat="1" ht="12" customHeight="1" x14ac:dyDescent="0.2">
      <c r="A46" s="15" t="s">
        <v>228</v>
      </c>
      <c r="B46" s="360" t="s">
        <v>478</v>
      </c>
      <c r="C46" s="797">
        <v>812271</v>
      </c>
      <c r="D46" s="808">
        <f>SUM(E46:G46)</f>
        <v>500000</v>
      </c>
      <c r="E46" s="809">
        <f>500000</f>
        <v>500000</v>
      </c>
      <c r="F46" s="810"/>
      <c r="G46" s="796"/>
      <c r="H46" s="373">
        <f t="shared" si="0"/>
        <v>500000</v>
      </c>
      <c r="I46" s="307">
        <v>500000</v>
      </c>
      <c r="J46" s="221"/>
      <c r="K46" s="270"/>
    </row>
    <row r="47" spans="1:11" s="327" customFormat="1" ht="12" customHeight="1" thickBot="1" x14ac:dyDescent="0.25">
      <c r="A47" s="15" t="s">
        <v>479</v>
      </c>
      <c r="B47" s="767" t="s">
        <v>238</v>
      </c>
      <c r="C47" s="801">
        <v>1564195</v>
      </c>
      <c r="D47" s="802">
        <f>SUM(E47:G47)+200318+416514+1343395</f>
        <v>2764227</v>
      </c>
      <c r="E47" s="809">
        <f>704000</f>
        <v>704000</v>
      </c>
      <c r="F47" s="810">
        <v>100000</v>
      </c>
      <c r="G47" s="796"/>
      <c r="H47" s="922">
        <f t="shared" si="0"/>
        <v>1261164</v>
      </c>
      <c r="I47" s="307">
        <f>60000+600000+501164</f>
        <v>1161164</v>
      </c>
      <c r="J47" s="221">
        <v>100000</v>
      </c>
      <c r="K47" s="270"/>
    </row>
    <row r="48" spans="1:11" s="327" customFormat="1" ht="12" customHeight="1" thickBot="1" x14ac:dyDescent="0.25">
      <c r="A48" s="19" t="s">
        <v>28</v>
      </c>
      <c r="B48" s="765" t="s">
        <v>239</v>
      </c>
      <c r="C48" s="805">
        <f>SUM(C49:C53)</f>
        <v>1786175</v>
      </c>
      <c r="D48" s="792">
        <f>SUM(D49:D53)</f>
        <v>47429000</v>
      </c>
      <c r="E48" s="792">
        <f>SUM(E49:E53)</f>
        <v>25179000</v>
      </c>
      <c r="F48" s="791">
        <f>SUM(F49:F53)</f>
        <v>0</v>
      </c>
      <c r="G48" s="791">
        <f>SUM(G49:G53)</f>
        <v>0</v>
      </c>
      <c r="H48" s="150">
        <f t="shared" si="0"/>
        <v>30332500</v>
      </c>
      <c r="I48" s="326">
        <f>SUM(I49:I53)</f>
        <v>30332500</v>
      </c>
      <c r="J48" s="150">
        <f>SUM(J49:J53)</f>
        <v>0</v>
      </c>
      <c r="K48" s="150">
        <f>SUM(K49:K53)</f>
        <v>0</v>
      </c>
    </row>
    <row r="49" spans="1:11" s="327" customFormat="1" ht="12" customHeight="1" x14ac:dyDescent="0.2">
      <c r="A49" s="14" t="s">
        <v>95</v>
      </c>
      <c r="B49" s="358" t="s">
        <v>243</v>
      </c>
      <c r="C49" s="797"/>
      <c r="D49" s="794">
        <f>SUM(E49:G49)</f>
        <v>0</v>
      </c>
      <c r="E49" s="795"/>
      <c r="F49" s="796"/>
      <c r="G49" s="796"/>
      <c r="H49" s="878">
        <f t="shared" si="0"/>
        <v>0</v>
      </c>
      <c r="I49" s="332"/>
      <c r="J49" s="270"/>
      <c r="K49" s="270"/>
    </row>
    <row r="50" spans="1:11" s="327" customFormat="1" ht="12" customHeight="1" x14ac:dyDescent="0.2">
      <c r="A50" s="13" t="s">
        <v>96</v>
      </c>
      <c r="B50" s="359" t="s">
        <v>244</v>
      </c>
      <c r="C50" s="797">
        <v>778000</v>
      </c>
      <c r="D50" s="808">
        <f>SUM(E50:G50)+22000000</f>
        <v>47179000</v>
      </c>
      <c r="E50" s="799">
        <f>25179000</f>
        <v>25179000</v>
      </c>
      <c r="F50" s="800"/>
      <c r="G50" s="800"/>
      <c r="H50" s="373">
        <f t="shared" si="0"/>
        <v>30332500</v>
      </c>
      <c r="I50" s="303">
        <v>30332500</v>
      </c>
      <c r="J50" s="154"/>
      <c r="K50" s="154"/>
    </row>
    <row r="51" spans="1:11" s="327" customFormat="1" ht="12" customHeight="1" x14ac:dyDescent="0.2">
      <c r="A51" s="13" t="s">
        <v>240</v>
      </c>
      <c r="B51" s="359" t="s">
        <v>245</v>
      </c>
      <c r="C51" s="797">
        <v>1008175</v>
      </c>
      <c r="D51" s="808">
        <v>250000</v>
      </c>
      <c r="E51" s="799"/>
      <c r="F51" s="800"/>
      <c r="G51" s="800"/>
      <c r="H51" s="373">
        <f t="shared" si="0"/>
        <v>0</v>
      </c>
      <c r="I51" s="303"/>
      <c r="J51" s="154"/>
      <c r="K51" s="154"/>
    </row>
    <row r="52" spans="1:11" s="327" customFormat="1" ht="12" customHeight="1" x14ac:dyDescent="0.2">
      <c r="A52" s="13" t="s">
        <v>241</v>
      </c>
      <c r="B52" s="359" t="s">
        <v>246</v>
      </c>
      <c r="C52" s="797"/>
      <c r="D52" s="808">
        <f>SUM(E52:G52)</f>
        <v>0</v>
      </c>
      <c r="E52" s="799"/>
      <c r="F52" s="800"/>
      <c r="G52" s="800"/>
      <c r="H52" s="373">
        <f t="shared" si="0"/>
        <v>0</v>
      </c>
      <c r="I52" s="303"/>
      <c r="J52" s="154"/>
      <c r="K52" s="154"/>
    </row>
    <row r="53" spans="1:11" s="327" customFormat="1" ht="12" customHeight="1" thickBot="1" x14ac:dyDescent="0.25">
      <c r="A53" s="15" t="s">
        <v>242</v>
      </c>
      <c r="B53" s="767" t="s">
        <v>247</v>
      </c>
      <c r="C53" s="801"/>
      <c r="D53" s="813">
        <f>SUM(E53:G53)</f>
        <v>0</v>
      </c>
      <c r="E53" s="809"/>
      <c r="F53" s="810"/>
      <c r="G53" s="810"/>
      <c r="H53" s="880">
        <f t="shared" si="0"/>
        <v>0</v>
      </c>
      <c r="I53" s="307"/>
      <c r="J53" s="221"/>
      <c r="K53" s="221"/>
    </row>
    <row r="54" spans="1:11" s="327" customFormat="1" ht="12" customHeight="1" thickBot="1" x14ac:dyDescent="0.25">
      <c r="A54" s="19" t="s">
        <v>156</v>
      </c>
      <c r="B54" s="765" t="s">
        <v>248</v>
      </c>
      <c r="C54" s="805">
        <f>SUM(C55:C57)</f>
        <v>11113183</v>
      </c>
      <c r="D54" s="792">
        <f>SUM(D55:D57)</f>
        <v>24244433</v>
      </c>
      <c r="E54" s="792">
        <f>SUM(E55:E57)</f>
        <v>6164433</v>
      </c>
      <c r="F54" s="791">
        <f>SUM(F55:F57)</f>
        <v>0</v>
      </c>
      <c r="G54" s="791">
        <f>SUM(G55:G57)</f>
        <v>0</v>
      </c>
      <c r="H54" s="357">
        <f t="shared" si="0"/>
        <v>4766000</v>
      </c>
      <c r="I54" s="326">
        <f>SUM(I55:I57)</f>
        <v>4766000</v>
      </c>
      <c r="J54" s="150">
        <f>SUM(J55:J57)</f>
        <v>0</v>
      </c>
      <c r="K54" s="150">
        <f>SUM(K55:K57)</f>
        <v>0</v>
      </c>
    </row>
    <row r="55" spans="1:11" s="327" customFormat="1" ht="12" customHeight="1" x14ac:dyDescent="0.2">
      <c r="A55" s="14" t="s">
        <v>97</v>
      </c>
      <c r="B55" s="358" t="s">
        <v>249</v>
      </c>
      <c r="C55" s="797"/>
      <c r="D55" s="817">
        <f>SUM(E55:G55)</f>
        <v>0</v>
      </c>
      <c r="E55" s="806"/>
      <c r="F55" s="807"/>
      <c r="G55" s="807"/>
      <c r="H55" s="881">
        <f t="shared" si="0"/>
        <v>0</v>
      </c>
      <c r="I55" s="328"/>
      <c r="J55" s="152"/>
      <c r="K55" s="152"/>
    </row>
    <row r="56" spans="1:11" s="327" customFormat="1" ht="12" customHeight="1" x14ac:dyDescent="0.2">
      <c r="A56" s="13" t="s">
        <v>98</v>
      </c>
      <c r="B56" s="359" t="s">
        <v>380</v>
      </c>
      <c r="C56" s="797">
        <v>1170155</v>
      </c>
      <c r="D56" s="798">
        <f>SUM(E56:G56)+18000000</f>
        <v>19949000</v>
      </c>
      <c r="E56" s="799">
        <f>383000+1566000</f>
        <v>1949000</v>
      </c>
      <c r="F56" s="800"/>
      <c r="G56" s="800"/>
      <c r="H56" s="373">
        <f t="shared" si="0"/>
        <v>1866000</v>
      </c>
      <c r="I56" s="303">
        <f>1566000+300000</f>
        <v>1866000</v>
      </c>
      <c r="J56" s="154"/>
      <c r="K56" s="154"/>
    </row>
    <row r="57" spans="1:11" s="327" customFormat="1" ht="12" customHeight="1" x14ac:dyDescent="0.2">
      <c r="A57" s="13" t="s">
        <v>252</v>
      </c>
      <c r="B57" s="359" t="s">
        <v>250</v>
      </c>
      <c r="C57" s="797">
        <v>9943028</v>
      </c>
      <c r="D57" s="798">
        <f>SUM(E57:G57)+80000</f>
        <v>4295433</v>
      </c>
      <c r="E57" s="799">
        <f>4075000+140433</f>
        <v>4215433</v>
      </c>
      <c r="F57" s="800"/>
      <c r="G57" s="800"/>
      <c r="H57" s="373">
        <f t="shared" si="0"/>
        <v>2900000</v>
      </c>
      <c r="I57" s="303">
        <v>2900000</v>
      </c>
      <c r="J57" s="154"/>
      <c r="K57" s="154"/>
    </row>
    <row r="58" spans="1:11" s="327" customFormat="1" ht="12" customHeight="1" thickBot="1" x14ac:dyDescent="0.25">
      <c r="A58" s="15" t="s">
        <v>253</v>
      </c>
      <c r="B58" s="767" t="s">
        <v>251</v>
      </c>
      <c r="C58" s="801"/>
      <c r="D58" s="813">
        <f>SUM(E58:G58)</f>
        <v>0</v>
      </c>
      <c r="E58" s="818"/>
      <c r="F58" s="819"/>
      <c r="G58" s="819"/>
      <c r="H58" s="877">
        <f t="shared" si="0"/>
        <v>0</v>
      </c>
      <c r="I58" s="138"/>
      <c r="J58" s="153"/>
      <c r="K58" s="153"/>
    </row>
    <row r="59" spans="1:11" s="327" customFormat="1" ht="12" customHeight="1" thickBot="1" x14ac:dyDescent="0.25">
      <c r="A59" s="19" t="s">
        <v>30</v>
      </c>
      <c r="B59" s="768" t="s">
        <v>254</v>
      </c>
      <c r="C59" s="805">
        <f>SUM(C60:C62)</f>
        <v>3841537</v>
      </c>
      <c r="D59" s="792">
        <f>SUM(D60:D62)</f>
        <v>1400000</v>
      </c>
      <c r="E59" s="792">
        <f>SUM(E60:E62)</f>
        <v>0</v>
      </c>
      <c r="F59" s="791">
        <f>SUM(F60:F62)</f>
        <v>0</v>
      </c>
      <c r="G59" s="791">
        <f>SUM(G60:G62)</f>
        <v>0</v>
      </c>
      <c r="H59" s="150">
        <f t="shared" si="0"/>
        <v>0</v>
      </c>
      <c r="I59" s="326">
        <f>SUM(I60:I62)</f>
        <v>0</v>
      </c>
      <c r="J59" s="150">
        <f>SUM(J60:J62)</f>
        <v>0</v>
      </c>
      <c r="K59" s="150">
        <f>SUM(K60:K62)</f>
        <v>0</v>
      </c>
    </row>
    <row r="60" spans="1:11" s="327" customFormat="1" ht="12" customHeight="1" x14ac:dyDescent="0.2">
      <c r="A60" s="14" t="s">
        <v>157</v>
      </c>
      <c r="B60" s="358" t="s">
        <v>256</v>
      </c>
      <c r="C60" s="797"/>
      <c r="D60" s="817">
        <f>SUM(E60:G60)</f>
        <v>0</v>
      </c>
      <c r="E60" s="799"/>
      <c r="F60" s="800"/>
      <c r="G60" s="800"/>
      <c r="H60" s="878">
        <f t="shared" si="0"/>
        <v>0</v>
      </c>
      <c r="I60" s="303"/>
      <c r="J60" s="154"/>
      <c r="K60" s="154"/>
    </row>
    <row r="61" spans="1:11" s="327" customFormat="1" ht="12" customHeight="1" x14ac:dyDescent="0.2">
      <c r="A61" s="13" t="s">
        <v>158</v>
      </c>
      <c r="B61" s="359" t="s">
        <v>381</v>
      </c>
      <c r="C61" s="797">
        <v>13837</v>
      </c>
      <c r="D61" s="798">
        <f>SUM(E61:G61)</f>
        <v>0</v>
      </c>
      <c r="E61" s="799"/>
      <c r="F61" s="800"/>
      <c r="G61" s="800"/>
      <c r="H61" s="879">
        <f t="shared" si="0"/>
        <v>0</v>
      </c>
      <c r="I61" s="303"/>
      <c r="J61" s="154"/>
      <c r="K61" s="154"/>
    </row>
    <row r="62" spans="1:11" s="327" customFormat="1" ht="12" customHeight="1" x14ac:dyDescent="0.2">
      <c r="A62" s="13" t="s">
        <v>180</v>
      </c>
      <c r="B62" s="359" t="s">
        <v>257</v>
      </c>
      <c r="C62" s="797">
        <v>3827700</v>
      </c>
      <c r="D62" s="798">
        <f>1200000+200000</f>
        <v>1400000</v>
      </c>
      <c r="E62" s="799"/>
      <c r="F62" s="800"/>
      <c r="G62" s="800"/>
      <c r="H62" s="879">
        <f t="shared" si="0"/>
        <v>0</v>
      </c>
      <c r="I62" s="303"/>
      <c r="J62" s="154"/>
      <c r="K62" s="154"/>
    </row>
    <row r="63" spans="1:11" s="327" customFormat="1" ht="12" customHeight="1" thickBot="1" x14ac:dyDescent="0.25">
      <c r="A63" s="15" t="s">
        <v>255</v>
      </c>
      <c r="B63" s="767" t="s">
        <v>258</v>
      </c>
      <c r="C63" s="801"/>
      <c r="D63" s="802">
        <f>SUM(E63:G63)</f>
        <v>0</v>
      </c>
      <c r="E63" s="799"/>
      <c r="F63" s="800"/>
      <c r="G63" s="800"/>
      <c r="H63" s="880">
        <f t="shared" si="0"/>
        <v>0</v>
      </c>
      <c r="I63" s="303"/>
      <c r="J63" s="154"/>
      <c r="K63" s="154"/>
    </row>
    <row r="64" spans="1:11" s="327" customFormat="1" ht="12" customHeight="1" thickBot="1" x14ac:dyDescent="0.25">
      <c r="A64" s="287" t="s">
        <v>480</v>
      </c>
      <c r="B64" s="765" t="s">
        <v>259</v>
      </c>
      <c r="C64" s="792">
        <f>C59+C54+C48+C36+C28+C21+C14+C7</f>
        <v>2639272060</v>
      </c>
      <c r="D64" s="792">
        <f>D59+D54+D48+D36+D28+D21+D14+D7</f>
        <v>2929720479</v>
      </c>
      <c r="E64" s="814">
        <f>+E7+E14+E21+E28+E36+E48+E54+E59</f>
        <v>1391439714</v>
      </c>
      <c r="F64" s="815">
        <f>+F7+F14+F21+F28+F36+F48+F54+F59</f>
        <v>9416500</v>
      </c>
      <c r="G64" s="815">
        <f>+G7+G14+G21+G28+G36+G48+G54+G59</f>
        <v>390751178</v>
      </c>
      <c r="H64" s="150">
        <f t="shared" si="0"/>
        <v>2336728582</v>
      </c>
      <c r="I64" s="329">
        <f>+I7+I14+I21+I28+I36+I48+I54+I59</f>
        <v>1920047742</v>
      </c>
      <c r="J64" s="155">
        <f>+J7+J14+J21+J28+J36+J48+J54+J59</f>
        <v>11536297</v>
      </c>
      <c r="K64" s="155">
        <f>+K7+K14+K21+K28+K36+K48+K54+K59</f>
        <v>405144543</v>
      </c>
    </row>
    <row r="65" spans="1:11" s="327" customFormat="1" ht="12" customHeight="1" thickBot="1" x14ac:dyDescent="0.25">
      <c r="A65" s="288" t="s">
        <v>260</v>
      </c>
      <c r="B65" s="768" t="s">
        <v>594</v>
      </c>
      <c r="C65" s="820">
        <f>SUM(C66:C68)</f>
        <v>20303000</v>
      </c>
      <c r="D65" s="821">
        <f>SUM(D66:D68)</f>
        <v>187500000</v>
      </c>
      <c r="E65" s="792">
        <f>SUM(E66:E68)</f>
        <v>144100000</v>
      </c>
      <c r="F65" s="791">
        <f>SUM(F66:F68)</f>
        <v>0</v>
      </c>
      <c r="G65" s="791">
        <f>SUM(G66:G68)</f>
        <v>0</v>
      </c>
      <c r="H65" s="150">
        <f t="shared" si="0"/>
        <v>193478462</v>
      </c>
      <c r="I65" s="326">
        <f>SUM(I66:I68)</f>
        <v>193478462</v>
      </c>
      <c r="J65" s="150">
        <f>SUM(J66:J68)</f>
        <v>0</v>
      </c>
      <c r="K65" s="150">
        <f>SUM(K66:K68)</f>
        <v>0</v>
      </c>
    </row>
    <row r="66" spans="1:11" s="327" customFormat="1" ht="12" customHeight="1" x14ac:dyDescent="0.2">
      <c r="A66" s="14" t="s">
        <v>292</v>
      </c>
      <c r="B66" s="358" t="s">
        <v>262</v>
      </c>
      <c r="C66" s="797">
        <v>20303000</v>
      </c>
      <c r="D66" s="794">
        <f>SUM(E66:G66)+37900000+5500000</f>
        <v>87500000</v>
      </c>
      <c r="E66" s="799">
        <v>44100000</v>
      </c>
      <c r="F66" s="800"/>
      <c r="G66" s="800"/>
      <c r="H66" s="876">
        <f t="shared" si="0"/>
        <v>93478462</v>
      </c>
      <c r="I66" s="303">
        <v>93478462</v>
      </c>
      <c r="J66" s="154"/>
      <c r="K66" s="154"/>
    </row>
    <row r="67" spans="1:11" s="327" customFormat="1" ht="12" customHeight="1" x14ac:dyDescent="0.2">
      <c r="A67" s="13" t="s">
        <v>301</v>
      </c>
      <c r="B67" s="359" t="s">
        <v>263</v>
      </c>
      <c r="C67" s="797"/>
      <c r="D67" s="808">
        <f>SUM(E67:G67)</f>
        <v>100000000</v>
      </c>
      <c r="E67" s="799">
        <v>100000000</v>
      </c>
      <c r="F67" s="800"/>
      <c r="G67" s="800"/>
      <c r="H67" s="373">
        <f t="shared" si="0"/>
        <v>100000000</v>
      </c>
      <c r="I67" s="303">
        <v>100000000</v>
      </c>
      <c r="J67" s="154"/>
      <c r="K67" s="154"/>
    </row>
    <row r="68" spans="1:11" s="327" customFormat="1" ht="12" customHeight="1" thickBot="1" x14ac:dyDescent="0.25">
      <c r="A68" s="15" t="s">
        <v>302</v>
      </c>
      <c r="B68" s="769" t="s">
        <v>481</v>
      </c>
      <c r="C68" s="801"/>
      <c r="D68" s="813">
        <f>SUM(E68:G68)</f>
        <v>0</v>
      </c>
      <c r="E68" s="799"/>
      <c r="F68" s="800"/>
      <c r="G68" s="800"/>
      <c r="H68" s="880">
        <f t="shared" si="0"/>
        <v>0</v>
      </c>
      <c r="I68" s="303"/>
      <c r="J68" s="154"/>
      <c r="K68" s="154"/>
    </row>
    <row r="69" spans="1:11" s="327" customFormat="1" ht="12" customHeight="1" thickBot="1" x14ac:dyDescent="0.25">
      <c r="A69" s="288" t="s">
        <v>265</v>
      </c>
      <c r="B69" s="768" t="s">
        <v>266</v>
      </c>
      <c r="C69" s="822">
        <f>SUM(C70:C73)</f>
        <v>0</v>
      </c>
      <c r="D69" s="822">
        <f>SUM(D70:D73)</f>
        <v>0</v>
      </c>
      <c r="E69" s="792">
        <f>SUM(E70:E73)</f>
        <v>0</v>
      </c>
      <c r="F69" s="791">
        <f>SUM(F70:F73)</f>
        <v>0</v>
      </c>
      <c r="G69" s="791">
        <f>SUM(G70:G73)</f>
        <v>0</v>
      </c>
      <c r="H69" s="150">
        <f t="shared" si="0"/>
        <v>0</v>
      </c>
      <c r="I69" s="326">
        <f>SUM(I70:I73)</f>
        <v>0</v>
      </c>
      <c r="J69" s="150">
        <f>SUM(J70:J73)</f>
        <v>0</v>
      </c>
      <c r="K69" s="150">
        <f>SUM(K70:K73)</f>
        <v>0</v>
      </c>
    </row>
    <row r="70" spans="1:11" s="327" customFormat="1" ht="12" customHeight="1" x14ac:dyDescent="0.2">
      <c r="A70" s="14" t="s">
        <v>137</v>
      </c>
      <c r="B70" s="358" t="s">
        <v>267</v>
      </c>
      <c r="C70" s="797"/>
      <c r="D70" s="794">
        <f>SUM(E70:G70)</f>
        <v>0</v>
      </c>
      <c r="E70" s="799"/>
      <c r="F70" s="800"/>
      <c r="G70" s="800"/>
      <c r="H70" s="878">
        <f t="shared" si="0"/>
        <v>0</v>
      </c>
      <c r="I70" s="303"/>
      <c r="J70" s="154"/>
      <c r="K70" s="154"/>
    </row>
    <row r="71" spans="1:11" s="327" customFormat="1" ht="17.25" customHeight="1" x14ac:dyDescent="0.2">
      <c r="A71" s="13" t="s">
        <v>138</v>
      </c>
      <c r="B71" s="359" t="s">
        <v>268</v>
      </c>
      <c r="C71" s="797"/>
      <c r="D71" s="808">
        <f>SUM(E71:G71)</f>
        <v>0</v>
      </c>
      <c r="E71" s="799"/>
      <c r="F71" s="800"/>
      <c r="G71" s="800"/>
      <c r="H71" s="879">
        <f t="shared" si="0"/>
        <v>0</v>
      </c>
      <c r="I71" s="303"/>
      <c r="J71" s="154"/>
      <c r="K71" s="154"/>
    </row>
    <row r="72" spans="1:11" s="327" customFormat="1" ht="12" customHeight="1" x14ac:dyDescent="0.2">
      <c r="A72" s="13" t="s">
        <v>293</v>
      </c>
      <c r="B72" s="359" t="s">
        <v>269</v>
      </c>
      <c r="C72" s="797"/>
      <c r="D72" s="808">
        <f>SUM(E72:G72)</f>
        <v>0</v>
      </c>
      <c r="E72" s="799"/>
      <c r="F72" s="800"/>
      <c r="G72" s="800"/>
      <c r="H72" s="879">
        <f t="shared" ref="H72:H89" si="1">SUM(I72:K72)</f>
        <v>0</v>
      </c>
      <c r="I72" s="303"/>
      <c r="J72" s="154"/>
      <c r="K72" s="154"/>
    </row>
    <row r="73" spans="1:11" s="327" customFormat="1" ht="12" customHeight="1" thickBot="1" x14ac:dyDescent="0.25">
      <c r="A73" s="15" t="s">
        <v>294</v>
      </c>
      <c r="B73" s="767" t="s">
        <v>270</v>
      </c>
      <c r="C73" s="801"/>
      <c r="D73" s="813">
        <f>SUM(E73:G73)</f>
        <v>0</v>
      </c>
      <c r="E73" s="799"/>
      <c r="F73" s="800"/>
      <c r="G73" s="800"/>
      <c r="H73" s="880">
        <f t="shared" si="1"/>
        <v>0</v>
      </c>
      <c r="I73" s="303"/>
      <c r="J73" s="154"/>
      <c r="K73" s="154"/>
    </row>
    <row r="74" spans="1:11" s="327" customFormat="1" ht="12" customHeight="1" thickBot="1" x14ac:dyDescent="0.25">
      <c r="A74" s="288" t="s">
        <v>271</v>
      </c>
      <c r="B74" s="768" t="s">
        <v>272</v>
      </c>
      <c r="C74" s="792">
        <f>SUM(C75:C76)</f>
        <v>264950190</v>
      </c>
      <c r="D74" s="792">
        <f>SUM(D75:D76)</f>
        <v>292999415</v>
      </c>
      <c r="E74" s="792">
        <f>SUM(E75:E76)</f>
        <v>289331423</v>
      </c>
      <c r="F74" s="791">
        <f>SUM(F75:F76)</f>
        <v>447404</v>
      </c>
      <c r="G74" s="791">
        <f>SUM(G75:G76)</f>
        <v>3220588</v>
      </c>
      <c r="H74" s="150">
        <f t="shared" si="1"/>
        <v>620677200</v>
      </c>
      <c r="I74" s="326">
        <f>SUM(I75:I76)</f>
        <v>594503730</v>
      </c>
      <c r="J74" s="150">
        <f>SUM(J75:J76)</f>
        <v>3212174</v>
      </c>
      <c r="K74" s="150">
        <f>SUM(K75:K76)</f>
        <v>22961296</v>
      </c>
    </row>
    <row r="75" spans="1:11" s="327" customFormat="1" ht="12" customHeight="1" x14ac:dyDescent="0.2">
      <c r="A75" s="14" t="s">
        <v>295</v>
      </c>
      <c r="B75" s="358" t="s">
        <v>273</v>
      </c>
      <c r="C75" s="797">
        <v>264950190</v>
      </c>
      <c r="D75" s="794">
        <f>SUM(E75:G75)</f>
        <v>292999415</v>
      </c>
      <c r="E75" s="799">
        <v>289331423</v>
      </c>
      <c r="F75" s="800">
        <v>447404</v>
      </c>
      <c r="G75" s="800">
        <v>3220588</v>
      </c>
      <c r="H75" s="882">
        <f t="shared" si="1"/>
        <v>620677200</v>
      </c>
      <c r="I75" s="303">
        <f>569119704-28+25384054</f>
        <v>594503730</v>
      </c>
      <c r="J75" s="154">
        <f>3148853+63321</f>
        <v>3212174</v>
      </c>
      <c r="K75" s="154">
        <f>22961296</f>
        <v>22961296</v>
      </c>
    </row>
    <row r="76" spans="1:11" s="327" customFormat="1" ht="12" customHeight="1" thickBot="1" x14ac:dyDescent="0.25">
      <c r="A76" s="15" t="s">
        <v>296</v>
      </c>
      <c r="B76" s="767" t="s">
        <v>274</v>
      </c>
      <c r="C76" s="801"/>
      <c r="D76" s="813">
        <f>SUM(E76:G76)</f>
        <v>0</v>
      </c>
      <c r="E76" s="799"/>
      <c r="F76" s="800"/>
      <c r="G76" s="800"/>
      <c r="H76" s="880">
        <f t="shared" si="1"/>
        <v>0</v>
      </c>
      <c r="I76" s="303"/>
      <c r="J76" s="154"/>
      <c r="K76" s="154"/>
    </row>
    <row r="77" spans="1:11" s="327" customFormat="1" ht="12" customHeight="1" thickBot="1" x14ac:dyDescent="0.25">
      <c r="A77" s="288" t="s">
        <v>275</v>
      </c>
      <c r="B77" s="768" t="s">
        <v>276</v>
      </c>
      <c r="C77" s="823">
        <f>SUM(C78:C80)</f>
        <v>35164932</v>
      </c>
      <c r="D77" s="822">
        <f>SUM(D78:D80)</f>
        <v>0</v>
      </c>
      <c r="E77" s="792">
        <f>SUM(E78:E80)</f>
        <v>0</v>
      </c>
      <c r="F77" s="791">
        <f>SUM(F78:F80)</f>
        <v>0</v>
      </c>
      <c r="G77" s="791">
        <f>SUM(G78:G80)</f>
        <v>0</v>
      </c>
      <c r="H77" s="150">
        <f t="shared" si="1"/>
        <v>0</v>
      </c>
      <c r="I77" s="326">
        <f>SUM(I78:I80)</f>
        <v>0</v>
      </c>
      <c r="J77" s="150">
        <f>SUM(J78:J80)</f>
        <v>0</v>
      </c>
      <c r="K77" s="150">
        <f>SUM(K78:K80)</f>
        <v>0</v>
      </c>
    </row>
    <row r="78" spans="1:11" s="327" customFormat="1" ht="12" customHeight="1" x14ac:dyDescent="0.2">
      <c r="A78" s="14" t="s">
        <v>297</v>
      </c>
      <c r="B78" s="358" t="s">
        <v>277</v>
      </c>
      <c r="C78" s="797">
        <v>35164932</v>
      </c>
      <c r="D78" s="794">
        <f>SUM(E78:G78)</f>
        <v>0</v>
      </c>
      <c r="E78" s="799"/>
      <c r="F78" s="800"/>
      <c r="G78" s="800"/>
      <c r="H78" s="878">
        <f t="shared" si="1"/>
        <v>0</v>
      </c>
      <c r="I78" s="303"/>
      <c r="J78" s="154"/>
      <c r="K78" s="154"/>
    </row>
    <row r="79" spans="1:11" s="327" customFormat="1" ht="12" customHeight="1" x14ac:dyDescent="0.2">
      <c r="A79" s="13" t="s">
        <v>298</v>
      </c>
      <c r="B79" s="359" t="s">
        <v>278</v>
      </c>
      <c r="C79" s="797"/>
      <c r="D79" s="808">
        <f>SUM(E79:G79)</f>
        <v>0</v>
      </c>
      <c r="E79" s="799"/>
      <c r="F79" s="800"/>
      <c r="G79" s="800"/>
      <c r="H79" s="879">
        <f t="shared" si="1"/>
        <v>0</v>
      </c>
      <c r="I79" s="303"/>
      <c r="J79" s="154"/>
      <c r="K79" s="154"/>
    </row>
    <row r="80" spans="1:11" s="327" customFormat="1" ht="12" customHeight="1" thickBot="1" x14ac:dyDescent="0.25">
      <c r="A80" s="15" t="s">
        <v>299</v>
      </c>
      <c r="B80" s="767" t="s">
        <v>279</v>
      </c>
      <c r="C80" s="801"/>
      <c r="D80" s="813">
        <f>SUM(E80:G80)</f>
        <v>0</v>
      </c>
      <c r="E80" s="799"/>
      <c r="F80" s="800"/>
      <c r="G80" s="800"/>
      <c r="H80" s="880">
        <f t="shared" si="1"/>
        <v>0</v>
      </c>
      <c r="I80" s="303"/>
      <c r="J80" s="154"/>
      <c r="K80" s="154"/>
    </row>
    <row r="81" spans="1:11" s="327" customFormat="1" ht="12" customHeight="1" thickBot="1" x14ac:dyDescent="0.25">
      <c r="A81" s="288" t="s">
        <v>280</v>
      </c>
      <c r="B81" s="768" t="s">
        <v>300</v>
      </c>
      <c r="C81" s="822">
        <f>SUM(C82:C85)</f>
        <v>0</v>
      </c>
      <c r="D81" s="822">
        <f>SUM(D82:D85)</f>
        <v>0</v>
      </c>
      <c r="E81" s="792">
        <f>SUM(E82:E85)</f>
        <v>0</v>
      </c>
      <c r="F81" s="791">
        <f>SUM(F82:F85)</f>
        <v>0</v>
      </c>
      <c r="G81" s="791">
        <f>SUM(G82:G85)</f>
        <v>0</v>
      </c>
      <c r="H81" s="150">
        <f t="shared" si="1"/>
        <v>0</v>
      </c>
      <c r="I81" s="326">
        <f>SUM(I82:I85)</f>
        <v>0</v>
      </c>
      <c r="J81" s="150">
        <f>SUM(J82:J85)</f>
        <v>0</v>
      </c>
      <c r="K81" s="150">
        <f>SUM(K82:K85)</f>
        <v>0</v>
      </c>
    </row>
    <row r="82" spans="1:11" s="327" customFormat="1" ht="12" customHeight="1" x14ac:dyDescent="0.2">
      <c r="A82" s="236" t="s">
        <v>281</v>
      </c>
      <c r="B82" s="358" t="s">
        <v>282</v>
      </c>
      <c r="C82" s="797"/>
      <c r="D82" s="794">
        <f t="shared" ref="D82:D87" si="2">SUM(E82:G82)</f>
        <v>0</v>
      </c>
      <c r="E82" s="799"/>
      <c r="F82" s="800"/>
      <c r="G82" s="800"/>
      <c r="H82" s="878">
        <f t="shared" si="1"/>
        <v>0</v>
      </c>
      <c r="I82" s="303"/>
      <c r="J82" s="154"/>
      <c r="K82" s="154"/>
    </row>
    <row r="83" spans="1:11" s="327" customFormat="1" ht="12" customHeight="1" x14ac:dyDescent="0.2">
      <c r="A83" s="237" t="s">
        <v>283</v>
      </c>
      <c r="B83" s="359" t="s">
        <v>284</v>
      </c>
      <c r="C83" s="797"/>
      <c r="D83" s="808">
        <f t="shared" si="2"/>
        <v>0</v>
      </c>
      <c r="E83" s="799"/>
      <c r="F83" s="800"/>
      <c r="G83" s="800"/>
      <c r="H83" s="879">
        <f t="shared" si="1"/>
        <v>0</v>
      </c>
      <c r="I83" s="303"/>
      <c r="J83" s="154"/>
      <c r="K83" s="154"/>
    </row>
    <row r="84" spans="1:11" s="327" customFormat="1" ht="12" customHeight="1" x14ac:dyDescent="0.2">
      <c r="A84" s="237" t="s">
        <v>285</v>
      </c>
      <c r="B84" s="359" t="s">
        <v>286</v>
      </c>
      <c r="C84" s="797"/>
      <c r="D84" s="808">
        <f t="shared" si="2"/>
        <v>0</v>
      </c>
      <c r="E84" s="799"/>
      <c r="F84" s="800"/>
      <c r="G84" s="800"/>
      <c r="H84" s="879">
        <f t="shared" si="1"/>
        <v>0</v>
      </c>
      <c r="I84" s="303"/>
      <c r="J84" s="154"/>
      <c r="K84" s="154"/>
    </row>
    <row r="85" spans="1:11" s="327" customFormat="1" ht="12" customHeight="1" thickBot="1" x14ac:dyDescent="0.25">
      <c r="A85" s="238" t="s">
        <v>287</v>
      </c>
      <c r="B85" s="767" t="s">
        <v>288</v>
      </c>
      <c r="C85" s="801"/>
      <c r="D85" s="813">
        <f t="shared" si="2"/>
        <v>0</v>
      </c>
      <c r="E85" s="799"/>
      <c r="F85" s="800"/>
      <c r="G85" s="800"/>
      <c r="H85" s="880">
        <f t="shared" si="1"/>
        <v>0</v>
      </c>
      <c r="I85" s="303"/>
      <c r="J85" s="154"/>
      <c r="K85" s="154"/>
    </row>
    <row r="86" spans="1:11" s="327" customFormat="1" ht="12" customHeight="1" thickBot="1" x14ac:dyDescent="0.25">
      <c r="A86" s="288" t="s">
        <v>289</v>
      </c>
      <c r="B86" s="768" t="s">
        <v>482</v>
      </c>
      <c r="C86" s="824"/>
      <c r="D86" s="825">
        <f t="shared" si="2"/>
        <v>0</v>
      </c>
      <c r="E86" s="826"/>
      <c r="F86" s="827"/>
      <c r="G86" s="827"/>
      <c r="H86" s="150">
        <f t="shared" si="1"/>
        <v>0</v>
      </c>
      <c r="I86" s="333"/>
      <c r="J86" s="271"/>
      <c r="K86" s="271"/>
    </row>
    <row r="87" spans="1:11" s="327" customFormat="1" ht="12" customHeight="1" thickBot="1" x14ac:dyDescent="0.25">
      <c r="A87" s="288" t="s">
        <v>291</v>
      </c>
      <c r="B87" s="768" t="s">
        <v>290</v>
      </c>
      <c r="C87" s="824"/>
      <c r="D87" s="792">
        <f t="shared" si="2"/>
        <v>0</v>
      </c>
      <c r="E87" s="826"/>
      <c r="F87" s="827"/>
      <c r="G87" s="827"/>
      <c r="H87" s="150">
        <f t="shared" si="1"/>
        <v>0</v>
      </c>
      <c r="I87" s="333"/>
      <c r="J87" s="271"/>
      <c r="K87" s="271"/>
    </row>
    <row r="88" spans="1:11" s="327" customFormat="1" ht="12" customHeight="1" thickBot="1" x14ac:dyDescent="0.25">
      <c r="A88" s="288" t="s">
        <v>303</v>
      </c>
      <c r="B88" s="770" t="s">
        <v>483</v>
      </c>
      <c r="C88" s="820">
        <f>C87+C86+C81+C77+C74+C69+C65</f>
        <v>320418122</v>
      </c>
      <c r="D88" s="792">
        <f>D87+D86+D81+D77+D74+D69+D65</f>
        <v>480499415</v>
      </c>
      <c r="E88" s="814">
        <f>+E65+E69+E74+E77+E81+E87+E86</f>
        <v>433431423</v>
      </c>
      <c r="F88" s="815">
        <f>+F65+F69+F74+F77+F81+F87+F86</f>
        <v>447404</v>
      </c>
      <c r="G88" s="815">
        <f>+G65+G69+G74+G77+G81+G87+G86</f>
        <v>3220588</v>
      </c>
      <c r="H88" s="150">
        <f t="shared" si="1"/>
        <v>814155662</v>
      </c>
      <c r="I88" s="329">
        <f>+I65+I69+I74+I77+I81+I87+I86</f>
        <v>787982192</v>
      </c>
      <c r="J88" s="155">
        <f>+J65+J69+J74+J77+J81+J87+J86</f>
        <v>3212174</v>
      </c>
      <c r="K88" s="155">
        <f>+K65+K69+K74+K77+K81+K87+K86</f>
        <v>22961296</v>
      </c>
    </row>
    <row r="89" spans="1:11" s="327" customFormat="1" ht="12" customHeight="1" thickBot="1" x14ac:dyDescent="0.25">
      <c r="A89" s="290" t="s">
        <v>484</v>
      </c>
      <c r="B89" s="771" t="s">
        <v>485</v>
      </c>
      <c r="C89" s="820">
        <f>C64+C88</f>
        <v>2959690182</v>
      </c>
      <c r="D89" s="792">
        <f>D64+D88</f>
        <v>3410219894</v>
      </c>
      <c r="E89" s="814">
        <f>+E64+E88</f>
        <v>1824871137</v>
      </c>
      <c r="F89" s="815">
        <f>+F64+F88</f>
        <v>9863904</v>
      </c>
      <c r="G89" s="815">
        <f>+G64+G88</f>
        <v>393971766</v>
      </c>
      <c r="H89" s="150">
        <f t="shared" si="1"/>
        <v>3150884244</v>
      </c>
      <c r="I89" s="329">
        <f>+I64+I88</f>
        <v>2708029934</v>
      </c>
      <c r="J89" s="155">
        <f>+J64+J88</f>
        <v>14748471</v>
      </c>
      <c r="K89" s="155">
        <f>+K64+K88</f>
        <v>428105839</v>
      </c>
    </row>
    <row r="90" spans="1:11" s="327" customFormat="1" ht="12" customHeight="1" x14ac:dyDescent="0.2">
      <c r="A90" s="334"/>
      <c r="B90" s="335"/>
      <c r="C90" s="862"/>
      <c r="D90" s="828"/>
      <c r="E90" s="829"/>
      <c r="F90" s="829"/>
      <c r="G90" s="829"/>
      <c r="H90" s="830"/>
    </row>
    <row r="91" spans="1:11" s="327" customFormat="1" ht="12" customHeight="1" x14ac:dyDescent="0.2">
      <c r="A91" s="987" t="s">
        <v>51</v>
      </c>
      <c r="B91" s="987"/>
      <c r="C91" s="987"/>
      <c r="D91" s="987"/>
      <c r="E91" s="987"/>
      <c r="F91" s="987"/>
      <c r="G91" s="987"/>
      <c r="H91" s="987"/>
    </row>
    <row r="92" spans="1:11" s="327" customFormat="1" ht="12" customHeight="1" thickBot="1" x14ac:dyDescent="0.25">
      <c r="A92" s="988" t="s">
        <v>140</v>
      </c>
      <c r="B92" s="988"/>
      <c r="C92" s="863"/>
      <c r="D92" s="855"/>
      <c r="E92" s="855"/>
      <c r="F92" s="855"/>
      <c r="G92" s="855"/>
      <c r="H92" s="864" t="str">
        <f>H4</f>
        <v>Forintban!</v>
      </c>
    </row>
    <row r="93" spans="1:11" s="327" customFormat="1" ht="36.75" customHeight="1" thickBot="1" x14ac:dyDescent="0.25">
      <c r="A93" s="22" t="s">
        <v>21</v>
      </c>
      <c r="B93" s="783" t="s">
        <v>52</v>
      </c>
      <c r="C93" s="865" t="s">
        <v>729</v>
      </c>
      <c r="D93" s="866" t="str">
        <f>+D5</f>
        <v>2017. évi módosított előirányzat</v>
      </c>
      <c r="E93" s="859"/>
      <c r="F93" s="859"/>
      <c r="G93" s="859"/>
      <c r="H93" s="860" t="str">
        <f>+H5</f>
        <v>2018. évi előirányzat</v>
      </c>
    </row>
    <row r="94" spans="1:11" s="327" customFormat="1" ht="12" customHeight="1" thickBot="1" x14ac:dyDescent="0.25">
      <c r="A94" s="26" t="s">
        <v>469</v>
      </c>
      <c r="B94" s="376" t="s">
        <v>470</v>
      </c>
      <c r="C94" s="820" t="s">
        <v>471</v>
      </c>
      <c r="D94" s="867" t="s">
        <v>524</v>
      </c>
      <c r="E94" s="861"/>
      <c r="F94" s="861"/>
      <c r="G94" s="861"/>
      <c r="H94" s="831" t="s">
        <v>525</v>
      </c>
    </row>
    <row r="95" spans="1:11" s="327" customFormat="1" ht="15" customHeight="1" thickBot="1" x14ac:dyDescent="0.25">
      <c r="A95" s="21" t="s">
        <v>23</v>
      </c>
      <c r="B95" s="772" t="s">
        <v>523</v>
      </c>
      <c r="C95" s="820">
        <f>SUM(C96:C100)+SUM(C113)</f>
        <v>2510000576</v>
      </c>
      <c r="D95" s="792">
        <f>SUM(D96:D100)+SUM(D113)</f>
        <v>2537502119</v>
      </c>
      <c r="E95" s="825">
        <f>+E96+E97+E98+E99+E100+E113</f>
        <v>336688965</v>
      </c>
      <c r="F95" s="831">
        <f>+F96+F97+F98+F99+F100+F113</f>
        <v>223822850</v>
      </c>
      <c r="G95" s="820">
        <f>G96+G97+G98+G99+G100+G113</f>
        <v>1388014694</v>
      </c>
      <c r="H95" s="381">
        <f>SUM(I95:K95)</f>
        <v>2382507215</v>
      </c>
      <c r="I95" s="336">
        <f>+I96+I97+I98+I99+I100+I113</f>
        <v>635068251</v>
      </c>
      <c r="J95" s="149">
        <f>+J96+J97+J98+J99+J100+J113</f>
        <v>239430458</v>
      </c>
      <c r="K95" s="357">
        <f>K96+K97+K98+K99+K100+K113</f>
        <v>1508008506</v>
      </c>
    </row>
    <row r="96" spans="1:11" s="327" customFormat="1" ht="12.95" customHeight="1" x14ac:dyDescent="0.2">
      <c r="A96" s="16" t="s">
        <v>99</v>
      </c>
      <c r="B96" s="773" t="s">
        <v>53</v>
      </c>
      <c r="C96" s="832">
        <v>1207786084</v>
      </c>
      <c r="D96" s="817">
        <f>SUM(E96:G96)+252096521+85501355+27232396-1393308+7410662+5711096+12960546+166800</f>
        <v>1094113234</v>
      </c>
      <c r="E96" s="833">
        <f>25364000+485000+6010000+3749000+165142000+48000+105000-275033584+150179</f>
        <v>-73980405</v>
      </c>
      <c r="F96" s="834">
        <v>119212000</v>
      </c>
      <c r="G96" s="834">
        <v>659195571</v>
      </c>
      <c r="H96" s="576">
        <f>SUM(I96:K96)</f>
        <v>981036950</v>
      </c>
      <c r="I96" s="363">
        <f>2854500+25097896+75000+16116992+1182990+2491000+1016699-198000</f>
        <v>48637077</v>
      </c>
      <c r="J96" s="312">
        <f>2528076+481000+134654515+2215000+152400</f>
        <v>140030991</v>
      </c>
      <c r="K96" s="319">
        <f>784492352+662383+6760147+80000+374000</f>
        <v>792368882</v>
      </c>
    </row>
    <row r="97" spans="1:11" ht="16.5" customHeight="1" x14ac:dyDescent="0.25">
      <c r="A97" s="13" t="s">
        <v>100</v>
      </c>
      <c r="B97" s="774" t="s">
        <v>159</v>
      </c>
      <c r="C97" s="835">
        <v>271747480</v>
      </c>
      <c r="D97" s="798">
        <f>SUM(E97:G97)+28812821+9405149+5800271-280382+2089507-570939+1438961+3013037+175648</f>
        <v>230642127</v>
      </c>
      <c r="E97" s="799">
        <f>5239000+143000+1233000+14000+1652000+19299000+10000+23000-28480392-1528915</f>
        <v>-2396307</v>
      </c>
      <c r="F97" s="800">
        <v>28323500</v>
      </c>
      <c r="G97" s="800">
        <v>154830861</v>
      </c>
      <c r="H97" s="576">
        <f t="shared" ref="H97:H156" si="3">SUM(I97:K97)</f>
        <v>206935735</v>
      </c>
      <c r="I97" s="303">
        <f>500965+4771305+13275+17258+2940000+14000+207615+1015000+283238-34749</f>
        <v>9727907</v>
      </c>
      <c r="J97" s="154">
        <f>443678+114000+28757160+461687+62043</f>
        <v>29838568</v>
      </c>
      <c r="K97" s="305">
        <f>165847404+144152+1290734+14040+72930</f>
        <v>167369260</v>
      </c>
    </row>
    <row r="98" spans="1:11" x14ac:dyDescent="0.25">
      <c r="A98" s="13" t="s">
        <v>101</v>
      </c>
      <c r="B98" s="774" t="s">
        <v>129</v>
      </c>
      <c r="C98" s="836">
        <v>776462763</v>
      </c>
      <c r="D98" s="798">
        <f>SUM(E98:G98)+41579904+1600000+22320920+28158088+9295882+11813400+570939+10565807+4029458+20547308</f>
        <v>953351741</v>
      </c>
      <c r="E98" s="809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810">
        <v>52037350</v>
      </c>
      <c r="G98" s="800">
        <v>573988262</v>
      </c>
      <c r="H98" s="576">
        <f t="shared" si="3"/>
        <v>879726149</v>
      </c>
      <c r="I98" s="307">
        <f>13447475+835000+16099000+50000+52909601+3082677+6787092+2456000+4504030+871220+397000+194467+34163000+50473064+34200000+3285067+156511+9000000+563000+17207888+2681000+3300000+17042731+48545760+500000+381000+314356+178500+77000-37621053+63500</f>
        <v>286144886</v>
      </c>
      <c r="J98" s="221">
        <f>4096000+324000+352000+40114003+137126+419550-152400+20620</f>
        <v>45310899</v>
      </c>
      <c r="K98" s="305">
        <f>545896186-624000+1605578+768600+624000</f>
        <v>548270364</v>
      </c>
    </row>
    <row r="99" spans="1:11" s="325" customFormat="1" ht="12" customHeight="1" x14ac:dyDescent="0.2">
      <c r="A99" s="13" t="s">
        <v>102</v>
      </c>
      <c r="B99" s="777" t="s">
        <v>160</v>
      </c>
      <c r="C99" s="835">
        <v>72060693</v>
      </c>
      <c r="D99" s="798">
        <f>SUM(E99:G99)-6901260-4000000</f>
        <v>77248740</v>
      </c>
      <c r="E99" s="809">
        <f>70980000-5080000-2000000</f>
        <v>63900000</v>
      </c>
      <c r="F99" s="810">
        <v>24250000</v>
      </c>
      <c r="G99" s="810"/>
      <c r="H99" s="693">
        <f t="shared" si="3"/>
        <v>97250000</v>
      </c>
      <c r="I99" s="307">
        <f>69500000+3500000</f>
        <v>73000000</v>
      </c>
      <c r="J99" s="221">
        <v>24250000</v>
      </c>
      <c r="K99" s="318"/>
    </row>
    <row r="100" spans="1:11" ht="12" customHeight="1" x14ac:dyDescent="0.25">
      <c r="A100" s="13" t="s">
        <v>113</v>
      </c>
      <c r="B100" s="18" t="s">
        <v>161</v>
      </c>
      <c r="C100" s="835">
        <v>181943556</v>
      </c>
      <c r="D100" s="798">
        <f>SUM(D101:D112)</f>
        <v>117690011</v>
      </c>
      <c r="E100" s="809">
        <f>SUM(E101:E112)</f>
        <v>76126000</v>
      </c>
      <c r="F100" s="810">
        <f>SUM(F101:F112)</f>
        <v>0</v>
      </c>
      <c r="G100" s="810"/>
      <c r="H100" s="693">
        <f t="shared" si="3"/>
        <v>152130903</v>
      </c>
      <c r="I100" s="307">
        <f>45183973+52959801+660000+100000+49357310+3869819</f>
        <v>152130903</v>
      </c>
      <c r="J100" s="221"/>
      <c r="K100" s="318"/>
    </row>
    <row r="101" spans="1:11" ht="12" customHeight="1" x14ac:dyDescent="0.25">
      <c r="A101" s="13" t="s">
        <v>103</v>
      </c>
      <c r="B101" s="774" t="s">
        <v>486</v>
      </c>
      <c r="C101" s="836">
        <v>6261128</v>
      </c>
      <c r="D101" s="798">
        <f>SUM(E101:G101)+1500+7242044+114463+2792500+6504</f>
        <v>10157011</v>
      </c>
      <c r="E101" s="809"/>
      <c r="F101" s="810"/>
      <c r="G101" s="810"/>
      <c r="H101" s="693">
        <f t="shared" si="3"/>
        <v>3969819</v>
      </c>
      <c r="I101" s="307">
        <f>100000+3869819</f>
        <v>3969819</v>
      </c>
      <c r="J101" s="221"/>
      <c r="K101" s="318"/>
    </row>
    <row r="102" spans="1:11" ht="12" customHeight="1" x14ac:dyDescent="0.25">
      <c r="A102" s="13" t="s">
        <v>104</v>
      </c>
      <c r="B102" s="776" t="s">
        <v>487</v>
      </c>
      <c r="C102" s="836"/>
      <c r="D102" s="798">
        <f>SUM(E102:G102)</f>
        <v>0</v>
      </c>
      <c r="E102" s="809"/>
      <c r="F102" s="810"/>
      <c r="G102" s="810"/>
      <c r="H102" s="576">
        <f t="shared" si="3"/>
        <v>0</v>
      </c>
      <c r="I102" s="307"/>
      <c r="J102" s="221"/>
      <c r="K102" s="318"/>
    </row>
    <row r="103" spans="1:11" ht="12" customHeight="1" x14ac:dyDescent="0.25">
      <c r="A103" s="13" t="s">
        <v>114</v>
      </c>
      <c r="B103" s="776" t="s">
        <v>488</v>
      </c>
      <c r="C103" s="836"/>
      <c r="D103" s="798">
        <f>SUM(E103:G103)</f>
        <v>0</v>
      </c>
      <c r="E103" s="809"/>
      <c r="F103" s="810"/>
      <c r="G103" s="810"/>
      <c r="H103" s="576">
        <f t="shared" si="3"/>
        <v>0</v>
      </c>
      <c r="I103" s="307"/>
      <c r="J103" s="221"/>
      <c r="K103" s="318"/>
    </row>
    <row r="104" spans="1:11" ht="12" customHeight="1" x14ac:dyDescent="0.25">
      <c r="A104" s="13" t="s">
        <v>115</v>
      </c>
      <c r="B104" s="789" t="s">
        <v>306</v>
      </c>
      <c r="C104" s="868"/>
      <c r="D104" s="798">
        <f>SUM(E104:G104)</f>
        <v>0</v>
      </c>
      <c r="E104" s="809"/>
      <c r="F104" s="810"/>
      <c r="G104" s="810"/>
      <c r="H104" s="576">
        <f t="shared" si="3"/>
        <v>0</v>
      </c>
      <c r="I104" s="307"/>
      <c r="J104" s="221"/>
      <c r="K104" s="318"/>
    </row>
    <row r="105" spans="1:11" ht="12" customHeight="1" x14ac:dyDescent="0.25">
      <c r="A105" s="13" t="s">
        <v>116</v>
      </c>
      <c r="B105" s="782" t="s">
        <v>307</v>
      </c>
      <c r="C105" s="836"/>
      <c r="D105" s="798">
        <f>SUM(E105:G105)</f>
        <v>0</v>
      </c>
      <c r="E105" s="809"/>
      <c r="F105" s="810"/>
      <c r="G105" s="810"/>
      <c r="H105" s="576">
        <f t="shared" si="3"/>
        <v>0</v>
      </c>
      <c r="I105" s="307"/>
      <c r="J105" s="221"/>
      <c r="K105" s="318"/>
    </row>
    <row r="106" spans="1:11" ht="12" customHeight="1" x14ac:dyDescent="0.25">
      <c r="A106" s="13" t="s">
        <v>117</v>
      </c>
      <c r="B106" s="782" t="s">
        <v>308</v>
      </c>
      <c r="C106" s="836"/>
      <c r="D106" s="798">
        <f>SUM(E106:G106)</f>
        <v>0</v>
      </c>
      <c r="E106" s="809"/>
      <c r="F106" s="810"/>
      <c r="G106" s="810"/>
      <c r="H106" s="576">
        <f t="shared" si="3"/>
        <v>0</v>
      </c>
      <c r="I106" s="307"/>
      <c r="J106" s="221"/>
      <c r="K106" s="318"/>
    </row>
    <row r="107" spans="1:11" ht="12" customHeight="1" x14ac:dyDescent="0.25">
      <c r="A107" s="13" t="s">
        <v>119</v>
      </c>
      <c r="B107" s="789" t="s">
        <v>309</v>
      </c>
      <c r="C107" s="837">
        <v>113441217</v>
      </c>
      <c r="D107" s="798">
        <f>SUM(E107:G107)+60754-60754</f>
        <v>0</v>
      </c>
      <c r="E107" s="809"/>
      <c r="F107" s="810"/>
      <c r="G107" s="810"/>
      <c r="H107" s="576">
        <f t="shared" si="3"/>
        <v>660000</v>
      </c>
      <c r="I107" s="307">
        <v>660000</v>
      </c>
      <c r="J107" s="221"/>
      <c r="K107" s="318"/>
    </row>
    <row r="108" spans="1:11" ht="12" customHeight="1" x14ac:dyDescent="0.25">
      <c r="A108" s="13" t="s">
        <v>162</v>
      </c>
      <c r="B108" s="789" t="s">
        <v>310</v>
      </c>
      <c r="C108" s="868"/>
      <c r="D108" s="798">
        <f>SUM(E108:G108)</f>
        <v>0</v>
      </c>
      <c r="E108" s="809"/>
      <c r="F108" s="810"/>
      <c r="G108" s="810"/>
      <c r="H108" s="576">
        <f t="shared" si="3"/>
        <v>0</v>
      </c>
      <c r="I108" s="307"/>
      <c r="J108" s="221"/>
      <c r="K108" s="318"/>
    </row>
    <row r="109" spans="1:11" ht="12" customHeight="1" x14ac:dyDescent="0.25">
      <c r="A109" s="13" t="s">
        <v>304</v>
      </c>
      <c r="B109" s="782" t="s">
        <v>311</v>
      </c>
      <c r="C109" s="837"/>
      <c r="D109" s="798">
        <f>SUM(E109:G109)</f>
        <v>0</v>
      </c>
      <c r="E109" s="809"/>
      <c r="F109" s="810"/>
      <c r="G109" s="810"/>
      <c r="H109" s="576">
        <f t="shared" si="3"/>
        <v>0</v>
      </c>
      <c r="I109" s="307"/>
      <c r="J109" s="221"/>
      <c r="K109" s="318"/>
    </row>
    <row r="110" spans="1:11" ht="12" customHeight="1" x14ac:dyDescent="0.25">
      <c r="A110" s="12" t="s">
        <v>305</v>
      </c>
      <c r="B110" s="776" t="s">
        <v>312</v>
      </c>
      <c r="C110" s="837"/>
      <c r="D110" s="798">
        <f>SUM(E110:G110)</f>
        <v>0</v>
      </c>
      <c r="E110" s="809"/>
      <c r="F110" s="810"/>
      <c r="G110" s="810"/>
      <c r="H110" s="576">
        <f t="shared" si="3"/>
        <v>0</v>
      </c>
      <c r="I110" s="307"/>
      <c r="J110" s="221"/>
      <c r="K110" s="318"/>
    </row>
    <row r="111" spans="1:11" ht="12" customHeight="1" x14ac:dyDescent="0.25">
      <c r="A111" s="13" t="s">
        <v>489</v>
      </c>
      <c r="B111" s="776" t="s">
        <v>313</v>
      </c>
      <c r="C111" s="837"/>
      <c r="D111" s="798">
        <f>SUM(E111:G111)</f>
        <v>0</v>
      </c>
      <c r="E111" s="809"/>
      <c r="F111" s="810"/>
      <c r="G111" s="810"/>
      <c r="H111" s="576">
        <f t="shared" si="3"/>
        <v>0</v>
      </c>
      <c r="I111" s="307"/>
      <c r="J111" s="221"/>
      <c r="K111" s="318"/>
    </row>
    <row r="112" spans="1:11" ht="12" customHeight="1" x14ac:dyDescent="0.25">
      <c r="A112" s="15" t="s">
        <v>490</v>
      </c>
      <c r="B112" s="776" t="s">
        <v>314</v>
      </c>
      <c r="C112" s="837">
        <v>62241211</v>
      </c>
      <c r="D112" s="798">
        <f>SUM(E112:G112)+3500000+6600000+2000000+16082000+3225000</f>
        <v>107533000</v>
      </c>
      <c r="E112" s="799">
        <f>536000+11389000+8562000+16678000+6401000+32560000</f>
        <v>76126000</v>
      </c>
      <c r="F112" s="800"/>
      <c r="G112" s="810"/>
      <c r="H112" s="576">
        <f t="shared" si="3"/>
        <v>147501084</v>
      </c>
      <c r="I112" s="303">
        <f>5697126+16985629+22501218+52959801+660000+49357310-660000</f>
        <v>147501084</v>
      </c>
      <c r="J112" s="154"/>
      <c r="K112" s="318"/>
    </row>
    <row r="113" spans="1:11" ht="12" customHeight="1" x14ac:dyDescent="0.25">
      <c r="A113" s="13" t="s">
        <v>491</v>
      </c>
      <c r="B113" s="777" t="s">
        <v>54</v>
      </c>
      <c r="C113" s="869">
        <f>SUM(C114:C115)</f>
        <v>0</v>
      </c>
      <c r="D113" s="798">
        <f>SUM(D114:D115)</f>
        <v>64456266</v>
      </c>
      <c r="E113" s="799">
        <f>E114+E115</f>
        <v>96195254</v>
      </c>
      <c r="F113" s="800"/>
      <c r="G113" s="800">
        <f>G114+G115</f>
        <v>0</v>
      </c>
      <c r="H113" s="576">
        <f t="shared" si="3"/>
        <v>65427478</v>
      </c>
      <c r="I113" s="303">
        <f>SUM(I114:I115)</f>
        <v>65427478</v>
      </c>
      <c r="J113" s="154"/>
      <c r="K113" s="305">
        <f>K114+K115</f>
        <v>0</v>
      </c>
    </row>
    <row r="114" spans="1:11" ht="12" customHeight="1" x14ac:dyDescent="0.25">
      <c r="A114" s="13" t="s">
        <v>492</v>
      </c>
      <c r="B114" s="774" t="s">
        <v>493</v>
      </c>
      <c r="C114" s="838"/>
      <c r="D114" s="798">
        <f>SUM(E114:G114)-9172313+8719388-4010722-1042502-1846399+5485909+8185627+3000000</f>
        <v>4036034</v>
      </c>
      <c r="E114" s="809">
        <f>20000000+1656508-26939462</f>
        <v>-5282954</v>
      </c>
      <c r="F114" s="810"/>
      <c r="G114" s="800"/>
      <c r="H114" s="576">
        <f t="shared" si="3"/>
        <v>6526975</v>
      </c>
      <c r="I114" s="307">
        <f>15000000-21705-8451320</f>
        <v>6526975</v>
      </c>
      <c r="J114" s="221"/>
      <c r="K114" s="305"/>
    </row>
    <row r="115" spans="1:11" ht="12" customHeight="1" thickBot="1" x14ac:dyDescent="0.3">
      <c r="A115" s="17" t="s">
        <v>494</v>
      </c>
      <c r="B115" s="778" t="s">
        <v>495</v>
      </c>
      <c r="C115" s="870"/>
      <c r="D115" s="802">
        <f>SUM(E115:G115)-8373330-1600000-8539600-6323156-7948000-7343244+31158286-32066515+411581-433998</f>
        <v>60420232</v>
      </c>
      <c r="E115" s="839">
        <f>110613300+500000-3261000-6374092</f>
        <v>101478208</v>
      </c>
      <c r="F115" s="840"/>
      <c r="G115" s="840"/>
      <c r="H115" s="699">
        <f t="shared" si="3"/>
        <v>58900503</v>
      </c>
      <c r="I115" s="364">
        <f>65846522-6946019</f>
        <v>58900503</v>
      </c>
      <c r="J115" s="322"/>
      <c r="K115" s="320"/>
    </row>
    <row r="116" spans="1:11" ht="12" customHeight="1" thickBot="1" x14ac:dyDescent="0.3">
      <c r="A116" s="292" t="s">
        <v>24</v>
      </c>
      <c r="B116" s="697" t="s">
        <v>315</v>
      </c>
      <c r="C116" s="820">
        <f>SUM(C117:C119)</f>
        <v>120343408</v>
      </c>
      <c r="D116" s="792">
        <f>D117+D119+D121</f>
        <v>734391843</v>
      </c>
      <c r="E116" s="792">
        <f>+E117+E119+E121</f>
        <v>132599368</v>
      </c>
      <c r="F116" s="791">
        <f>+F117+F119+F121</f>
        <v>1901000</v>
      </c>
      <c r="G116" s="841">
        <f>+G117+G119+G121</f>
        <v>9272287</v>
      </c>
      <c r="H116" s="701">
        <f t="shared" si="3"/>
        <v>621722734</v>
      </c>
      <c r="I116" s="326">
        <f>+I117+I119+I121</f>
        <v>595199505</v>
      </c>
      <c r="J116" s="150">
        <f>+J117+J119+J121</f>
        <v>4919980</v>
      </c>
      <c r="K116" s="294">
        <f>+K117+K119+K121</f>
        <v>21603249</v>
      </c>
    </row>
    <row r="117" spans="1:11" ht="12" customHeight="1" x14ac:dyDescent="0.25">
      <c r="A117" s="14" t="s">
        <v>105</v>
      </c>
      <c r="B117" s="774" t="s">
        <v>179</v>
      </c>
      <c r="C117" s="842">
        <v>64203415</v>
      </c>
      <c r="D117" s="817">
        <f>SUM(E117:G117)+15239176+979170-265000+63976+93988736+220065714+8904148-1752617</f>
        <v>340602433</v>
      </c>
      <c r="E117" s="795">
        <f>6621000+2963001+787402+10624171+3081125+300001+529000+1654000+447000+2237000+90200+6604000+301000+204000-18155486-25581571</f>
        <v>-7294157</v>
      </c>
      <c r="F117" s="796">
        <v>1901000</v>
      </c>
      <c r="G117" s="796">
        <v>8772287</v>
      </c>
      <c r="H117" s="576">
        <f t="shared" si="3"/>
        <v>335298496</v>
      </c>
      <c r="I117" s="332">
        <f>359410+2345001+219008101+12873483+381000+1500000+3139585+33894811+377190+2338070+4950460-60000+275000+20930495+3000+1187993+457200+1422400+3150920+850748</f>
        <v>309384867</v>
      </c>
      <c r="J117" s="270">
        <v>4919980</v>
      </c>
      <c r="K117" s="321">
        <f>20394512+599137</f>
        <v>20993649</v>
      </c>
    </row>
    <row r="118" spans="1:11" x14ac:dyDescent="0.25">
      <c r="A118" s="14" t="s">
        <v>106</v>
      </c>
      <c r="B118" s="775" t="s">
        <v>319</v>
      </c>
      <c r="C118" s="843">
        <v>45795826</v>
      </c>
      <c r="D118" s="798">
        <f>SUM(E118:G118)-1000000+87765636+214128350+2959448</f>
        <v>304218048</v>
      </c>
      <c r="E118" s="795">
        <f>14492698-14128084</f>
        <v>364614</v>
      </c>
      <c r="F118" s="796"/>
      <c r="G118" s="796"/>
      <c r="H118" s="576">
        <f t="shared" si="3"/>
        <v>288570801</v>
      </c>
      <c r="I118" s="695">
        <f>12873483+33259811+218246101+22118488</f>
        <v>286497883</v>
      </c>
      <c r="J118" s="270"/>
      <c r="K118" s="321">
        <v>2072918</v>
      </c>
    </row>
    <row r="119" spans="1:11" ht="12" customHeight="1" x14ac:dyDescent="0.25">
      <c r="A119" s="14" t="s">
        <v>107</v>
      </c>
      <c r="B119" s="775" t="s">
        <v>163</v>
      </c>
      <c r="C119" s="837">
        <v>10344167</v>
      </c>
      <c r="D119" s="798">
        <f>SUM(E119:G119)-134607+7509510+735000+1000000+839841+49594413+188498728</f>
        <v>345284910</v>
      </c>
      <c r="E119" s="799">
        <f>53340000+21000000+1513000+2996000+809000+9333667+7750358</f>
        <v>96742025</v>
      </c>
      <c r="F119" s="800"/>
      <c r="G119" s="800">
        <v>500000</v>
      </c>
      <c r="H119" s="693">
        <f t="shared" si="3"/>
        <v>220713517</v>
      </c>
      <c r="I119" s="303">
        <f>180701362+1500000+37902555</f>
        <v>220103917</v>
      </c>
      <c r="J119" s="154"/>
      <c r="K119" s="305">
        <v>609600</v>
      </c>
    </row>
    <row r="120" spans="1:11" ht="12" customHeight="1" x14ac:dyDescent="0.25">
      <c r="A120" s="14" t="s">
        <v>108</v>
      </c>
      <c r="B120" s="775" t="s">
        <v>320</v>
      </c>
      <c r="C120" s="844"/>
      <c r="D120" s="798">
        <f>SUM(E120:G120)+1000000+3795044+189429682-203244</f>
        <v>247361482</v>
      </c>
      <c r="E120" s="799">
        <v>53340000</v>
      </c>
      <c r="F120" s="845"/>
      <c r="G120" s="799"/>
      <c r="H120" s="576">
        <f t="shared" si="3"/>
        <v>182607280</v>
      </c>
      <c r="I120" s="694">
        <f>146098020+36509260</f>
        <v>182607280</v>
      </c>
      <c r="J120" s="315"/>
      <c r="K120" s="303"/>
    </row>
    <row r="121" spans="1:11" ht="12" customHeight="1" x14ac:dyDescent="0.25">
      <c r="A121" s="14" t="s">
        <v>109</v>
      </c>
      <c r="B121" s="767" t="s">
        <v>181</v>
      </c>
      <c r="C121" s="846"/>
      <c r="D121" s="798">
        <f>SUM(D122:D129)</f>
        <v>48504500</v>
      </c>
      <c r="E121" s="799">
        <f>SUM(E122:E129)</f>
        <v>43151500</v>
      </c>
      <c r="F121" s="799"/>
      <c r="G121" s="799"/>
      <c r="H121" s="693">
        <f t="shared" si="3"/>
        <v>65710721</v>
      </c>
      <c r="I121" s="303">
        <v>65710721</v>
      </c>
      <c r="J121" s="303"/>
      <c r="K121" s="303"/>
    </row>
    <row r="122" spans="1:11" ht="12" customHeight="1" x14ac:dyDescent="0.25">
      <c r="A122" s="14" t="s">
        <v>118</v>
      </c>
      <c r="B122" s="766" t="s">
        <v>382</v>
      </c>
      <c r="C122" s="847"/>
      <c r="D122" s="798">
        <f t="shared" ref="D122:D128" si="4">SUM(E122:G122)</f>
        <v>0</v>
      </c>
      <c r="E122" s="803"/>
      <c r="F122" s="803"/>
      <c r="G122" s="799"/>
      <c r="H122" s="576">
        <f t="shared" si="3"/>
        <v>0</v>
      </c>
      <c r="I122" s="137"/>
      <c r="J122" s="137"/>
      <c r="K122" s="303"/>
    </row>
    <row r="123" spans="1:11" ht="12" customHeight="1" x14ac:dyDescent="0.25">
      <c r="A123" s="14" t="s">
        <v>120</v>
      </c>
      <c r="B123" s="781" t="s">
        <v>325</v>
      </c>
      <c r="C123" s="848"/>
      <c r="D123" s="798">
        <f t="shared" si="4"/>
        <v>0</v>
      </c>
      <c r="E123" s="803"/>
      <c r="F123" s="803"/>
      <c r="G123" s="799"/>
      <c r="H123" s="576">
        <f t="shared" si="3"/>
        <v>0</v>
      </c>
      <c r="I123" s="137"/>
      <c r="J123" s="137"/>
      <c r="K123" s="303"/>
    </row>
    <row r="124" spans="1:11" ht="12" customHeight="1" x14ac:dyDescent="0.25">
      <c r="A124" s="14" t="s">
        <v>164</v>
      </c>
      <c r="B124" s="782" t="s">
        <v>308</v>
      </c>
      <c r="C124" s="871"/>
      <c r="D124" s="798">
        <f t="shared" si="4"/>
        <v>0</v>
      </c>
      <c r="E124" s="803"/>
      <c r="F124" s="803"/>
      <c r="G124" s="799"/>
      <c r="H124" s="576">
        <f t="shared" si="3"/>
        <v>0</v>
      </c>
      <c r="I124" s="137"/>
      <c r="J124" s="137"/>
      <c r="K124" s="303"/>
    </row>
    <row r="125" spans="1:11" ht="12" customHeight="1" x14ac:dyDescent="0.25">
      <c r="A125" s="14" t="s">
        <v>165</v>
      </c>
      <c r="B125" s="782" t="s">
        <v>324</v>
      </c>
      <c r="C125" s="871"/>
      <c r="D125" s="798">
        <f t="shared" si="4"/>
        <v>0</v>
      </c>
      <c r="E125" s="803"/>
      <c r="F125" s="803"/>
      <c r="G125" s="799"/>
      <c r="H125" s="576">
        <f t="shared" si="3"/>
        <v>0</v>
      </c>
      <c r="I125" s="137"/>
      <c r="J125" s="137"/>
      <c r="K125" s="303"/>
    </row>
    <row r="126" spans="1:11" ht="12" customHeight="1" x14ac:dyDescent="0.25">
      <c r="A126" s="14" t="s">
        <v>166</v>
      </c>
      <c r="B126" s="782" t="s">
        <v>323</v>
      </c>
      <c r="C126" s="871"/>
      <c r="D126" s="798">
        <f t="shared" si="4"/>
        <v>0</v>
      </c>
      <c r="E126" s="803"/>
      <c r="F126" s="803"/>
      <c r="G126" s="799"/>
      <c r="H126" s="576">
        <f t="shared" si="3"/>
        <v>0</v>
      </c>
      <c r="I126" s="137"/>
      <c r="J126" s="137"/>
      <c r="K126" s="303"/>
    </row>
    <row r="127" spans="1:11" ht="12" customHeight="1" x14ac:dyDescent="0.25">
      <c r="A127" s="14" t="s">
        <v>316</v>
      </c>
      <c r="B127" s="782" t="s">
        <v>311</v>
      </c>
      <c r="C127" s="871"/>
      <c r="D127" s="798">
        <f>SUM(E127:G127)+5000</f>
        <v>5000</v>
      </c>
      <c r="E127" s="803"/>
      <c r="F127" s="803"/>
      <c r="G127" s="799"/>
      <c r="H127" s="576">
        <f t="shared" si="3"/>
        <v>0</v>
      </c>
      <c r="I127" s="137"/>
      <c r="J127" s="137"/>
      <c r="K127" s="303"/>
    </row>
    <row r="128" spans="1:11" ht="12" customHeight="1" x14ac:dyDescent="0.25">
      <c r="A128" s="14" t="s">
        <v>317</v>
      </c>
      <c r="B128" s="782" t="s">
        <v>322</v>
      </c>
      <c r="C128" s="871"/>
      <c r="D128" s="798">
        <f t="shared" si="4"/>
        <v>0</v>
      </c>
      <c r="E128" s="803"/>
      <c r="F128" s="803"/>
      <c r="G128" s="799"/>
      <c r="H128" s="576">
        <f t="shared" si="3"/>
        <v>0</v>
      </c>
      <c r="I128" s="137"/>
      <c r="J128" s="137"/>
      <c r="K128" s="303"/>
    </row>
    <row r="129" spans="1:11" ht="12" customHeight="1" thickBot="1" x14ac:dyDescent="0.3">
      <c r="A129" s="12" t="s">
        <v>318</v>
      </c>
      <c r="B129" s="782" t="s">
        <v>321</v>
      </c>
      <c r="C129" s="837">
        <v>10344167</v>
      </c>
      <c r="D129" s="802">
        <f>SUM(E129:G129)+2400000+1348000+600000+1000000</f>
        <v>48499500</v>
      </c>
      <c r="E129" s="809">
        <f>42072000+1079500</f>
        <v>43151500</v>
      </c>
      <c r="F129" s="809"/>
      <c r="G129" s="809"/>
      <c r="H129" s="699">
        <f t="shared" si="3"/>
        <v>65710721</v>
      </c>
      <c r="I129" s="307">
        <v>65710721</v>
      </c>
      <c r="J129" s="307"/>
      <c r="K129" s="307"/>
    </row>
    <row r="130" spans="1:11" ht="12" customHeight="1" thickBot="1" x14ac:dyDescent="0.3">
      <c r="A130" s="19" t="s">
        <v>25</v>
      </c>
      <c r="B130" s="698" t="s">
        <v>496</v>
      </c>
      <c r="C130" s="820">
        <f>C116+C95</f>
        <v>2630343984</v>
      </c>
      <c r="D130" s="792">
        <f>D116+D95</f>
        <v>3271893962</v>
      </c>
      <c r="E130" s="792">
        <f>+E95+E116</f>
        <v>469288333</v>
      </c>
      <c r="F130" s="791">
        <f>+F95+F116</f>
        <v>225723850</v>
      </c>
      <c r="G130" s="791">
        <f>+G95+G116</f>
        <v>1397286981</v>
      </c>
      <c r="H130" s="701">
        <f t="shared" si="3"/>
        <v>3004229949</v>
      </c>
      <c r="I130" s="326">
        <f>+I95+I116</f>
        <v>1230267756</v>
      </c>
      <c r="J130" s="150">
        <f>+J95+J116</f>
        <v>244350438</v>
      </c>
      <c r="K130" s="150">
        <f>+K95+K116</f>
        <v>1529611755</v>
      </c>
    </row>
    <row r="131" spans="1:11" ht="12" customHeight="1" thickBot="1" x14ac:dyDescent="0.3">
      <c r="A131" s="19" t="s">
        <v>26</v>
      </c>
      <c r="B131" s="698" t="s">
        <v>497</v>
      </c>
      <c r="C131" s="820">
        <f>SUM(C132:C134)</f>
        <v>3044789</v>
      </c>
      <c r="D131" s="792">
        <f>SUM(D132:D134)</f>
        <v>103161000</v>
      </c>
      <c r="E131" s="792">
        <f>+E132+E133+E134</f>
        <v>103161000</v>
      </c>
      <c r="F131" s="791">
        <f>+F132+F133+F134</f>
        <v>0</v>
      </c>
      <c r="G131" s="791">
        <f>+G132+G133+G134</f>
        <v>0</v>
      </c>
      <c r="H131" s="701">
        <f t="shared" si="3"/>
        <v>108486704</v>
      </c>
      <c r="I131" s="326">
        <f>+I132+I133+I134</f>
        <v>108486704</v>
      </c>
      <c r="J131" s="150">
        <f>+J132+J133+J134</f>
        <v>0</v>
      </c>
      <c r="K131" s="150">
        <f>+K132+K133+K134</f>
        <v>0</v>
      </c>
    </row>
    <row r="132" spans="1:11" ht="12" customHeight="1" x14ac:dyDescent="0.25">
      <c r="A132" s="14" t="s">
        <v>216</v>
      </c>
      <c r="B132" s="775" t="s">
        <v>498</v>
      </c>
      <c r="C132" s="837">
        <v>3044789</v>
      </c>
      <c r="D132" s="794">
        <f>SUM(E132:G132)</f>
        <v>3161000</v>
      </c>
      <c r="E132" s="799">
        <v>3161000</v>
      </c>
      <c r="F132" s="799"/>
      <c r="G132" s="799"/>
      <c r="H132" s="693">
        <f t="shared" si="3"/>
        <v>8486704</v>
      </c>
      <c r="I132" s="303">
        <f>4042704+4444000</f>
        <v>8486704</v>
      </c>
      <c r="J132" s="303"/>
      <c r="K132" s="303"/>
    </row>
    <row r="133" spans="1:11" ht="12" customHeight="1" x14ac:dyDescent="0.25">
      <c r="A133" s="14" t="s">
        <v>219</v>
      </c>
      <c r="B133" s="775" t="s">
        <v>499</v>
      </c>
      <c r="C133" s="844"/>
      <c r="D133" s="808">
        <f>SUM(E133:G133)</f>
        <v>100000000</v>
      </c>
      <c r="E133" s="803">
        <v>100000000</v>
      </c>
      <c r="F133" s="803"/>
      <c r="G133" s="803"/>
      <c r="H133" s="693">
        <f t="shared" si="3"/>
        <v>100000000</v>
      </c>
      <c r="I133" s="137">
        <v>100000000</v>
      </c>
      <c r="J133" s="137"/>
      <c r="K133" s="137"/>
    </row>
    <row r="134" spans="1:11" ht="12" customHeight="1" thickBot="1" x14ac:dyDescent="0.3">
      <c r="A134" s="12" t="s">
        <v>220</v>
      </c>
      <c r="B134" s="775" t="s">
        <v>500</v>
      </c>
      <c r="C134" s="844"/>
      <c r="D134" s="813">
        <f>SUM(E134:G134)</f>
        <v>0</v>
      </c>
      <c r="E134" s="803"/>
      <c r="F134" s="803"/>
      <c r="G134" s="803"/>
      <c r="H134" s="700">
        <f t="shared" si="3"/>
        <v>0</v>
      </c>
      <c r="I134" s="137"/>
      <c r="J134" s="137"/>
      <c r="K134" s="137"/>
    </row>
    <row r="135" spans="1:11" ht="12" customHeight="1" thickBot="1" x14ac:dyDescent="0.3">
      <c r="A135" s="19" t="s">
        <v>27</v>
      </c>
      <c r="B135" s="698" t="s">
        <v>501</v>
      </c>
      <c r="C135" s="873">
        <f>SUM(C136:C141)</f>
        <v>0</v>
      </c>
      <c r="D135" s="822">
        <f>SUM(D136:D141)</f>
        <v>0</v>
      </c>
      <c r="E135" s="792">
        <f>+E136+E137+E138+E139+E140+E141</f>
        <v>0</v>
      </c>
      <c r="F135" s="791">
        <f>+F136+F137+F138+F139+F140+F141</f>
        <v>0</v>
      </c>
      <c r="G135" s="791">
        <f>SUM(G136:G141)</f>
        <v>0</v>
      </c>
      <c r="H135" s="701">
        <f t="shared" si="3"/>
        <v>0</v>
      </c>
      <c r="I135" s="326">
        <f>+I136+I137+I138+I139+I140+I141</f>
        <v>0</v>
      </c>
      <c r="J135" s="150">
        <f>+J136+J137+J138+J139+J140+J141</f>
        <v>0</v>
      </c>
      <c r="K135" s="150">
        <f>SUM(K136:K141)</f>
        <v>0</v>
      </c>
    </row>
    <row r="136" spans="1:11" ht="12" customHeight="1" x14ac:dyDescent="0.25">
      <c r="A136" s="14" t="s">
        <v>92</v>
      </c>
      <c r="B136" s="779" t="s">
        <v>502</v>
      </c>
      <c r="C136" s="848"/>
      <c r="D136" s="794">
        <f t="shared" ref="D136:D141" si="5">SUM(E136:G136)</f>
        <v>0</v>
      </c>
      <c r="E136" s="803"/>
      <c r="F136" s="803"/>
      <c r="G136" s="803"/>
      <c r="H136" s="696">
        <f t="shared" si="3"/>
        <v>0</v>
      </c>
      <c r="I136" s="137"/>
      <c r="J136" s="137"/>
      <c r="K136" s="137"/>
    </row>
    <row r="137" spans="1:11" ht="12" customHeight="1" x14ac:dyDescent="0.25">
      <c r="A137" s="14" t="s">
        <v>93</v>
      </c>
      <c r="B137" s="779" t="s">
        <v>503</v>
      </c>
      <c r="C137" s="848"/>
      <c r="D137" s="808">
        <f t="shared" si="5"/>
        <v>0</v>
      </c>
      <c r="E137" s="803"/>
      <c r="F137" s="803"/>
      <c r="G137" s="803"/>
      <c r="H137" s="696">
        <f t="shared" si="3"/>
        <v>0</v>
      </c>
      <c r="I137" s="137"/>
      <c r="J137" s="137"/>
      <c r="K137" s="137"/>
    </row>
    <row r="138" spans="1:11" ht="12" customHeight="1" x14ac:dyDescent="0.25">
      <c r="A138" s="14" t="s">
        <v>94</v>
      </c>
      <c r="B138" s="779" t="s">
        <v>504</v>
      </c>
      <c r="C138" s="848"/>
      <c r="D138" s="808">
        <f t="shared" si="5"/>
        <v>0</v>
      </c>
      <c r="E138" s="803"/>
      <c r="F138" s="803"/>
      <c r="G138" s="803"/>
      <c r="H138" s="696">
        <f t="shared" si="3"/>
        <v>0</v>
      </c>
      <c r="I138" s="137"/>
      <c r="J138" s="137"/>
      <c r="K138" s="137"/>
    </row>
    <row r="139" spans="1:11" ht="12" customHeight="1" x14ac:dyDescent="0.25">
      <c r="A139" s="14" t="s">
        <v>151</v>
      </c>
      <c r="B139" s="779" t="s">
        <v>505</v>
      </c>
      <c r="C139" s="848"/>
      <c r="D139" s="808">
        <f t="shared" si="5"/>
        <v>0</v>
      </c>
      <c r="E139" s="803"/>
      <c r="F139" s="803"/>
      <c r="G139" s="803"/>
      <c r="H139" s="696">
        <f t="shared" si="3"/>
        <v>0</v>
      </c>
      <c r="I139" s="137"/>
      <c r="J139" s="137"/>
      <c r="K139" s="137"/>
    </row>
    <row r="140" spans="1:11" ht="12" customHeight="1" x14ac:dyDescent="0.25">
      <c r="A140" s="14" t="s">
        <v>152</v>
      </c>
      <c r="B140" s="779" t="s">
        <v>506</v>
      </c>
      <c r="C140" s="848"/>
      <c r="D140" s="808">
        <f t="shared" si="5"/>
        <v>0</v>
      </c>
      <c r="E140" s="803"/>
      <c r="F140" s="803"/>
      <c r="G140" s="803"/>
      <c r="H140" s="696">
        <f t="shared" si="3"/>
        <v>0</v>
      </c>
      <c r="I140" s="137"/>
      <c r="J140" s="137"/>
      <c r="K140" s="137"/>
    </row>
    <row r="141" spans="1:11" ht="12" customHeight="1" thickBot="1" x14ac:dyDescent="0.3">
      <c r="A141" s="12" t="s">
        <v>153</v>
      </c>
      <c r="B141" s="779" t="s">
        <v>507</v>
      </c>
      <c r="C141" s="848"/>
      <c r="D141" s="813">
        <f t="shared" si="5"/>
        <v>0</v>
      </c>
      <c r="E141" s="803"/>
      <c r="F141" s="803"/>
      <c r="G141" s="803"/>
      <c r="H141" s="700">
        <f t="shared" si="3"/>
        <v>0</v>
      </c>
      <c r="I141" s="137"/>
      <c r="J141" s="137"/>
      <c r="K141" s="137"/>
    </row>
    <row r="142" spans="1:11" ht="12" customHeight="1" thickBot="1" x14ac:dyDescent="0.3">
      <c r="A142" s="19" t="s">
        <v>28</v>
      </c>
      <c r="B142" s="698" t="s">
        <v>508</v>
      </c>
      <c r="C142" s="820">
        <f>SUM(C143:C146)</f>
        <v>33301994</v>
      </c>
      <c r="D142" s="792">
        <f>SUM(D143:D146)</f>
        <v>35164932</v>
      </c>
      <c r="E142" s="814">
        <f>+E143+E144+E145+E146</f>
        <v>35164932</v>
      </c>
      <c r="F142" s="815">
        <f>+F143+F144+F145+F146</f>
        <v>0</v>
      </c>
      <c r="G142" s="815">
        <f>+G143+G144+G145+G146</f>
        <v>0</v>
      </c>
      <c r="H142" s="701">
        <f t="shared" si="3"/>
        <v>38167591</v>
      </c>
      <c r="I142" s="329">
        <f>+I143+I144+I145+I146</f>
        <v>38167591</v>
      </c>
      <c r="J142" s="155">
        <f>+J143+J144+J145+J146</f>
        <v>0</v>
      </c>
      <c r="K142" s="155">
        <f>+K143+K144+K145+K146</f>
        <v>0</v>
      </c>
    </row>
    <row r="143" spans="1:11" ht="12" customHeight="1" x14ac:dyDescent="0.25">
      <c r="A143" s="14" t="s">
        <v>95</v>
      </c>
      <c r="B143" s="779" t="s">
        <v>326</v>
      </c>
      <c r="C143" s="848"/>
      <c r="D143" s="794">
        <f>SUM(E143:G143)</f>
        <v>0</v>
      </c>
      <c r="E143" s="803"/>
      <c r="F143" s="803"/>
      <c r="G143" s="803"/>
      <c r="H143" s="696">
        <f t="shared" si="3"/>
        <v>0</v>
      </c>
      <c r="I143" s="137"/>
      <c r="J143" s="137"/>
      <c r="K143" s="137"/>
    </row>
    <row r="144" spans="1:11" ht="12" customHeight="1" x14ac:dyDescent="0.25">
      <c r="A144" s="14" t="s">
        <v>96</v>
      </c>
      <c r="B144" s="779" t="s">
        <v>327</v>
      </c>
      <c r="C144" s="842">
        <v>33301994</v>
      </c>
      <c r="D144" s="808">
        <f>SUM(E144:G144)</f>
        <v>35164932</v>
      </c>
      <c r="E144" s="803">
        <f>35164932</f>
        <v>35164932</v>
      </c>
      <c r="F144" s="803"/>
      <c r="G144" s="803"/>
      <c r="H144" s="693">
        <f t="shared" si="3"/>
        <v>38167591</v>
      </c>
      <c r="I144" s="137">
        <v>38167591</v>
      </c>
      <c r="J144" s="137"/>
      <c r="K144" s="137"/>
    </row>
    <row r="145" spans="1:11" ht="12" customHeight="1" x14ac:dyDescent="0.25">
      <c r="A145" s="14" t="s">
        <v>240</v>
      </c>
      <c r="B145" s="779" t="s">
        <v>509</v>
      </c>
      <c r="C145" s="848"/>
      <c r="D145" s="808">
        <f>SUM(E145:G145)</f>
        <v>0</v>
      </c>
      <c r="E145" s="803"/>
      <c r="F145" s="803"/>
      <c r="G145" s="803"/>
      <c r="H145" s="696">
        <f t="shared" si="3"/>
        <v>0</v>
      </c>
      <c r="I145" s="137"/>
      <c r="J145" s="137"/>
      <c r="K145" s="137"/>
    </row>
    <row r="146" spans="1:11" ht="12" customHeight="1" thickBot="1" x14ac:dyDescent="0.3">
      <c r="A146" s="12" t="s">
        <v>241</v>
      </c>
      <c r="B146" s="780" t="s">
        <v>345</v>
      </c>
      <c r="C146" s="849"/>
      <c r="D146" s="813">
        <f>SUM(E146:G146)</f>
        <v>0</v>
      </c>
      <c r="E146" s="803"/>
      <c r="F146" s="803"/>
      <c r="G146" s="803"/>
      <c r="H146" s="700">
        <f t="shared" si="3"/>
        <v>0</v>
      </c>
      <c r="I146" s="137"/>
      <c r="J146" s="137"/>
      <c r="K146" s="137"/>
    </row>
    <row r="147" spans="1:11" ht="12" customHeight="1" thickBot="1" x14ac:dyDescent="0.3">
      <c r="A147" s="19" t="s">
        <v>29</v>
      </c>
      <c r="B147" s="698" t="s">
        <v>510</v>
      </c>
      <c r="C147" s="823">
        <f>SUM(C148:C152)</f>
        <v>0</v>
      </c>
      <c r="D147" s="822">
        <f>SUM(D148:D152)</f>
        <v>0</v>
      </c>
      <c r="E147" s="850">
        <f>+E148+E149+E150+E151+E152</f>
        <v>0</v>
      </c>
      <c r="F147" s="851">
        <f>+F148+F149+F150+F151+F152</f>
        <v>0</v>
      </c>
      <c r="G147" s="851">
        <f>SUM(G148:G152)</f>
        <v>0</v>
      </c>
      <c r="H147" s="701">
        <f t="shared" si="3"/>
        <v>0</v>
      </c>
      <c r="I147" s="338">
        <f>+I148+I149+I150+I151+I152</f>
        <v>0</v>
      </c>
      <c r="J147" s="158">
        <f>+J148+J149+J150+J151+J152</f>
        <v>0</v>
      </c>
      <c r="K147" s="158">
        <f>SUM(K148:K152)</f>
        <v>0</v>
      </c>
    </row>
    <row r="148" spans="1:11" ht="12" customHeight="1" x14ac:dyDescent="0.25">
      <c r="A148" s="14" t="s">
        <v>97</v>
      </c>
      <c r="B148" s="779" t="s">
        <v>511</v>
      </c>
      <c r="C148" s="848"/>
      <c r="D148" s="794">
        <f t="shared" ref="D148:D154" si="6">SUM(E148:G148)</f>
        <v>0</v>
      </c>
      <c r="E148" s="803"/>
      <c r="F148" s="803"/>
      <c r="G148" s="803"/>
      <c r="H148" s="696">
        <f t="shared" si="3"/>
        <v>0</v>
      </c>
      <c r="I148" s="137"/>
      <c r="J148" s="137"/>
      <c r="K148" s="137"/>
    </row>
    <row r="149" spans="1:11" ht="12" customHeight="1" x14ac:dyDescent="0.25">
      <c r="A149" s="14" t="s">
        <v>98</v>
      </c>
      <c r="B149" s="779" t="s">
        <v>512</v>
      </c>
      <c r="C149" s="842"/>
      <c r="D149" s="808">
        <f t="shared" si="6"/>
        <v>0</v>
      </c>
      <c r="E149" s="803"/>
      <c r="F149" s="803"/>
      <c r="G149" s="803"/>
      <c r="H149" s="696">
        <f t="shared" si="3"/>
        <v>0</v>
      </c>
      <c r="I149" s="137"/>
      <c r="J149" s="137"/>
      <c r="K149" s="137"/>
    </row>
    <row r="150" spans="1:11" ht="12" customHeight="1" x14ac:dyDescent="0.25">
      <c r="A150" s="14" t="s">
        <v>252</v>
      </c>
      <c r="B150" s="779" t="s">
        <v>513</v>
      </c>
      <c r="C150" s="848"/>
      <c r="D150" s="808">
        <f t="shared" si="6"/>
        <v>0</v>
      </c>
      <c r="E150" s="803"/>
      <c r="F150" s="803"/>
      <c r="G150" s="803"/>
      <c r="H150" s="696">
        <f t="shared" si="3"/>
        <v>0</v>
      </c>
      <c r="I150" s="137"/>
      <c r="J150" s="137"/>
      <c r="K150" s="137"/>
    </row>
    <row r="151" spans="1:11" ht="12" customHeight="1" x14ac:dyDescent="0.25">
      <c r="A151" s="14" t="s">
        <v>253</v>
      </c>
      <c r="B151" s="779" t="s">
        <v>514</v>
      </c>
      <c r="C151" s="848"/>
      <c r="D151" s="808">
        <f t="shared" si="6"/>
        <v>0</v>
      </c>
      <c r="E151" s="803"/>
      <c r="F151" s="803"/>
      <c r="G151" s="803"/>
      <c r="H151" s="696">
        <f t="shared" si="3"/>
        <v>0</v>
      </c>
      <c r="I151" s="137"/>
      <c r="J151" s="137"/>
      <c r="K151" s="137"/>
    </row>
    <row r="152" spans="1:11" ht="12" customHeight="1" thickBot="1" x14ac:dyDescent="0.3">
      <c r="A152" s="14" t="s">
        <v>515</v>
      </c>
      <c r="B152" s="779" t="s">
        <v>516</v>
      </c>
      <c r="C152" s="848"/>
      <c r="D152" s="813">
        <f t="shared" si="6"/>
        <v>0</v>
      </c>
      <c r="E152" s="818"/>
      <c r="F152" s="818"/>
      <c r="G152" s="803"/>
      <c r="H152" s="700">
        <f t="shared" si="3"/>
        <v>0</v>
      </c>
      <c r="I152" s="138"/>
      <c r="J152" s="138"/>
      <c r="K152" s="137"/>
    </row>
    <row r="153" spans="1:11" ht="12" customHeight="1" thickBot="1" x14ac:dyDescent="0.3">
      <c r="A153" s="19" t="s">
        <v>30</v>
      </c>
      <c r="B153" s="698" t="s">
        <v>517</v>
      </c>
      <c r="C153" s="823"/>
      <c r="D153" s="822">
        <f t="shared" si="6"/>
        <v>0</v>
      </c>
      <c r="E153" s="850"/>
      <c r="F153" s="851"/>
      <c r="G153" s="852"/>
      <c r="H153" s="701">
        <f t="shared" si="3"/>
        <v>0</v>
      </c>
      <c r="I153" s="338"/>
      <c r="J153" s="158"/>
      <c r="K153" s="295"/>
    </row>
    <row r="154" spans="1:11" ht="12" customHeight="1" thickBot="1" x14ac:dyDescent="0.3">
      <c r="A154" s="19" t="s">
        <v>31</v>
      </c>
      <c r="B154" s="698" t="s">
        <v>518</v>
      </c>
      <c r="C154" s="823"/>
      <c r="D154" s="822">
        <f t="shared" si="6"/>
        <v>0</v>
      </c>
      <c r="E154" s="850"/>
      <c r="F154" s="851"/>
      <c r="G154" s="852"/>
      <c r="H154" s="701">
        <f t="shared" si="3"/>
        <v>0</v>
      </c>
      <c r="I154" s="338"/>
      <c r="J154" s="158"/>
      <c r="K154" s="295"/>
    </row>
    <row r="155" spans="1:11" ht="15" customHeight="1" thickBot="1" x14ac:dyDescent="0.3">
      <c r="A155" s="19" t="s">
        <v>32</v>
      </c>
      <c r="B155" s="698" t="s">
        <v>519</v>
      </c>
      <c r="C155" s="820">
        <f>C154+C153+C147+C142+C135+C131</f>
        <v>36346783</v>
      </c>
      <c r="D155" s="792">
        <f>D154+D153+D147+D142+D135+D131</f>
        <v>138325932</v>
      </c>
      <c r="E155" s="853">
        <f>+E131+E135+E142+E147+E153+E154</f>
        <v>138325932</v>
      </c>
      <c r="F155" s="854">
        <f>+F131+F135+F142+F147+F153+F154</f>
        <v>0</v>
      </c>
      <c r="G155" s="854">
        <f>+G131+G135+G142+G147+G153+G154</f>
        <v>0</v>
      </c>
      <c r="H155" s="701">
        <f t="shared" si="3"/>
        <v>146654295</v>
      </c>
      <c r="I155" s="339">
        <f>+I131+I135+I142+I147+I153+I154</f>
        <v>146654295</v>
      </c>
      <c r="J155" s="242">
        <f>+J131+J135+J142+J147+J153+J154</f>
        <v>0</v>
      </c>
      <c r="K155" s="242">
        <f>+K131+K135+K142+K147+K153+K154</f>
        <v>0</v>
      </c>
    </row>
    <row r="156" spans="1:11" s="327" customFormat="1" ht="12.95" customHeight="1" thickBot="1" x14ac:dyDescent="0.25">
      <c r="A156" s="148" t="s">
        <v>33</v>
      </c>
      <c r="B156" s="702" t="s">
        <v>520</v>
      </c>
      <c r="C156" s="820">
        <f>C155+C130</f>
        <v>2666690767</v>
      </c>
      <c r="D156" s="792">
        <f>D155+D130</f>
        <v>3410219894</v>
      </c>
      <c r="E156" s="853">
        <f>+E130+E155</f>
        <v>607614265</v>
      </c>
      <c r="F156" s="854">
        <f>+F130+F155</f>
        <v>225723850</v>
      </c>
      <c r="G156" s="854">
        <f>+G130+G155</f>
        <v>1397286981</v>
      </c>
      <c r="H156" s="701">
        <f t="shared" si="3"/>
        <v>3150884244</v>
      </c>
      <c r="I156" s="339">
        <f>+I130+I155</f>
        <v>1376922051</v>
      </c>
      <c r="J156" s="242">
        <f>+J130+J155</f>
        <v>244350438</v>
      </c>
      <c r="K156" s="242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&amp;R30. melléklet a 8/2018.(IV.27.) önkormányzati rendelethez
TÁJÉKOZTATÓ TÁBLA</oddHeader>
  </headerFooter>
  <rowBreaks count="1" manualBreakCount="1">
    <brk id="76" max="7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82"/>
  <sheetViews>
    <sheetView tabSelected="1" zoomScaleNormal="100" zoomScalePageLayoutView="85" workbookViewId="0">
      <selection activeCell="J91" sqref="J91"/>
    </sheetView>
  </sheetViews>
  <sheetFormatPr defaultRowHeight="15.75" x14ac:dyDescent="0.25"/>
  <cols>
    <col min="1" max="1" width="4.83203125" style="61" customWidth="1"/>
    <col min="2" max="2" width="31.1640625" style="73" customWidth="1"/>
    <col min="3" max="6" width="11.1640625" style="73" bestFit="1" customWidth="1"/>
    <col min="7" max="7" width="11.83203125" style="73" bestFit="1" customWidth="1"/>
    <col min="8" max="8" width="11.1640625" style="73" bestFit="1" customWidth="1"/>
    <col min="9" max="9" width="12.6640625" style="73" bestFit="1" customWidth="1"/>
    <col min="10" max="10" width="11.1640625" style="73" bestFit="1" customWidth="1"/>
    <col min="11" max="11" width="12.6640625" style="73" bestFit="1" customWidth="1"/>
    <col min="12" max="12" width="11.1640625" style="73" customWidth="1"/>
    <col min="13" max="13" width="11.6640625" style="73" customWidth="1"/>
    <col min="14" max="14" width="11" style="73" customWidth="1"/>
    <col min="15" max="16" width="12.6640625" style="61" customWidth="1"/>
    <col min="17" max="17" width="5.83203125" style="643" customWidth="1"/>
    <col min="18" max="18" width="14.6640625" style="618" hidden="1" customWidth="1"/>
    <col min="19" max="19" width="16.6640625" style="618" hidden="1" customWidth="1"/>
    <col min="20" max="16384" width="9.33203125" style="73"/>
  </cols>
  <sheetData>
    <row r="1" spans="1:19" ht="31.5" customHeight="1" x14ac:dyDescent="0.25">
      <c r="A1" s="1037" t="s">
        <v>631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8"/>
      <c r="N1" s="1038"/>
      <c r="O1" s="1038"/>
      <c r="P1" s="875"/>
      <c r="Q1" s="617"/>
    </row>
    <row r="2" spans="1:19" ht="16.5" thickBot="1" x14ac:dyDescent="0.3">
      <c r="O2" s="3" t="s">
        <v>597</v>
      </c>
      <c r="P2" s="3"/>
      <c r="Q2" s="619"/>
    </row>
    <row r="3" spans="1:19" ht="35.25" customHeight="1" thickBot="1" x14ac:dyDescent="0.3">
      <c r="A3" s="506" t="s">
        <v>21</v>
      </c>
      <c r="B3" s="507" t="s">
        <v>67</v>
      </c>
      <c r="C3" s="507" t="s">
        <v>75</v>
      </c>
      <c r="D3" s="507" t="s">
        <v>76</v>
      </c>
      <c r="E3" s="507" t="s">
        <v>77</v>
      </c>
      <c r="F3" s="507" t="s">
        <v>78</v>
      </c>
      <c r="G3" s="507" t="s">
        <v>79</v>
      </c>
      <c r="H3" s="507" t="s">
        <v>80</v>
      </c>
      <c r="I3" s="507" t="s">
        <v>81</v>
      </c>
      <c r="J3" s="507" t="s">
        <v>82</v>
      </c>
      <c r="K3" s="507" t="s">
        <v>83</v>
      </c>
      <c r="L3" s="507" t="s">
        <v>84</v>
      </c>
      <c r="M3" s="507" t="s">
        <v>85</v>
      </c>
      <c r="N3" s="507" t="s">
        <v>86</v>
      </c>
      <c r="O3" s="508" t="s">
        <v>57</v>
      </c>
      <c r="P3" s="620"/>
      <c r="Q3" s="620"/>
    </row>
    <row r="4" spans="1:19" s="63" customFormat="1" ht="15" customHeight="1" thickBot="1" x14ac:dyDescent="0.25">
      <c r="A4" s="62" t="s">
        <v>23</v>
      </c>
      <c r="B4" s="1039" t="s">
        <v>61</v>
      </c>
      <c r="C4" s="1040"/>
      <c r="D4" s="1040"/>
      <c r="E4" s="1040"/>
      <c r="F4" s="1040"/>
      <c r="G4" s="1040"/>
      <c r="H4" s="1040"/>
      <c r="I4" s="1040"/>
      <c r="J4" s="1040"/>
      <c r="K4" s="1040"/>
      <c r="L4" s="1040"/>
      <c r="M4" s="1040"/>
      <c r="N4" s="1040"/>
      <c r="O4" s="1041"/>
      <c r="P4" s="621"/>
      <c r="Q4" s="621"/>
      <c r="R4" s="622"/>
      <c r="S4" s="622"/>
    </row>
    <row r="5" spans="1:19" s="63" customFormat="1" ht="22.5" x14ac:dyDescent="0.2">
      <c r="A5" s="64" t="s">
        <v>24</v>
      </c>
      <c r="B5" s="272" t="s">
        <v>329</v>
      </c>
      <c r="C5" s="306">
        <v>70000000</v>
      </c>
      <c r="D5" s="306">
        <v>105000000</v>
      </c>
      <c r="E5" s="306">
        <f>110000000+1309600</f>
        <v>111309600</v>
      </c>
      <c r="F5" s="306">
        <v>110000000</v>
      </c>
      <c r="G5" s="306">
        <v>110000000</v>
      </c>
      <c r="H5" s="306">
        <v>115083108</v>
      </c>
      <c r="I5" s="306">
        <v>125600000</v>
      </c>
      <c r="J5" s="306">
        <v>125100000</v>
      </c>
      <c r="K5" s="306">
        <v>117270000</v>
      </c>
      <c r="L5" s="306">
        <v>110120000</v>
      </c>
      <c r="M5" s="306">
        <v>110170000</v>
      </c>
      <c r="N5" s="306">
        <f>110081468+170000</f>
        <v>110251468</v>
      </c>
      <c r="O5" s="976">
        <f t="shared" ref="O5:O14" si="0">SUM(C5:N5)</f>
        <v>1319904176</v>
      </c>
      <c r="P5" s="629"/>
      <c r="Q5" s="623"/>
      <c r="R5" s="624">
        <v>1318891068</v>
      </c>
      <c r="S5" s="625">
        <f t="shared" ref="S5:S8" si="1">O5-R5</f>
        <v>1013108</v>
      </c>
    </row>
    <row r="6" spans="1:19" s="67" customFormat="1" ht="22.5" x14ac:dyDescent="0.2">
      <c r="A6" s="65" t="s">
        <v>25</v>
      </c>
      <c r="B6" s="142" t="s">
        <v>373</v>
      </c>
      <c r="C6" s="284"/>
      <c r="D6" s="284">
        <v>40000000</v>
      </c>
      <c r="E6" s="284"/>
      <c r="F6" s="284">
        <f>40000000-344442</f>
        <v>39655558</v>
      </c>
      <c r="G6" s="284">
        <v>20620</v>
      </c>
      <c r="H6" s="284">
        <v>10965882</v>
      </c>
      <c r="I6" s="284">
        <v>40000000</v>
      </c>
      <c r="J6" s="284">
        <v>10000000</v>
      </c>
      <c r="K6" s="284"/>
      <c r="L6" s="284">
        <v>40000000</v>
      </c>
      <c r="M6" s="284"/>
      <c r="N6" s="284"/>
      <c r="O6" s="977">
        <f t="shared" si="0"/>
        <v>180642060</v>
      </c>
      <c r="P6" s="629"/>
      <c r="Q6" s="623"/>
      <c r="R6" s="627">
        <v>180621440</v>
      </c>
      <c r="S6" s="628">
        <f t="shared" si="1"/>
        <v>20620</v>
      </c>
    </row>
    <row r="7" spans="1:19" s="67" customFormat="1" ht="22.5" x14ac:dyDescent="0.2">
      <c r="A7" s="65" t="s">
        <v>26</v>
      </c>
      <c r="B7" s="141" t="s">
        <v>374</v>
      </c>
      <c r="C7" s="285"/>
      <c r="D7" s="285"/>
      <c r="E7" s="285"/>
      <c r="F7" s="285"/>
      <c r="G7" s="285">
        <v>3796748</v>
      </c>
      <c r="H7" s="285"/>
      <c r="I7" s="285"/>
      <c r="J7" s="285"/>
      <c r="K7" s="285"/>
      <c r="L7" s="285"/>
      <c r="M7" s="285">
        <v>5866130</v>
      </c>
      <c r="N7" s="285">
        <v>3779393</v>
      </c>
      <c r="O7" s="626">
        <f t="shared" si="0"/>
        <v>13442271</v>
      </c>
      <c r="P7" s="629"/>
      <c r="Q7" s="629"/>
      <c r="R7" s="627">
        <v>13442271</v>
      </c>
      <c r="S7" s="628">
        <f t="shared" si="1"/>
        <v>0</v>
      </c>
    </row>
    <row r="8" spans="1:19" s="67" customFormat="1" ht="14.1" customHeight="1" x14ac:dyDescent="0.2">
      <c r="A8" s="65" t="s">
        <v>27</v>
      </c>
      <c r="B8" s="140" t="s">
        <v>150</v>
      </c>
      <c r="C8" s="284">
        <v>3000000</v>
      </c>
      <c r="D8" s="284">
        <v>3000000</v>
      </c>
      <c r="E8" s="284">
        <v>120000000</v>
      </c>
      <c r="F8" s="284">
        <v>15000000</v>
      </c>
      <c r="G8" s="284">
        <v>7000000</v>
      </c>
      <c r="H8" s="284">
        <v>9000000</v>
      </c>
      <c r="I8" s="284">
        <v>5000000</v>
      </c>
      <c r="J8" s="284">
        <v>20000000</v>
      </c>
      <c r="K8" s="284">
        <v>120000000</v>
      </c>
      <c r="L8" s="284">
        <v>5000000</v>
      </c>
      <c r="M8" s="284">
        <v>5000000</v>
      </c>
      <c r="N8" s="284">
        <v>40658000</v>
      </c>
      <c r="O8" s="626">
        <f t="shared" si="0"/>
        <v>352658000</v>
      </c>
      <c r="P8" s="623"/>
      <c r="Q8" s="630"/>
      <c r="R8" s="627">
        <v>352658000</v>
      </c>
      <c r="S8" s="628">
        <f t="shared" si="1"/>
        <v>0</v>
      </c>
    </row>
    <row r="9" spans="1:19" s="67" customFormat="1" ht="14.1" customHeight="1" x14ac:dyDescent="0.2">
      <c r="A9" s="65" t="s">
        <v>28</v>
      </c>
      <c r="B9" s="140" t="s">
        <v>375</v>
      </c>
      <c r="C9" s="284">
        <v>36200000</v>
      </c>
      <c r="D9" s="284">
        <v>35450000</v>
      </c>
      <c r="E9" s="284">
        <v>36250000</v>
      </c>
      <c r="F9" s="284">
        <v>35326294</v>
      </c>
      <c r="G9" s="284">
        <v>38260000</v>
      </c>
      <c r="H9" s="284">
        <v>35300000</v>
      </c>
      <c r="I9" s="284">
        <v>33291164</v>
      </c>
      <c r="J9" s="284">
        <v>33290000</v>
      </c>
      <c r="K9" s="284">
        <v>39421250</v>
      </c>
      <c r="L9" s="284">
        <v>38290000</v>
      </c>
      <c r="M9" s="284">
        <v>38390000</v>
      </c>
      <c r="N9" s="284">
        <v>35514867</v>
      </c>
      <c r="O9" s="977">
        <f t="shared" si="0"/>
        <v>434983575</v>
      </c>
      <c r="P9" s="623"/>
      <c r="Q9" s="629"/>
      <c r="R9" s="627">
        <v>431892325</v>
      </c>
      <c r="S9" s="628">
        <f>O9-R9</f>
        <v>3091250</v>
      </c>
    </row>
    <row r="10" spans="1:19" s="67" customFormat="1" ht="14.1" customHeight="1" x14ac:dyDescent="0.2">
      <c r="A10" s="65" t="s">
        <v>29</v>
      </c>
      <c r="B10" s="140" t="s">
        <v>15</v>
      </c>
      <c r="C10" s="284"/>
      <c r="D10" s="284"/>
      <c r="E10" s="284">
        <v>2625000</v>
      </c>
      <c r="F10" s="284"/>
      <c r="G10" s="284">
        <v>1920000</v>
      </c>
      <c r="H10" s="284"/>
      <c r="I10" s="284">
        <v>3000000</v>
      </c>
      <c r="J10" s="284"/>
      <c r="K10" s="284">
        <v>7787500</v>
      </c>
      <c r="L10" s="284"/>
      <c r="M10" s="284">
        <v>15000000</v>
      </c>
      <c r="N10" s="284"/>
      <c r="O10" s="626">
        <f t="shared" si="0"/>
        <v>30332500</v>
      </c>
      <c r="P10" s="630"/>
      <c r="Q10" s="630"/>
      <c r="R10" s="627">
        <v>30332500</v>
      </c>
      <c r="S10" s="628">
        <f t="shared" ref="S10:S26" si="2">O10-R10</f>
        <v>0</v>
      </c>
    </row>
    <row r="11" spans="1:19" s="67" customFormat="1" ht="14.1" customHeight="1" x14ac:dyDescent="0.2">
      <c r="A11" s="65" t="s">
        <v>30</v>
      </c>
      <c r="B11" s="140" t="s">
        <v>331</v>
      </c>
      <c r="C11" s="284">
        <v>1566000</v>
      </c>
      <c r="D11" s="284">
        <v>250000</v>
      </c>
      <c r="E11" s="284">
        <v>300000</v>
      </c>
      <c r="F11" s="284">
        <v>350000</v>
      </c>
      <c r="G11" s="284">
        <v>250000</v>
      </c>
      <c r="H11" s="284">
        <v>200000</v>
      </c>
      <c r="I11" s="284">
        <v>350000</v>
      </c>
      <c r="J11" s="284">
        <v>250000</v>
      </c>
      <c r="K11" s="284">
        <v>400000</v>
      </c>
      <c r="L11" s="284">
        <v>300000</v>
      </c>
      <c r="M11" s="284">
        <v>300000</v>
      </c>
      <c r="N11" s="284">
        <v>250000</v>
      </c>
      <c r="O11" s="626">
        <f t="shared" si="0"/>
        <v>4766000</v>
      </c>
      <c r="P11" s="629"/>
      <c r="Q11" s="629"/>
      <c r="R11" s="627">
        <v>4766000</v>
      </c>
      <c r="S11" s="628">
        <f t="shared" si="2"/>
        <v>0</v>
      </c>
    </row>
    <row r="12" spans="1:19" s="67" customFormat="1" ht="22.5" x14ac:dyDescent="0.2">
      <c r="A12" s="65" t="s">
        <v>31</v>
      </c>
      <c r="B12" s="142" t="s">
        <v>361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626">
        <f t="shared" si="0"/>
        <v>0</v>
      </c>
      <c r="P12" s="630"/>
      <c r="Q12" s="630"/>
      <c r="R12" s="627">
        <v>0</v>
      </c>
      <c r="S12" s="628">
        <f t="shared" si="2"/>
        <v>0</v>
      </c>
    </row>
    <row r="13" spans="1:19" s="67" customFormat="1" ht="14.1" customHeight="1" thickBot="1" x14ac:dyDescent="0.25">
      <c r="A13" s="65" t="s">
        <v>32</v>
      </c>
      <c r="B13" s="140" t="s">
        <v>16</v>
      </c>
      <c r="C13" s="66">
        <f>595229853-28</f>
        <v>595229825</v>
      </c>
      <c r="D13" s="66">
        <v>40000000</v>
      </c>
      <c r="E13" s="66"/>
      <c r="F13" s="66">
        <v>60447375</v>
      </c>
      <c r="G13" s="66"/>
      <c r="H13" s="66">
        <v>25000000</v>
      </c>
      <c r="I13" s="66">
        <v>20000000</v>
      </c>
      <c r="J13" s="66">
        <v>20000000</v>
      </c>
      <c r="K13" s="284">
        <v>33478462</v>
      </c>
      <c r="L13" s="284">
        <v>10000000</v>
      </c>
      <c r="M13" s="284">
        <v>10000000</v>
      </c>
      <c r="N13" s="284"/>
      <c r="O13" s="977">
        <f t="shared" si="0"/>
        <v>814155662</v>
      </c>
      <c r="P13" s="630"/>
      <c r="Q13" s="630"/>
      <c r="R13" s="631">
        <v>788708287</v>
      </c>
      <c r="S13" s="632">
        <f t="shared" si="2"/>
        <v>25447375</v>
      </c>
    </row>
    <row r="14" spans="1:19" s="63" customFormat="1" ht="15.95" customHeight="1" thickBot="1" x14ac:dyDescent="0.25">
      <c r="A14" s="62" t="s">
        <v>33</v>
      </c>
      <c r="B14" s="29" t="s">
        <v>110</v>
      </c>
      <c r="C14" s="68">
        <f t="shared" ref="C14:N14" si="3">SUM(C5:C13)</f>
        <v>705995825</v>
      </c>
      <c r="D14" s="68">
        <f t="shared" si="3"/>
        <v>223700000</v>
      </c>
      <c r="E14" s="68">
        <f t="shared" si="3"/>
        <v>270484600</v>
      </c>
      <c r="F14" s="68">
        <f t="shared" si="3"/>
        <v>260779227</v>
      </c>
      <c r="G14" s="68">
        <f t="shared" si="3"/>
        <v>161247368</v>
      </c>
      <c r="H14" s="68">
        <f t="shared" si="3"/>
        <v>195548990</v>
      </c>
      <c r="I14" s="68">
        <f t="shared" si="3"/>
        <v>227241164</v>
      </c>
      <c r="J14" s="68">
        <f t="shared" si="3"/>
        <v>208640000</v>
      </c>
      <c r="K14" s="68">
        <f t="shared" si="3"/>
        <v>318357212</v>
      </c>
      <c r="L14" s="68">
        <f t="shared" si="3"/>
        <v>203710000</v>
      </c>
      <c r="M14" s="68">
        <f t="shared" si="3"/>
        <v>184726130</v>
      </c>
      <c r="N14" s="68">
        <f t="shared" si="3"/>
        <v>190453728</v>
      </c>
      <c r="O14" s="69">
        <f t="shared" si="0"/>
        <v>3150884244</v>
      </c>
      <c r="P14" s="633"/>
      <c r="Q14" s="633"/>
      <c r="R14" s="634">
        <f>SUM(R5:R13)</f>
        <v>3121311891</v>
      </c>
      <c r="S14" s="635">
        <f t="shared" si="2"/>
        <v>29572353</v>
      </c>
    </row>
    <row r="15" spans="1:19" s="63" customFormat="1" ht="15" customHeight="1" thickBot="1" x14ac:dyDescent="0.25">
      <c r="A15" s="62" t="s">
        <v>34</v>
      </c>
      <c r="B15" s="1039" t="s">
        <v>62</v>
      </c>
      <c r="C15" s="1040"/>
      <c r="D15" s="1040"/>
      <c r="E15" s="1040"/>
      <c r="F15" s="1040"/>
      <c r="G15" s="1040"/>
      <c r="H15" s="1040"/>
      <c r="I15" s="1040"/>
      <c r="J15" s="1040"/>
      <c r="K15" s="1040"/>
      <c r="L15" s="1040"/>
      <c r="M15" s="1040"/>
      <c r="N15" s="1040"/>
      <c r="O15" s="1041"/>
      <c r="P15" s="621"/>
      <c r="Q15" s="621"/>
      <c r="R15" s="622"/>
      <c r="S15" s="636">
        <f t="shared" si="2"/>
        <v>0</v>
      </c>
    </row>
    <row r="16" spans="1:19" s="67" customFormat="1" ht="14.1" customHeight="1" x14ac:dyDescent="0.2">
      <c r="A16" s="637" t="s">
        <v>35</v>
      </c>
      <c r="B16" s="638" t="s">
        <v>68</v>
      </c>
      <c r="C16" s="639">
        <v>80000000</v>
      </c>
      <c r="D16" s="639">
        <f>81000000-569836</f>
        <v>80430164</v>
      </c>
      <c r="E16" s="639">
        <f>83100000</f>
        <v>83100000</v>
      </c>
      <c r="F16" s="639">
        <f>81000000+666000+1095900-175365</f>
        <v>82586535</v>
      </c>
      <c r="G16" s="639">
        <v>81000000</v>
      </c>
      <c r="H16" s="639">
        <v>83000000</v>
      </c>
      <c r="I16" s="639">
        <v>81000000</v>
      </c>
      <c r="J16" s="639">
        <v>82000000</v>
      </c>
      <c r="K16" s="639">
        <v>84100000</v>
      </c>
      <c r="L16" s="639">
        <v>81000000</v>
      </c>
      <c r="M16" s="639">
        <v>81000000</v>
      </c>
      <c r="N16" s="639">
        <v>81820251</v>
      </c>
      <c r="O16" s="978">
        <f t="shared" ref="O16:O26" si="4">SUM(C16:N16)</f>
        <v>981036950</v>
      </c>
      <c r="P16" s="629"/>
      <c r="Q16" s="629"/>
      <c r="R16" s="640">
        <v>981036950</v>
      </c>
      <c r="S16" s="625">
        <f t="shared" si="2"/>
        <v>0</v>
      </c>
    </row>
    <row r="17" spans="1:19" s="67" customFormat="1" ht="27" customHeight="1" x14ac:dyDescent="0.2">
      <c r="A17" s="65" t="s">
        <v>36</v>
      </c>
      <c r="B17" s="142" t="s">
        <v>159</v>
      </c>
      <c r="C17" s="284">
        <v>16500000</v>
      </c>
      <c r="D17" s="284">
        <f>17000000-416745</f>
        <v>16583255</v>
      </c>
      <c r="E17" s="284">
        <v>18500000</v>
      </c>
      <c r="F17" s="284">
        <f>17000000+213701-18991+3298+121914</f>
        <v>17319922</v>
      </c>
      <c r="G17" s="284">
        <v>16720000</v>
      </c>
      <c r="H17" s="284">
        <v>18220000</v>
      </c>
      <c r="I17" s="284">
        <v>16720000</v>
      </c>
      <c r="J17" s="284">
        <v>17220000</v>
      </c>
      <c r="K17" s="284">
        <v>18720000</v>
      </c>
      <c r="L17" s="284">
        <v>16720000</v>
      </c>
      <c r="M17" s="284">
        <v>16720000</v>
      </c>
      <c r="N17" s="284">
        <f>16603347+240061+149150</f>
        <v>16992558</v>
      </c>
      <c r="O17" s="977">
        <f t="shared" si="4"/>
        <v>206935735</v>
      </c>
      <c r="P17" s="629"/>
      <c r="Q17" s="629"/>
      <c r="R17" s="627">
        <v>206935735</v>
      </c>
      <c r="S17" s="628">
        <f t="shared" si="2"/>
        <v>0</v>
      </c>
    </row>
    <row r="18" spans="1:19" s="67" customFormat="1" ht="14.1" customHeight="1" x14ac:dyDescent="0.2">
      <c r="A18" s="65" t="s">
        <v>37</v>
      </c>
      <c r="B18" s="140" t="s">
        <v>129</v>
      </c>
      <c r="C18" s="284">
        <v>80000000</v>
      </c>
      <c r="D18" s="284">
        <v>75000000</v>
      </c>
      <c r="E18" s="284">
        <v>77400000</v>
      </c>
      <c r="F18" s="284">
        <f>83000000+44100-83792-8245+60000+302293</f>
        <v>83314356</v>
      </c>
      <c r="G18" s="284">
        <f>71000000-36509260</f>
        <v>34490740</v>
      </c>
      <c r="H18" s="284">
        <v>74000000</v>
      </c>
      <c r="I18" s="284">
        <v>77500000</v>
      </c>
      <c r="J18" s="284">
        <v>76000000</v>
      </c>
      <c r="K18" s="284">
        <v>80500000</v>
      </c>
      <c r="L18" s="284">
        <v>76071448</v>
      </c>
      <c r="M18" s="284">
        <v>75300000</v>
      </c>
      <c r="N18" s="284">
        <v>70149605</v>
      </c>
      <c r="O18" s="977">
        <f t="shared" si="4"/>
        <v>879726149</v>
      </c>
      <c r="P18" s="629"/>
      <c r="Q18" s="629"/>
      <c r="R18" s="627">
        <v>879726149</v>
      </c>
      <c r="S18" s="628">
        <f t="shared" si="2"/>
        <v>0</v>
      </c>
    </row>
    <row r="19" spans="1:19" s="67" customFormat="1" ht="14.1" customHeight="1" x14ac:dyDescent="0.2">
      <c r="A19" s="65" t="s">
        <v>38</v>
      </c>
      <c r="B19" s="140" t="s">
        <v>160</v>
      </c>
      <c r="C19" s="284">
        <v>5100000</v>
      </c>
      <c r="D19" s="284">
        <v>5200000</v>
      </c>
      <c r="E19" s="284">
        <v>5400000</v>
      </c>
      <c r="F19" s="284">
        <v>5300000</v>
      </c>
      <c r="G19" s="284">
        <v>5150000</v>
      </c>
      <c r="H19" s="284">
        <v>5000000</v>
      </c>
      <c r="I19" s="284">
        <v>5000000</v>
      </c>
      <c r="J19" s="284">
        <v>15000000</v>
      </c>
      <c r="K19" s="284">
        <v>5000000</v>
      </c>
      <c r="L19" s="284">
        <v>5100000</v>
      </c>
      <c r="M19" s="284">
        <v>15000000</v>
      </c>
      <c r="N19" s="284">
        <v>21000000</v>
      </c>
      <c r="O19" s="626">
        <f t="shared" si="4"/>
        <v>97250000</v>
      </c>
      <c r="P19" s="629"/>
      <c r="Q19" s="629"/>
      <c r="R19" s="627">
        <v>97250000</v>
      </c>
      <c r="S19" s="628">
        <f t="shared" si="2"/>
        <v>0</v>
      </c>
    </row>
    <row r="20" spans="1:19" s="67" customFormat="1" ht="14.1" customHeight="1" x14ac:dyDescent="0.2">
      <c r="A20" s="65" t="s">
        <v>39</v>
      </c>
      <c r="B20" s="140" t="s">
        <v>17</v>
      </c>
      <c r="C20" s="284"/>
      <c r="D20" s="284"/>
      <c r="E20" s="284">
        <v>10000000</v>
      </c>
      <c r="F20" s="284">
        <v>12000000</v>
      </c>
      <c r="G20" s="284">
        <v>18869819</v>
      </c>
      <c r="H20" s="284">
        <v>20000000</v>
      </c>
      <c r="I20" s="284">
        <v>15000000</v>
      </c>
      <c r="J20" s="284">
        <v>14000000</v>
      </c>
      <c r="K20" s="284">
        <v>15000000</v>
      </c>
      <c r="L20" s="284">
        <v>20000000</v>
      </c>
      <c r="M20" s="284">
        <v>15000000</v>
      </c>
      <c r="N20" s="284">
        <v>12261084</v>
      </c>
      <c r="O20" s="977">
        <f t="shared" si="4"/>
        <v>152130903</v>
      </c>
      <c r="P20" s="629"/>
      <c r="Q20" s="629"/>
      <c r="R20" s="627">
        <v>152130903</v>
      </c>
      <c r="S20" s="628">
        <f t="shared" si="2"/>
        <v>0</v>
      </c>
    </row>
    <row r="21" spans="1:19" s="67" customFormat="1" ht="14.1" customHeight="1" x14ac:dyDescent="0.2">
      <c r="A21" s="65" t="s">
        <v>40</v>
      </c>
      <c r="B21" s="140" t="s">
        <v>179</v>
      </c>
      <c r="C21" s="284">
        <v>3000000</v>
      </c>
      <c r="D21" s="284">
        <v>3000000</v>
      </c>
      <c r="E21" s="284">
        <v>40000000</v>
      </c>
      <c r="F21" s="284">
        <f>3000000-60000</f>
        <v>2940000</v>
      </c>
      <c r="G21" s="284">
        <v>77123107</v>
      </c>
      <c r="H21" s="284">
        <v>37753786</v>
      </c>
      <c r="I21" s="284">
        <v>63000000</v>
      </c>
      <c r="J21" s="284">
        <v>8000000</v>
      </c>
      <c r="K21" s="284">
        <v>50000000</v>
      </c>
      <c r="L21" s="284">
        <v>30481603</v>
      </c>
      <c r="M21" s="284">
        <v>15000000</v>
      </c>
      <c r="N21" s="284">
        <v>5000000</v>
      </c>
      <c r="O21" s="977">
        <f t="shared" si="4"/>
        <v>335298496</v>
      </c>
      <c r="P21" s="629"/>
      <c r="Q21" s="629"/>
      <c r="R21" s="641">
        <v>335298496</v>
      </c>
      <c r="S21" s="628">
        <f t="shared" si="2"/>
        <v>0</v>
      </c>
    </row>
    <row r="22" spans="1:19" s="67" customFormat="1" x14ac:dyDescent="0.2">
      <c r="A22" s="65" t="s">
        <v>41</v>
      </c>
      <c r="B22" s="142" t="s">
        <v>163</v>
      </c>
      <c r="C22" s="284">
        <v>1000000</v>
      </c>
      <c r="D22" s="284">
        <v>10000000</v>
      </c>
      <c r="E22" s="284">
        <v>5000000</v>
      </c>
      <c r="F22" s="284">
        <v>7000000</v>
      </c>
      <c r="G22" s="284">
        <v>30000000</v>
      </c>
      <c r="H22" s="284">
        <v>10000000</v>
      </c>
      <c r="I22" s="284">
        <v>50000000</v>
      </c>
      <c r="J22" s="284">
        <v>12000000</v>
      </c>
      <c r="K22" s="284">
        <v>87902555</v>
      </c>
      <c r="L22" s="284">
        <v>3000000</v>
      </c>
      <c r="M22" s="284">
        <v>2810962</v>
      </c>
      <c r="N22" s="284">
        <v>2000000</v>
      </c>
      <c r="O22" s="977">
        <f t="shared" si="4"/>
        <v>220713517</v>
      </c>
      <c r="P22" s="629"/>
      <c r="Q22" s="629"/>
      <c r="R22" s="627">
        <v>220713517</v>
      </c>
      <c r="S22" s="628">
        <f t="shared" si="2"/>
        <v>0</v>
      </c>
    </row>
    <row r="23" spans="1:19" s="67" customFormat="1" ht="14.1" customHeight="1" x14ac:dyDescent="0.2">
      <c r="A23" s="65" t="s">
        <v>42</v>
      </c>
      <c r="B23" s="140" t="s">
        <v>181</v>
      </c>
      <c r="C23" s="284"/>
      <c r="D23" s="284"/>
      <c r="E23" s="284">
        <v>34286575</v>
      </c>
      <c r="F23" s="284"/>
      <c r="G23" s="284"/>
      <c r="H23" s="284">
        <v>9221949</v>
      </c>
      <c r="I23" s="284">
        <f>3094850+1988342</f>
        <v>5083192</v>
      </c>
      <c r="J23" s="284">
        <v>17119005</v>
      </c>
      <c r="K23" s="284"/>
      <c r="L23" s="284"/>
      <c r="M23" s="284"/>
      <c r="N23" s="284"/>
      <c r="O23" s="626">
        <f t="shared" si="4"/>
        <v>65710721</v>
      </c>
      <c r="P23" s="629"/>
      <c r="Q23" s="629"/>
      <c r="R23" s="627">
        <v>65710721</v>
      </c>
      <c r="S23" s="628">
        <f t="shared" si="2"/>
        <v>0</v>
      </c>
    </row>
    <row r="24" spans="1:19" s="67" customFormat="1" ht="14.1" customHeight="1" x14ac:dyDescent="0.2">
      <c r="A24" s="65" t="s">
        <v>43</v>
      </c>
      <c r="B24" s="140" t="s">
        <v>54</v>
      </c>
      <c r="C24" s="284"/>
      <c r="D24" s="284"/>
      <c r="E24" s="284">
        <v>3000000</v>
      </c>
      <c r="F24" s="284">
        <v>978295</v>
      </c>
      <c r="G24" s="284">
        <v>3900000</v>
      </c>
      <c r="H24" s="284">
        <v>9100000</v>
      </c>
      <c r="I24" s="284">
        <v>7100000</v>
      </c>
      <c r="J24" s="284">
        <v>8100000</v>
      </c>
      <c r="K24" s="284">
        <v>3900000</v>
      </c>
      <c r="L24" s="284">
        <v>8100000</v>
      </c>
      <c r="M24" s="284">
        <v>14246522</v>
      </c>
      <c r="N24" s="284">
        <v>7002661</v>
      </c>
      <c r="O24" s="977">
        <f t="shared" si="4"/>
        <v>65427478</v>
      </c>
      <c r="P24" s="629"/>
      <c r="Q24" s="629"/>
      <c r="R24" s="627">
        <v>65427478</v>
      </c>
      <c r="S24" s="628">
        <f t="shared" si="2"/>
        <v>0</v>
      </c>
    </row>
    <row r="25" spans="1:19" s="67" customFormat="1" ht="14.1" customHeight="1" thickBot="1" x14ac:dyDescent="0.25">
      <c r="A25" s="65" t="s">
        <v>44</v>
      </c>
      <c r="B25" s="140" t="s">
        <v>18</v>
      </c>
      <c r="C25" s="66">
        <v>38167591</v>
      </c>
      <c r="D25" s="66"/>
      <c r="E25" s="66">
        <v>2121676</v>
      </c>
      <c r="F25" s="284"/>
      <c r="G25" s="66"/>
      <c r="H25" s="284">
        <v>2121676</v>
      </c>
      <c r="I25" s="284"/>
      <c r="J25" s="284"/>
      <c r="K25" s="284">
        <v>2121676</v>
      </c>
      <c r="L25" s="284">
        <v>30000000</v>
      </c>
      <c r="M25" s="284"/>
      <c r="N25" s="284">
        <v>72121676</v>
      </c>
      <c r="O25" s="509">
        <f t="shared" si="4"/>
        <v>146654295</v>
      </c>
      <c r="P25" s="630"/>
      <c r="Q25" s="630"/>
      <c r="R25" s="631">
        <v>146654295</v>
      </c>
      <c r="S25" s="632">
        <f t="shared" si="2"/>
        <v>0</v>
      </c>
    </row>
    <row r="26" spans="1:19" s="63" customFormat="1" ht="15.95" customHeight="1" thickBot="1" x14ac:dyDescent="0.25">
      <c r="A26" s="70" t="s">
        <v>45</v>
      </c>
      <c r="B26" s="29" t="s">
        <v>111</v>
      </c>
      <c r="C26" s="68">
        <f t="shared" ref="C26:N26" si="5">SUM(C16:C25)</f>
        <v>223767591</v>
      </c>
      <c r="D26" s="68">
        <f t="shared" si="5"/>
        <v>190213419</v>
      </c>
      <c r="E26" s="68">
        <f t="shared" si="5"/>
        <v>278808251</v>
      </c>
      <c r="F26" s="68">
        <f t="shared" si="5"/>
        <v>211439108</v>
      </c>
      <c r="G26" s="68">
        <f t="shared" si="5"/>
        <v>267253666</v>
      </c>
      <c r="H26" s="68">
        <f t="shared" si="5"/>
        <v>268417411</v>
      </c>
      <c r="I26" s="68">
        <f t="shared" si="5"/>
        <v>320403192</v>
      </c>
      <c r="J26" s="68">
        <f t="shared" si="5"/>
        <v>249439005</v>
      </c>
      <c r="K26" s="68">
        <f t="shared" si="5"/>
        <v>347244231</v>
      </c>
      <c r="L26" s="68">
        <f t="shared" si="5"/>
        <v>270473051</v>
      </c>
      <c r="M26" s="68">
        <f t="shared" si="5"/>
        <v>235077484</v>
      </c>
      <c r="N26" s="68">
        <f t="shared" si="5"/>
        <v>288347835</v>
      </c>
      <c r="O26" s="69">
        <f t="shared" si="4"/>
        <v>3150884244</v>
      </c>
      <c r="P26" s="633"/>
      <c r="Q26" s="633"/>
      <c r="R26" s="634">
        <f>SUM(R16:R25)</f>
        <v>3150884244</v>
      </c>
      <c r="S26" s="635">
        <f t="shared" si="2"/>
        <v>0</v>
      </c>
    </row>
    <row r="27" spans="1:19" ht="16.5" thickBot="1" x14ac:dyDescent="0.3">
      <c r="A27" s="70" t="s">
        <v>46</v>
      </c>
      <c r="B27" s="143" t="s">
        <v>112</v>
      </c>
      <c r="C27" s="71">
        <f t="shared" ref="C27:O27" si="6">C14-C26</f>
        <v>482228234</v>
      </c>
      <c r="D27" s="71">
        <f t="shared" si="6"/>
        <v>33486581</v>
      </c>
      <c r="E27" s="71">
        <f t="shared" si="6"/>
        <v>-8323651</v>
      </c>
      <c r="F27" s="71">
        <f t="shared" si="6"/>
        <v>49340119</v>
      </c>
      <c r="G27" s="71">
        <f t="shared" si="6"/>
        <v>-106006298</v>
      </c>
      <c r="H27" s="71">
        <f t="shared" si="6"/>
        <v>-72868421</v>
      </c>
      <c r="I27" s="71">
        <f t="shared" si="6"/>
        <v>-93162028</v>
      </c>
      <c r="J27" s="71">
        <f t="shared" si="6"/>
        <v>-40799005</v>
      </c>
      <c r="K27" s="71">
        <f t="shared" si="6"/>
        <v>-28887019</v>
      </c>
      <c r="L27" s="71">
        <f t="shared" si="6"/>
        <v>-66763051</v>
      </c>
      <c r="M27" s="71">
        <f t="shared" si="6"/>
        <v>-50351354</v>
      </c>
      <c r="N27" s="71">
        <f t="shared" si="6"/>
        <v>-97894107</v>
      </c>
      <c r="O27" s="72">
        <f t="shared" si="6"/>
        <v>0</v>
      </c>
      <c r="P27" s="642"/>
      <c r="Q27" s="642"/>
    </row>
    <row r="28" spans="1:19" x14ac:dyDescent="0.25">
      <c r="A28" s="74"/>
    </row>
    <row r="29" spans="1:19" x14ac:dyDescent="0.25">
      <c r="B29" s="75"/>
      <c r="C29" s="76"/>
      <c r="D29" s="76"/>
      <c r="O29" s="73"/>
      <c r="P29" s="73"/>
      <c r="Q29" s="644"/>
    </row>
    <row r="30" spans="1:19" x14ac:dyDescent="0.25">
      <c r="O30" s="73"/>
      <c r="P30" s="73"/>
      <c r="Q30" s="644"/>
    </row>
    <row r="31" spans="1:19" x14ac:dyDescent="0.25">
      <c r="O31" s="73"/>
      <c r="P31" s="73"/>
      <c r="Q31" s="644"/>
    </row>
    <row r="32" spans="1:19" x14ac:dyDescent="0.25">
      <c r="O32" s="73"/>
      <c r="P32" s="73"/>
      <c r="Q32" s="644"/>
    </row>
    <row r="33" spans="15:17" x14ac:dyDescent="0.25">
      <c r="O33" s="73"/>
      <c r="P33" s="73"/>
      <c r="Q33" s="644"/>
    </row>
    <row r="34" spans="15:17" x14ac:dyDescent="0.25">
      <c r="O34" s="73"/>
      <c r="P34" s="73"/>
      <c r="Q34" s="644"/>
    </row>
    <row r="35" spans="15:17" x14ac:dyDescent="0.25">
      <c r="O35" s="73"/>
      <c r="P35" s="73"/>
      <c r="Q35" s="644"/>
    </row>
    <row r="36" spans="15:17" x14ac:dyDescent="0.25">
      <c r="O36" s="73"/>
      <c r="P36" s="73"/>
      <c r="Q36" s="644"/>
    </row>
    <row r="37" spans="15:17" x14ac:dyDescent="0.25">
      <c r="O37" s="73"/>
      <c r="P37" s="73"/>
      <c r="Q37" s="644"/>
    </row>
    <row r="38" spans="15:17" x14ac:dyDescent="0.25">
      <c r="O38" s="73"/>
      <c r="P38" s="73"/>
      <c r="Q38" s="644"/>
    </row>
    <row r="39" spans="15:17" x14ac:dyDescent="0.25">
      <c r="O39" s="73"/>
      <c r="P39" s="73"/>
      <c r="Q39" s="644"/>
    </row>
    <row r="40" spans="15:17" x14ac:dyDescent="0.25">
      <c r="O40" s="73"/>
      <c r="P40" s="73"/>
      <c r="Q40" s="644"/>
    </row>
    <row r="41" spans="15:17" x14ac:dyDescent="0.25">
      <c r="O41" s="73"/>
      <c r="P41" s="73"/>
      <c r="Q41" s="644"/>
    </row>
    <row r="42" spans="15:17" x14ac:dyDescent="0.25">
      <c r="O42" s="73"/>
      <c r="P42" s="73"/>
      <c r="Q42" s="644"/>
    </row>
    <row r="43" spans="15:17" x14ac:dyDescent="0.25">
      <c r="O43" s="73"/>
      <c r="P43" s="73"/>
      <c r="Q43" s="644"/>
    </row>
    <row r="44" spans="15:17" x14ac:dyDescent="0.25">
      <c r="O44" s="73"/>
      <c r="P44" s="73"/>
      <c r="Q44" s="644"/>
    </row>
    <row r="45" spans="15:17" x14ac:dyDescent="0.25">
      <c r="O45" s="73"/>
      <c r="P45" s="73"/>
      <c r="Q45" s="644"/>
    </row>
    <row r="46" spans="15:17" x14ac:dyDescent="0.25">
      <c r="O46" s="73"/>
      <c r="P46" s="73"/>
      <c r="Q46" s="644"/>
    </row>
    <row r="47" spans="15:17" x14ac:dyDescent="0.25">
      <c r="O47" s="73"/>
      <c r="P47" s="73"/>
      <c r="Q47" s="644"/>
    </row>
    <row r="48" spans="15:17" x14ac:dyDescent="0.25">
      <c r="O48" s="73"/>
      <c r="P48" s="73"/>
      <c r="Q48" s="644"/>
    </row>
    <row r="49" spans="15:17" x14ac:dyDescent="0.25">
      <c r="O49" s="73"/>
      <c r="P49" s="73"/>
      <c r="Q49" s="644"/>
    </row>
    <row r="50" spans="15:17" x14ac:dyDescent="0.25">
      <c r="O50" s="73"/>
      <c r="P50" s="73"/>
      <c r="Q50" s="644"/>
    </row>
    <row r="51" spans="15:17" x14ac:dyDescent="0.25">
      <c r="O51" s="73"/>
      <c r="P51" s="73"/>
      <c r="Q51" s="644"/>
    </row>
    <row r="52" spans="15:17" x14ac:dyDescent="0.25">
      <c r="O52" s="73"/>
      <c r="P52" s="73"/>
      <c r="Q52" s="644"/>
    </row>
    <row r="53" spans="15:17" x14ac:dyDescent="0.25">
      <c r="O53" s="73"/>
      <c r="P53" s="73"/>
      <c r="Q53" s="644"/>
    </row>
    <row r="54" spans="15:17" x14ac:dyDescent="0.25">
      <c r="O54" s="73"/>
      <c r="P54" s="73"/>
      <c r="Q54" s="644"/>
    </row>
    <row r="55" spans="15:17" x14ac:dyDescent="0.25">
      <c r="O55" s="73"/>
      <c r="P55" s="73"/>
      <c r="Q55" s="644"/>
    </row>
    <row r="56" spans="15:17" x14ac:dyDescent="0.25">
      <c r="O56" s="73"/>
      <c r="P56" s="73"/>
      <c r="Q56" s="644"/>
    </row>
    <row r="57" spans="15:17" x14ac:dyDescent="0.25">
      <c r="O57" s="73"/>
      <c r="P57" s="73"/>
      <c r="Q57" s="644"/>
    </row>
    <row r="58" spans="15:17" x14ac:dyDescent="0.25">
      <c r="O58" s="73"/>
      <c r="P58" s="73"/>
      <c r="Q58" s="644"/>
    </row>
    <row r="59" spans="15:17" x14ac:dyDescent="0.25">
      <c r="O59" s="73"/>
      <c r="P59" s="73"/>
      <c r="Q59" s="644"/>
    </row>
    <row r="60" spans="15:17" x14ac:dyDescent="0.25">
      <c r="O60" s="73"/>
      <c r="P60" s="73"/>
      <c r="Q60" s="644"/>
    </row>
    <row r="61" spans="15:17" x14ac:dyDescent="0.25">
      <c r="O61" s="73"/>
      <c r="P61" s="73"/>
      <c r="Q61" s="644"/>
    </row>
    <row r="62" spans="15:17" x14ac:dyDescent="0.25">
      <c r="O62" s="73"/>
      <c r="P62" s="73"/>
      <c r="Q62" s="644"/>
    </row>
    <row r="63" spans="15:17" x14ac:dyDescent="0.25">
      <c r="O63" s="73"/>
      <c r="P63" s="73"/>
      <c r="Q63" s="644"/>
    </row>
    <row r="64" spans="15:17" x14ac:dyDescent="0.25">
      <c r="O64" s="73"/>
      <c r="P64" s="73"/>
      <c r="Q64" s="644"/>
    </row>
    <row r="65" spans="15:17" x14ac:dyDescent="0.25">
      <c r="O65" s="73"/>
      <c r="P65" s="73"/>
      <c r="Q65" s="644"/>
    </row>
    <row r="66" spans="15:17" x14ac:dyDescent="0.25">
      <c r="O66" s="73"/>
      <c r="P66" s="73"/>
      <c r="Q66" s="644"/>
    </row>
    <row r="67" spans="15:17" x14ac:dyDescent="0.25">
      <c r="O67" s="73"/>
      <c r="P67" s="73"/>
      <c r="Q67" s="644"/>
    </row>
    <row r="68" spans="15:17" x14ac:dyDescent="0.25">
      <c r="O68" s="73"/>
      <c r="P68" s="73"/>
      <c r="Q68" s="644"/>
    </row>
    <row r="69" spans="15:17" x14ac:dyDescent="0.25">
      <c r="O69" s="73"/>
      <c r="P69" s="73"/>
      <c r="Q69" s="644"/>
    </row>
    <row r="70" spans="15:17" x14ac:dyDescent="0.25">
      <c r="O70" s="73"/>
      <c r="P70" s="73"/>
      <c r="Q70" s="644"/>
    </row>
    <row r="71" spans="15:17" x14ac:dyDescent="0.25">
      <c r="O71" s="73"/>
      <c r="P71" s="73"/>
      <c r="Q71" s="644"/>
    </row>
    <row r="72" spans="15:17" x14ac:dyDescent="0.25">
      <c r="O72" s="73"/>
      <c r="P72" s="73"/>
      <c r="Q72" s="644"/>
    </row>
    <row r="73" spans="15:17" x14ac:dyDescent="0.25">
      <c r="O73" s="73"/>
      <c r="P73" s="73"/>
      <c r="Q73" s="644"/>
    </row>
    <row r="74" spans="15:17" x14ac:dyDescent="0.25">
      <c r="O74" s="73"/>
      <c r="P74" s="73"/>
      <c r="Q74" s="644"/>
    </row>
    <row r="75" spans="15:17" x14ac:dyDescent="0.25">
      <c r="O75" s="73"/>
      <c r="P75" s="73"/>
      <c r="Q75" s="644"/>
    </row>
    <row r="76" spans="15:17" x14ac:dyDescent="0.25">
      <c r="O76" s="73"/>
      <c r="P76" s="73"/>
      <c r="Q76" s="644"/>
    </row>
    <row r="77" spans="15:17" x14ac:dyDescent="0.25">
      <c r="O77" s="73"/>
      <c r="P77" s="73"/>
      <c r="Q77" s="644"/>
    </row>
    <row r="78" spans="15:17" x14ac:dyDescent="0.25">
      <c r="O78" s="73"/>
      <c r="P78" s="73"/>
      <c r="Q78" s="644"/>
    </row>
    <row r="79" spans="15:17" x14ac:dyDescent="0.25">
      <c r="O79" s="73"/>
      <c r="P79" s="73"/>
      <c r="Q79" s="644"/>
    </row>
    <row r="80" spans="15:17" x14ac:dyDescent="0.25">
      <c r="O80" s="73"/>
      <c r="P80" s="73"/>
      <c r="Q80" s="644"/>
    </row>
    <row r="81" spans="15:17" x14ac:dyDescent="0.25">
      <c r="O81" s="73"/>
      <c r="P81" s="73"/>
      <c r="Q81" s="644"/>
    </row>
    <row r="82" spans="15:17" x14ac:dyDescent="0.25">
      <c r="O82" s="73"/>
      <c r="P82" s="73"/>
      <c r="Q82" s="644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31. melléklet a  8/2018.(IV.27.) önkormányzati rendelethez
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abSelected="1" topLeftCell="B1" zoomScaleNormal="100" zoomScalePageLayoutView="145" workbookViewId="0">
      <selection activeCell="J91" sqref="J91"/>
    </sheetView>
  </sheetViews>
  <sheetFormatPr defaultColWidth="10.6640625" defaultRowHeight="12.75" x14ac:dyDescent="0.2"/>
  <cols>
    <col min="1" max="1" width="60.1640625" style="274" customWidth="1"/>
    <col min="2" max="2" width="48.83203125" style="278" customWidth="1"/>
    <col min="3" max="3" width="16.5" style="274" bestFit="1" customWidth="1"/>
    <col min="4" max="4" width="15" style="274" customWidth="1"/>
    <col min="5" max="256" width="10.6640625" style="274"/>
    <col min="257" max="257" width="60.1640625" style="274" customWidth="1"/>
    <col min="258" max="258" width="48.83203125" style="274" customWidth="1"/>
    <col min="259" max="259" width="16.5" style="274" bestFit="1" customWidth="1"/>
    <col min="260" max="260" width="15" style="274" customWidth="1"/>
    <col min="261" max="512" width="10.6640625" style="274"/>
    <col min="513" max="513" width="60.1640625" style="274" customWidth="1"/>
    <col min="514" max="514" width="48.83203125" style="274" customWidth="1"/>
    <col min="515" max="515" width="16.5" style="274" bestFit="1" customWidth="1"/>
    <col min="516" max="516" width="15" style="274" customWidth="1"/>
    <col min="517" max="768" width="10.6640625" style="274"/>
    <col min="769" max="769" width="60.1640625" style="274" customWidth="1"/>
    <col min="770" max="770" width="48.83203125" style="274" customWidth="1"/>
    <col min="771" max="771" width="16.5" style="274" bestFit="1" customWidth="1"/>
    <col min="772" max="772" width="15" style="274" customWidth="1"/>
    <col min="773" max="1024" width="10.6640625" style="274"/>
    <col min="1025" max="1025" width="60.1640625" style="274" customWidth="1"/>
    <col min="1026" max="1026" width="48.83203125" style="274" customWidth="1"/>
    <col min="1027" max="1027" width="16.5" style="274" bestFit="1" customWidth="1"/>
    <col min="1028" max="1028" width="15" style="274" customWidth="1"/>
    <col min="1029" max="1280" width="10.6640625" style="274"/>
    <col min="1281" max="1281" width="60.1640625" style="274" customWidth="1"/>
    <col min="1282" max="1282" width="48.83203125" style="274" customWidth="1"/>
    <col min="1283" max="1283" width="16.5" style="274" bestFit="1" customWidth="1"/>
    <col min="1284" max="1284" width="15" style="274" customWidth="1"/>
    <col min="1285" max="1536" width="10.6640625" style="274"/>
    <col min="1537" max="1537" width="60.1640625" style="274" customWidth="1"/>
    <col min="1538" max="1538" width="48.83203125" style="274" customWidth="1"/>
    <col min="1539" max="1539" width="16.5" style="274" bestFit="1" customWidth="1"/>
    <col min="1540" max="1540" width="15" style="274" customWidth="1"/>
    <col min="1541" max="1792" width="10.6640625" style="274"/>
    <col min="1793" max="1793" width="60.1640625" style="274" customWidth="1"/>
    <col min="1794" max="1794" width="48.83203125" style="274" customWidth="1"/>
    <col min="1795" max="1795" width="16.5" style="274" bestFit="1" customWidth="1"/>
    <col min="1796" max="1796" width="15" style="274" customWidth="1"/>
    <col min="1797" max="2048" width="10.6640625" style="274"/>
    <col min="2049" max="2049" width="60.1640625" style="274" customWidth="1"/>
    <col min="2050" max="2050" width="48.83203125" style="274" customWidth="1"/>
    <col min="2051" max="2051" width="16.5" style="274" bestFit="1" customWidth="1"/>
    <col min="2052" max="2052" width="15" style="274" customWidth="1"/>
    <col min="2053" max="2304" width="10.6640625" style="274"/>
    <col min="2305" max="2305" width="60.1640625" style="274" customWidth="1"/>
    <col min="2306" max="2306" width="48.83203125" style="274" customWidth="1"/>
    <col min="2307" max="2307" width="16.5" style="274" bestFit="1" customWidth="1"/>
    <col min="2308" max="2308" width="15" style="274" customWidth="1"/>
    <col min="2309" max="2560" width="10.6640625" style="274"/>
    <col min="2561" max="2561" width="60.1640625" style="274" customWidth="1"/>
    <col min="2562" max="2562" width="48.83203125" style="274" customWidth="1"/>
    <col min="2563" max="2563" width="16.5" style="274" bestFit="1" customWidth="1"/>
    <col min="2564" max="2564" width="15" style="274" customWidth="1"/>
    <col min="2565" max="2816" width="10.6640625" style="274"/>
    <col min="2817" max="2817" width="60.1640625" style="274" customWidth="1"/>
    <col min="2818" max="2818" width="48.83203125" style="274" customWidth="1"/>
    <col min="2819" max="2819" width="16.5" style="274" bestFit="1" customWidth="1"/>
    <col min="2820" max="2820" width="15" style="274" customWidth="1"/>
    <col min="2821" max="3072" width="10.6640625" style="274"/>
    <col min="3073" max="3073" width="60.1640625" style="274" customWidth="1"/>
    <col min="3074" max="3074" width="48.83203125" style="274" customWidth="1"/>
    <col min="3075" max="3075" width="16.5" style="274" bestFit="1" customWidth="1"/>
    <col min="3076" max="3076" width="15" style="274" customWidth="1"/>
    <col min="3077" max="3328" width="10.6640625" style="274"/>
    <col min="3329" max="3329" width="60.1640625" style="274" customWidth="1"/>
    <col min="3330" max="3330" width="48.83203125" style="274" customWidth="1"/>
    <col min="3331" max="3331" width="16.5" style="274" bestFit="1" customWidth="1"/>
    <col min="3332" max="3332" width="15" style="274" customWidth="1"/>
    <col min="3333" max="3584" width="10.6640625" style="274"/>
    <col min="3585" max="3585" width="60.1640625" style="274" customWidth="1"/>
    <col min="3586" max="3586" width="48.83203125" style="274" customWidth="1"/>
    <col min="3587" max="3587" width="16.5" style="274" bestFit="1" customWidth="1"/>
    <col min="3588" max="3588" width="15" style="274" customWidth="1"/>
    <col min="3589" max="3840" width="10.6640625" style="274"/>
    <col min="3841" max="3841" width="60.1640625" style="274" customWidth="1"/>
    <col min="3842" max="3842" width="48.83203125" style="274" customWidth="1"/>
    <col min="3843" max="3843" width="16.5" style="274" bestFit="1" customWidth="1"/>
    <col min="3844" max="3844" width="15" style="274" customWidth="1"/>
    <col min="3845" max="4096" width="10.6640625" style="274"/>
    <col min="4097" max="4097" width="60.1640625" style="274" customWidth="1"/>
    <col min="4098" max="4098" width="48.83203125" style="274" customWidth="1"/>
    <col min="4099" max="4099" width="16.5" style="274" bestFit="1" customWidth="1"/>
    <col min="4100" max="4100" width="15" style="274" customWidth="1"/>
    <col min="4101" max="4352" width="10.6640625" style="274"/>
    <col min="4353" max="4353" width="60.1640625" style="274" customWidth="1"/>
    <col min="4354" max="4354" width="48.83203125" style="274" customWidth="1"/>
    <col min="4355" max="4355" width="16.5" style="274" bestFit="1" customWidth="1"/>
    <col min="4356" max="4356" width="15" style="274" customWidth="1"/>
    <col min="4357" max="4608" width="10.6640625" style="274"/>
    <col min="4609" max="4609" width="60.1640625" style="274" customWidth="1"/>
    <col min="4610" max="4610" width="48.83203125" style="274" customWidth="1"/>
    <col min="4611" max="4611" width="16.5" style="274" bestFit="1" customWidth="1"/>
    <col min="4612" max="4612" width="15" style="274" customWidth="1"/>
    <col min="4613" max="4864" width="10.6640625" style="274"/>
    <col min="4865" max="4865" width="60.1640625" style="274" customWidth="1"/>
    <col min="4866" max="4866" width="48.83203125" style="274" customWidth="1"/>
    <col min="4867" max="4867" width="16.5" style="274" bestFit="1" customWidth="1"/>
    <col min="4868" max="4868" width="15" style="274" customWidth="1"/>
    <col min="4869" max="5120" width="10.6640625" style="274"/>
    <col min="5121" max="5121" width="60.1640625" style="274" customWidth="1"/>
    <col min="5122" max="5122" width="48.83203125" style="274" customWidth="1"/>
    <col min="5123" max="5123" width="16.5" style="274" bestFit="1" customWidth="1"/>
    <col min="5124" max="5124" width="15" style="274" customWidth="1"/>
    <col min="5125" max="5376" width="10.6640625" style="274"/>
    <col min="5377" max="5377" width="60.1640625" style="274" customWidth="1"/>
    <col min="5378" max="5378" width="48.83203125" style="274" customWidth="1"/>
    <col min="5379" max="5379" width="16.5" style="274" bestFit="1" customWidth="1"/>
    <col min="5380" max="5380" width="15" style="274" customWidth="1"/>
    <col min="5381" max="5632" width="10.6640625" style="274"/>
    <col min="5633" max="5633" width="60.1640625" style="274" customWidth="1"/>
    <col min="5634" max="5634" width="48.83203125" style="274" customWidth="1"/>
    <col min="5635" max="5635" width="16.5" style="274" bestFit="1" customWidth="1"/>
    <col min="5636" max="5636" width="15" style="274" customWidth="1"/>
    <col min="5637" max="5888" width="10.6640625" style="274"/>
    <col min="5889" max="5889" width="60.1640625" style="274" customWidth="1"/>
    <col min="5890" max="5890" width="48.83203125" style="274" customWidth="1"/>
    <col min="5891" max="5891" width="16.5" style="274" bestFit="1" customWidth="1"/>
    <col min="5892" max="5892" width="15" style="274" customWidth="1"/>
    <col min="5893" max="6144" width="10.6640625" style="274"/>
    <col min="6145" max="6145" width="60.1640625" style="274" customWidth="1"/>
    <col min="6146" max="6146" width="48.83203125" style="274" customWidth="1"/>
    <col min="6147" max="6147" width="16.5" style="274" bestFit="1" customWidth="1"/>
    <col min="6148" max="6148" width="15" style="274" customWidth="1"/>
    <col min="6149" max="6400" width="10.6640625" style="274"/>
    <col min="6401" max="6401" width="60.1640625" style="274" customWidth="1"/>
    <col min="6402" max="6402" width="48.83203125" style="274" customWidth="1"/>
    <col min="6403" max="6403" width="16.5" style="274" bestFit="1" customWidth="1"/>
    <col min="6404" max="6404" width="15" style="274" customWidth="1"/>
    <col min="6405" max="6656" width="10.6640625" style="274"/>
    <col min="6657" max="6657" width="60.1640625" style="274" customWidth="1"/>
    <col min="6658" max="6658" width="48.83203125" style="274" customWidth="1"/>
    <col min="6659" max="6659" width="16.5" style="274" bestFit="1" customWidth="1"/>
    <col min="6660" max="6660" width="15" style="274" customWidth="1"/>
    <col min="6661" max="6912" width="10.6640625" style="274"/>
    <col min="6913" max="6913" width="60.1640625" style="274" customWidth="1"/>
    <col min="6914" max="6914" width="48.83203125" style="274" customWidth="1"/>
    <col min="6915" max="6915" width="16.5" style="274" bestFit="1" customWidth="1"/>
    <col min="6916" max="6916" width="15" style="274" customWidth="1"/>
    <col min="6917" max="7168" width="10.6640625" style="274"/>
    <col min="7169" max="7169" width="60.1640625" style="274" customWidth="1"/>
    <col min="7170" max="7170" width="48.83203125" style="274" customWidth="1"/>
    <col min="7171" max="7171" width="16.5" style="274" bestFit="1" customWidth="1"/>
    <col min="7172" max="7172" width="15" style="274" customWidth="1"/>
    <col min="7173" max="7424" width="10.6640625" style="274"/>
    <col min="7425" max="7425" width="60.1640625" style="274" customWidth="1"/>
    <col min="7426" max="7426" width="48.83203125" style="274" customWidth="1"/>
    <col min="7427" max="7427" width="16.5" style="274" bestFit="1" customWidth="1"/>
    <col min="7428" max="7428" width="15" style="274" customWidth="1"/>
    <col min="7429" max="7680" width="10.6640625" style="274"/>
    <col min="7681" max="7681" width="60.1640625" style="274" customWidth="1"/>
    <col min="7682" max="7682" width="48.83203125" style="274" customWidth="1"/>
    <col min="7683" max="7683" width="16.5" style="274" bestFit="1" customWidth="1"/>
    <col min="7684" max="7684" width="15" style="274" customWidth="1"/>
    <col min="7685" max="7936" width="10.6640625" style="274"/>
    <col min="7937" max="7937" width="60.1640625" style="274" customWidth="1"/>
    <col min="7938" max="7938" width="48.83203125" style="274" customWidth="1"/>
    <col min="7939" max="7939" width="16.5" style="274" bestFit="1" customWidth="1"/>
    <col min="7940" max="7940" width="15" style="274" customWidth="1"/>
    <col min="7941" max="8192" width="10.6640625" style="274"/>
    <col min="8193" max="8193" width="60.1640625" style="274" customWidth="1"/>
    <col min="8194" max="8194" width="48.83203125" style="274" customWidth="1"/>
    <col min="8195" max="8195" width="16.5" style="274" bestFit="1" customWidth="1"/>
    <col min="8196" max="8196" width="15" style="274" customWidth="1"/>
    <col min="8197" max="8448" width="10.6640625" style="274"/>
    <col min="8449" max="8449" width="60.1640625" style="274" customWidth="1"/>
    <col min="8450" max="8450" width="48.83203125" style="274" customWidth="1"/>
    <col min="8451" max="8451" width="16.5" style="274" bestFit="1" customWidth="1"/>
    <col min="8452" max="8452" width="15" style="274" customWidth="1"/>
    <col min="8453" max="8704" width="10.6640625" style="274"/>
    <col min="8705" max="8705" width="60.1640625" style="274" customWidth="1"/>
    <col min="8706" max="8706" width="48.83203125" style="274" customWidth="1"/>
    <col min="8707" max="8707" width="16.5" style="274" bestFit="1" customWidth="1"/>
    <col min="8708" max="8708" width="15" style="274" customWidth="1"/>
    <col min="8709" max="8960" width="10.6640625" style="274"/>
    <col min="8961" max="8961" width="60.1640625" style="274" customWidth="1"/>
    <col min="8962" max="8962" width="48.83203125" style="274" customWidth="1"/>
    <col min="8963" max="8963" width="16.5" style="274" bestFit="1" customWidth="1"/>
    <col min="8964" max="8964" width="15" style="274" customWidth="1"/>
    <col min="8965" max="9216" width="10.6640625" style="274"/>
    <col min="9217" max="9217" width="60.1640625" style="274" customWidth="1"/>
    <col min="9218" max="9218" width="48.83203125" style="274" customWidth="1"/>
    <col min="9219" max="9219" width="16.5" style="274" bestFit="1" customWidth="1"/>
    <col min="9220" max="9220" width="15" style="274" customWidth="1"/>
    <col min="9221" max="9472" width="10.6640625" style="274"/>
    <col min="9473" max="9473" width="60.1640625" style="274" customWidth="1"/>
    <col min="9474" max="9474" width="48.83203125" style="274" customWidth="1"/>
    <col min="9475" max="9475" width="16.5" style="274" bestFit="1" customWidth="1"/>
    <col min="9476" max="9476" width="15" style="274" customWidth="1"/>
    <col min="9477" max="9728" width="10.6640625" style="274"/>
    <col min="9729" max="9729" width="60.1640625" style="274" customWidth="1"/>
    <col min="9730" max="9730" width="48.83203125" style="274" customWidth="1"/>
    <col min="9731" max="9731" width="16.5" style="274" bestFit="1" customWidth="1"/>
    <col min="9732" max="9732" width="15" style="274" customWidth="1"/>
    <col min="9733" max="9984" width="10.6640625" style="274"/>
    <col min="9985" max="9985" width="60.1640625" style="274" customWidth="1"/>
    <col min="9986" max="9986" width="48.83203125" style="274" customWidth="1"/>
    <col min="9987" max="9987" width="16.5" style="274" bestFit="1" customWidth="1"/>
    <col min="9988" max="9988" width="15" style="274" customWidth="1"/>
    <col min="9989" max="10240" width="10.6640625" style="274"/>
    <col min="10241" max="10241" width="60.1640625" style="274" customWidth="1"/>
    <col min="10242" max="10242" width="48.83203125" style="274" customWidth="1"/>
    <col min="10243" max="10243" width="16.5" style="274" bestFit="1" customWidth="1"/>
    <col min="10244" max="10244" width="15" style="274" customWidth="1"/>
    <col min="10245" max="10496" width="10.6640625" style="274"/>
    <col min="10497" max="10497" width="60.1640625" style="274" customWidth="1"/>
    <col min="10498" max="10498" width="48.83203125" style="274" customWidth="1"/>
    <col min="10499" max="10499" width="16.5" style="274" bestFit="1" customWidth="1"/>
    <col min="10500" max="10500" width="15" style="274" customWidth="1"/>
    <col min="10501" max="10752" width="10.6640625" style="274"/>
    <col min="10753" max="10753" width="60.1640625" style="274" customWidth="1"/>
    <col min="10754" max="10754" width="48.83203125" style="274" customWidth="1"/>
    <col min="10755" max="10755" width="16.5" style="274" bestFit="1" customWidth="1"/>
    <col min="10756" max="10756" width="15" style="274" customWidth="1"/>
    <col min="10757" max="11008" width="10.6640625" style="274"/>
    <col min="11009" max="11009" width="60.1640625" style="274" customWidth="1"/>
    <col min="11010" max="11010" width="48.83203125" style="274" customWidth="1"/>
    <col min="11011" max="11011" width="16.5" style="274" bestFit="1" customWidth="1"/>
    <col min="11012" max="11012" width="15" style="274" customWidth="1"/>
    <col min="11013" max="11264" width="10.6640625" style="274"/>
    <col min="11265" max="11265" width="60.1640625" style="274" customWidth="1"/>
    <col min="11266" max="11266" width="48.83203125" style="274" customWidth="1"/>
    <col min="11267" max="11267" width="16.5" style="274" bestFit="1" customWidth="1"/>
    <col min="11268" max="11268" width="15" style="274" customWidth="1"/>
    <col min="11269" max="11520" width="10.6640625" style="274"/>
    <col min="11521" max="11521" width="60.1640625" style="274" customWidth="1"/>
    <col min="11522" max="11522" width="48.83203125" style="274" customWidth="1"/>
    <col min="11523" max="11523" width="16.5" style="274" bestFit="1" customWidth="1"/>
    <col min="11524" max="11524" width="15" style="274" customWidth="1"/>
    <col min="11525" max="11776" width="10.6640625" style="274"/>
    <col min="11777" max="11777" width="60.1640625" style="274" customWidth="1"/>
    <col min="11778" max="11778" width="48.83203125" style="274" customWidth="1"/>
    <col min="11779" max="11779" width="16.5" style="274" bestFit="1" customWidth="1"/>
    <col min="11780" max="11780" width="15" style="274" customWidth="1"/>
    <col min="11781" max="12032" width="10.6640625" style="274"/>
    <col min="12033" max="12033" width="60.1640625" style="274" customWidth="1"/>
    <col min="12034" max="12034" width="48.83203125" style="274" customWidth="1"/>
    <col min="12035" max="12035" width="16.5" style="274" bestFit="1" customWidth="1"/>
    <col min="12036" max="12036" width="15" style="274" customWidth="1"/>
    <col min="12037" max="12288" width="10.6640625" style="274"/>
    <col min="12289" max="12289" width="60.1640625" style="274" customWidth="1"/>
    <col min="12290" max="12290" width="48.83203125" style="274" customWidth="1"/>
    <col min="12291" max="12291" width="16.5" style="274" bestFit="1" customWidth="1"/>
    <col min="12292" max="12292" width="15" style="274" customWidth="1"/>
    <col min="12293" max="12544" width="10.6640625" style="274"/>
    <col min="12545" max="12545" width="60.1640625" style="274" customWidth="1"/>
    <col min="12546" max="12546" width="48.83203125" style="274" customWidth="1"/>
    <col min="12547" max="12547" width="16.5" style="274" bestFit="1" customWidth="1"/>
    <col min="12548" max="12548" width="15" style="274" customWidth="1"/>
    <col min="12549" max="12800" width="10.6640625" style="274"/>
    <col min="12801" max="12801" width="60.1640625" style="274" customWidth="1"/>
    <col min="12802" max="12802" width="48.83203125" style="274" customWidth="1"/>
    <col min="12803" max="12803" width="16.5" style="274" bestFit="1" customWidth="1"/>
    <col min="12804" max="12804" width="15" style="274" customWidth="1"/>
    <col min="12805" max="13056" width="10.6640625" style="274"/>
    <col min="13057" max="13057" width="60.1640625" style="274" customWidth="1"/>
    <col min="13058" max="13058" width="48.83203125" style="274" customWidth="1"/>
    <col min="13059" max="13059" width="16.5" style="274" bestFit="1" customWidth="1"/>
    <col min="13060" max="13060" width="15" style="274" customWidth="1"/>
    <col min="13061" max="13312" width="10.6640625" style="274"/>
    <col min="13313" max="13313" width="60.1640625" style="274" customWidth="1"/>
    <col min="13314" max="13314" width="48.83203125" style="274" customWidth="1"/>
    <col min="13315" max="13315" width="16.5" style="274" bestFit="1" customWidth="1"/>
    <col min="13316" max="13316" width="15" style="274" customWidth="1"/>
    <col min="13317" max="13568" width="10.6640625" style="274"/>
    <col min="13569" max="13569" width="60.1640625" style="274" customWidth="1"/>
    <col min="13570" max="13570" width="48.83203125" style="274" customWidth="1"/>
    <col min="13571" max="13571" width="16.5" style="274" bestFit="1" customWidth="1"/>
    <col min="13572" max="13572" width="15" style="274" customWidth="1"/>
    <col min="13573" max="13824" width="10.6640625" style="274"/>
    <col min="13825" max="13825" width="60.1640625" style="274" customWidth="1"/>
    <col min="13826" max="13826" width="48.83203125" style="274" customWidth="1"/>
    <col min="13827" max="13827" width="16.5" style="274" bestFit="1" customWidth="1"/>
    <col min="13828" max="13828" width="15" style="274" customWidth="1"/>
    <col min="13829" max="14080" width="10.6640625" style="274"/>
    <col min="14081" max="14081" width="60.1640625" style="274" customWidth="1"/>
    <col min="14082" max="14082" width="48.83203125" style="274" customWidth="1"/>
    <col min="14083" max="14083" width="16.5" style="274" bestFit="1" customWidth="1"/>
    <col min="14084" max="14084" width="15" style="274" customWidth="1"/>
    <col min="14085" max="14336" width="10.6640625" style="274"/>
    <col min="14337" max="14337" width="60.1640625" style="274" customWidth="1"/>
    <col min="14338" max="14338" width="48.83203125" style="274" customWidth="1"/>
    <col min="14339" max="14339" width="16.5" style="274" bestFit="1" customWidth="1"/>
    <col min="14340" max="14340" width="15" style="274" customWidth="1"/>
    <col min="14341" max="14592" width="10.6640625" style="274"/>
    <col min="14593" max="14593" width="60.1640625" style="274" customWidth="1"/>
    <col min="14594" max="14594" width="48.83203125" style="274" customWidth="1"/>
    <col min="14595" max="14595" width="16.5" style="274" bestFit="1" customWidth="1"/>
    <col min="14596" max="14596" width="15" style="274" customWidth="1"/>
    <col min="14597" max="14848" width="10.6640625" style="274"/>
    <col min="14849" max="14849" width="60.1640625" style="274" customWidth="1"/>
    <col min="14850" max="14850" width="48.83203125" style="274" customWidth="1"/>
    <col min="14851" max="14851" width="16.5" style="274" bestFit="1" customWidth="1"/>
    <col min="14852" max="14852" width="15" style="274" customWidth="1"/>
    <col min="14853" max="15104" width="10.6640625" style="274"/>
    <col min="15105" max="15105" width="60.1640625" style="274" customWidth="1"/>
    <col min="15106" max="15106" width="48.83203125" style="274" customWidth="1"/>
    <col min="15107" max="15107" width="16.5" style="274" bestFit="1" customWidth="1"/>
    <col min="15108" max="15108" width="15" style="274" customWidth="1"/>
    <col min="15109" max="15360" width="10.6640625" style="274"/>
    <col min="15361" max="15361" width="60.1640625" style="274" customWidth="1"/>
    <col min="15362" max="15362" width="48.83203125" style="274" customWidth="1"/>
    <col min="15363" max="15363" width="16.5" style="274" bestFit="1" customWidth="1"/>
    <col min="15364" max="15364" width="15" style="274" customWidth="1"/>
    <col min="15365" max="15616" width="10.6640625" style="274"/>
    <col min="15617" max="15617" width="60.1640625" style="274" customWidth="1"/>
    <col min="15618" max="15618" width="48.83203125" style="274" customWidth="1"/>
    <col min="15619" max="15619" width="16.5" style="274" bestFit="1" customWidth="1"/>
    <col min="15620" max="15620" width="15" style="274" customWidth="1"/>
    <col min="15621" max="15872" width="10.6640625" style="274"/>
    <col min="15873" max="15873" width="60.1640625" style="274" customWidth="1"/>
    <col min="15874" max="15874" width="48.83203125" style="274" customWidth="1"/>
    <col min="15875" max="15875" width="16.5" style="274" bestFit="1" customWidth="1"/>
    <col min="15876" max="15876" width="15" style="274" customWidth="1"/>
    <col min="15877" max="16128" width="10.6640625" style="274"/>
    <col min="16129" max="16129" width="60.1640625" style="274" customWidth="1"/>
    <col min="16130" max="16130" width="48.83203125" style="274" customWidth="1"/>
    <col min="16131" max="16131" width="16.5" style="274" bestFit="1" customWidth="1"/>
    <col min="16132" max="16132" width="15" style="274" customWidth="1"/>
    <col min="16133" max="16384" width="10.6640625" style="274"/>
  </cols>
  <sheetData>
    <row r="1" spans="1:2" x14ac:dyDescent="0.2">
      <c r="A1" s="1042"/>
      <c r="B1" s="1042"/>
    </row>
    <row r="2" spans="1:2" ht="17.25" customHeight="1" x14ac:dyDescent="0.2">
      <c r="A2" s="275"/>
      <c r="B2" s="300"/>
    </row>
    <row r="3" spans="1:2" ht="42" customHeight="1" x14ac:dyDescent="0.2">
      <c r="A3" s="1043" t="s">
        <v>632</v>
      </c>
      <c r="B3" s="1043"/>
    </row>
    <row r="4" spans="1:2" ht="33" customHeight="1" thickBot="1" x14ac:dyDescent="0.3">
      <c r="A4" s="276"/>
      <c r="B4" s="216" t="s">
        <v>19</v>
      </c>
    </row>
    <row r="5" spans="1:2" x14ac:dyDescent="0.2">
      <c r="A5" s="1044" t="s">
        <v>67</v>
      </c>
      <c r="B5" s="1044" t="s">
        <v>633</v>
      </c>
    </row>
    <row r="6" spans="1:2" x14ac:dyDescent="0.2">
      <c r="A6" s="1045"/>
      <c r="B6" s="1045"/>
    </row>
    <row r="7" spans="1:2" ht="13.5" thickBot="1" x14ac:dyDescent="0.25">
      <c r="A7" s="1045"/>
      <c r="B7" s="1046"/>
    </row>
    <row r="8" spans="1:2" ht="23.25" customHeight="1" thickBot="1" x14ac:dyDescent="0.25">
      <c r="A8" s="144" t="s">
        <v>56</v>
      </c>
      <c r="B8" s="277"/>
    </row>
    <row r="9" spans="1:2" ht="24" customHeight="1" x14ac:dyDescent="0.2">
      <c r="A9" s="353"/>
      <c r="B9" s="350"/>
    </row>
    <row r="10" spans="1:2" ht="27" customHeight="1" x14ac:dyDescent="0.25">
      <c r="A10" s="786" t="s">
        <v>414</v>
      </c>
      <c r="B10" s="351">
        <v>149537000</v>
      </c>
    </row>
    <row r="11" spans="1:2" ht="39" customHeight="1" x14ac:dyDescent="0.25">
      <c r="A11" s="785" t="s">
        <v>415</v>
      </c>
      <c r="B11" s="674">
        <v>76270223</v>
      </c>
    </row>
    <row r="12" spans="1:2" ht="39" customHeight="1" x14ac:dyDescent="0.25">
      <c r="A12" s="645" t="s">
        <v>416</v>
      </c>
      <c r="B12" s="674">
        <v>17077340</v>
      </c>
    </row>
    <row r="13" spans="1:2" ht="39" customHeight="1" x14ac:dyDescent="0.25">
      <c r="A13" s="645" t="s">
        <v>417</v>
      </c>
      <c r="B13" s="674">
        <v>35400000</v>
      </c>
    </row>
    <row r="14" spans="1:2" ht="39" customHeight="1" x14ac:dyDescent="0.25">
      <c r="A14" s="645" t="s">
        <v>418</v>
      </c>
      <c r="B14" s="674">
        <v>100000</v>
      </c>
    </row>
    <row r="15" spans="1:2" ht="39" customHeight="1" x14ac:dyDescent="0.25">
      <c r="A15" s="645" t="s">
        <v>419</v>
      </c>
      <c r="B15" s="674">
        <v>20759150</v>
      </c>
    </row>
    <row r="16" spans="1:2" ht="39" customHeight="1" x14ac:dyDescent="0.25">
      <c r="A16" s="645" t="s">
        <v>420</v>
      </c>
      <c r="B16" s="674">
        <v>2793483</v>
      </c>
    </row>
    <row r="17" spans="1:3" ht="39" customHeight="1" x14ac:dyDescent="0.25">
      <c r="A17" s="645" t="s">
        <v>429</v>
      </c>
      <c r="B17" s="674">
        <v>140250</v>
      </c>
    </row>
    <row r="18" spans="1:3" ht="39" customHeight="1" x14ac:dyDescent="0.3">
      <c r="A18" s="785" t="s">
        <v>558</v>
      </c>
      <c r="B18" s="675">
        <f>SUM(B10:B11)</f>
        <v>225807223</v>
      </c>
    </row>
    <row r="19" spans="1:3" ht="39" customHeight="1" x14ac:dyDescent="0.3">
      <c r="A19" s="645" t="s">
        <v>634</v>
      </c>
      <c r="B19" s="676">
        <v>0</v>
      </c>
    </row>
    <row r="20" spans="1:3" ht="39" customHeight="1" x14ac:dyDescent="0.25">
      <c r="A20" s="645" t="s">
        <v>635</v>
      </c>
      <c r="B20" s="674">
        <v>2048700</v>
      </c>
    </row>
    <row r="21" spans="1:3" ht="39" customHeight="1" x14ac:dyDescent="0.3">
      <c r="A21" s="354" t="s">
        <v>579</v>
      </c>
      <c r="B21" s="675">
        <f>SUM(B18:B20)</f>
        <v>227855923</v>
      </c>
    </row>
    <row r="22" spans="1:3" ht="36" customHeight="1" x14ac:dyDescent="0.25">
      <c r="A22" s="646" t="s">
        <v>421</v>
      </c>
      <c r="B22" s="674">
        <v>185945400</v>
      </c>
    </row>
    <row r="23" spans="1:3" ht="30.75" customHeight="1" x14ac:dyDescent="0.25">
      <c r="A23" s="647" t="s">
        <v>422</v>
      </c>
      <c r="B23" s="674">
        <v>29847734</v>
      </c>
    </row>
    <row r="24" spans="1:3" ht="30.75" customHeight="1" x14ac:dyDescent="0.25">
      <c r="A24" s="646" t="s">
        <v>636</v>
      </c>
      <c r="B24" s="674">
        <v>0</v>
      </c>
    </row>
    <row r="25" spans="1:3" ht="30.75" customHeight="1" x14ac:dyDescent="0.25">
      <c r="A25" s="646" t="s">
        <v>637</v>
      </c>
      <c r="B25" s="674">
        <v>8941000</v>
      </c>
    </row>
    <row r="26" spans="1:3" ht="31.5" customHeight="1" x14ac:dyDescent="0.3">
      <c r="A26" s="317" t="s">
        <v>423</v>
      </c>
      <c r="B26" s="675">
        <f>SUM(B22:B25)</f>
        <v>224734134</v>
      </c>
    </row>
    <row r="27" spans="1:3" ht="31.5" customHeight="1" x14ac:dyDescent="0.25">
      <c r="A27" s="355" t="s">
        <v>559</v>
      </c>
      <c r="B27" s="674">
        <v>126991000</v>
      </c>
    </row>
    <row r="28" spans="1:3" ht="28.5" customHeight="1" x14ac:dyDescent="0.25">
      <c r="A28" s="356" t="s">
        <v>424</v>
      </c>
      <c r="B28" s="674">
        <v>65060600</v>
      </c>
    </row>
    <row r="29" spans="1:3" ht="60" customHeight="1" x14ac:dyDescent="0.25">
      <c r="A29" s="677" t="s">
        <v>578</v>
      </c>
      <c r="B29" s="674">
        <v>119410000</v>
      </c>
      <c r="C29" s="278"/>
    </row>
    <row r="30" spans="1:3" ht="23.25" customHeight="1" x14ac:dyDescent="0.25">
      <c r="A30" s="787" t="s">
        <v>730</v>
      </c>
      <c r="B30" s="674">
        <v>53048000</v>
      </c>
    </row>
    <row r="31" spans="1:3" ht="20.25" customHeight="1" x14ac:dyDescent="0.25">
      <c r="A31" s="356" t="s">
        <v>425</v>
      </c>
      <c r="B31" s="674">
        <v>85612285</v>
      </c>
    </row>
    <row r="32" spans="1:3" ht="26.25" customHeight="1" x14ac:dyDescent="0.25">
      <c r="A32" s="323" t="s">
        <v>9</v>
      </c>
      <c r="B32" s="674">
        <v>53749860</v>
      </c>
    </row>
    <row r="33" spans="1:3" ht="26.25" customHeight="1" x14ac:dyDescent="0.25">
      <c r="A33" s="323" t="s">
        <v>638</v>
      </c>
      <c r="B33" s="674">
        <v>17676000</v>
      </c>
    </row>
    <row r="34" spans="1:3" ht="26.25" customHeight="1" x14ac:dyDescent="0.25">
      <c r="A34" s="323" t="s">
        <v>639</v>
      </c>
      <c r="B34" s="674">
        <v>36514600</v>
      </c>
    </row>
    <row r="35" spans="1:3" ht="26.25" customHeight="1" x14ac:dyDescent="0.25">
      <c r="A35" s="323" t="s">
        <v>640</v>
      </c>
      <c r="B35" s="674">
        <v>7902000</v>
      </c>
    </row>
    <row r="36" spans="1:3" ht="34.5" customHeight="1" x14ac:dyDescent="0.3">
      <c r="A36" s="317" t="s">
        <v>426</v>
      </c>
      <c r="B36" s="675">
        <f>SUM(B27:B35)</f>
        <v>565964345</v>
      </c>
      <c r="C36" s="301"/>
    </row>
    <row r="37" spans="1:3" ht="27.75" customHeight="1" x14ac:dyDescent="0.3">
      <c r="A37" s="784" t="s">
        <v>427</v>
      </c>
      <c r="B37" s="678">
        <f>B38+B39</f>
        <v>28744040</v>
      </c>
    </row>
    <row r="38" spans="1:3" ht="30" customHeight="1" x14ac:dyDescent="0.25">
      <c r="A38" s="323" t="s">
        <v>428</v>
      </c>
      <c r="B38" s="679">
        <v>12622000</v>
      </c>
    </row>
    <row r="39" spans="1:3" ht="30" customHeight="1" x14ac:dyDescent="0.25">
      <c r="A39" s="323" t="s">
        <v>10</v>
      </c>
      <c r="B39" s="679">
        <v>16122040</v>
      </c>
    </row>
    <row r="40" spans="1:3" ht="30" customHeight="1" x14ac:dyDescent="0.2">
      <c r="A40" s="348" t="s">
        <v>751</v>
      </c>
      <c r="B40" s="980">
        <v>1309600</v>
      </c>
    </row>
    <row r="41" spans="1:3" ht="30" customHeight="1" x14ac:dyDescent="0.25">
      <c r="A41" s="348" t="s">
        <v>749</v>
      </c>
      <c r="B41" s="674">
        <f>4545780</f>
        <v>4545780</v>
      </c>
    </row>
    <row r="42" spans="1:3" ht="30" customHeight="1" x14ac:dyDescent="0.2">
      <c r="A42" s="348" t="s">
        <v>731</v>
      </c>
      <c r="B42" s="980">
        <f>4848800+945516+203748</f>
        <v>5998064</v>
      </c>
    </row>
    <row r="43" spans="1:3" ht="30" customHeight="1" x14ac:dyDescent="0.2">
      <c r="A43" s="323" t="s">
        <v>733</v>
      </c>
      <c r="B43" s="979">
        <f>56020415+715086</f>
        <v>56735501</v>
      </c>
    </row>
    <row r="44" spans="1:3" ht="30" customHeight="1" x14ac:dyDescent="0.2">
      <c r="A44" s="981" t="s">
        <v>750</v>
      </c>
      <c r="B44" s="982">
        <v>94274</v>
      </c>
    </row>
    <row r="45" spans="1:3" ht="31.5" customHeight="1" x14ac:dyDescent="0.2">
      <c r="A45" s="349" t="s">
        <v>732</v>
      </c>
      <c r="B45" s="352">
        <f>5914790</f>
        <v>5914790</v>
      </c>
    </row>
    <row r="46" spans="1:3" ht="31.5" customHeight="1" thickBot="1" x14ac:dyDescent="0.25">
      <c r="A46" s="680" t="s">
        <v>734</v>
      </c>
      <c r="B46" s="352">
        <v>7776398</v>
      </c>
    </row>
    <row r="47" spans="1:3" ht="19.5" thickBot="1" x14ac:dyDescent="0.35">
      <c r="A47" s="681" t="s">
        <v>57</v>
      </c>
      <c r="B47" s="788">
        <f>SUM(B37+B36+B26+B21+B41+B42+B43+B45)+B46+B44+B40</f>
        <v>1129672849</v>
      </c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53" orientation="portrait" r:id="rId1"/>
  <headerFooter alignWithMargins="0">
    <oddHeader>&amp;R32. sz. tájékoztató tábla az  8/2018.(IV.27.)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1"/>
  <sheetViews>
    <sheetView tabSelected="1" zoomScaleNormal="100" zoomScalePageLayoutView="85" workbookViewId="0">
      <selection activeCell="J91" sqref="J91"/>
    </sheetView>
  </sheetViews>
  <sheetFormatPr defaultColWidth="10.6640625" defaultRowHeight="12.75" x14ac:dyDescent="0.2"/>
  <cols>
    <col min="1" max="1" width="42.33203125" style="410" customWidth="1"/>
    <col min="2" max="2" width="13" style="411" bestFit="1" customWidth="1"/>
    <col min="3" max="4" width="11.1640625" style="411" bestFit="1" customWidth="1"/>
    <col min="5" max="5" width="11.33203125" style="411" bestFit="1" customWidth="1"/>
    <col min="6" max="6" width="11.83203125" style="411" bestFit="1" customWidth="1"/>
    <col min="7" max="7" width="13.6640625" style="412" bestFit="1" customWidth="1"/>
    <col min="8" max="8" width="1.1640625" style="412" customWidth="1"/>
    <col min="9" max="9" width="12.6640625" style="410" bestFit="1" customWidth="1"/>
    <col min="10" max="10" width="11.1640625" style="410" bestFit="1" customWidth="1"/>
    <col min="11" max="11" width="13" style="410" bestFit="1" customWidth="1"/>
    <col min="12" max="13" width="11.1640625" style="410" bestFit="1" customWidth="1"/>
    <col min="14" max="14" width="15.1640625" style="413" bestFit="1" customWidth="1"/>
    <col min="15" max="15" width="15.1640625" style="410" bestFit="1" customWidth="1"/>
    <col min="16" max="16384" width="10.6640625" style="410"/>
  </cols>
  <sheetData>
    <row r="1" spans="1:194" x14ac:dyDescent="0.2">
      <c r="J1" s="1047"/>
      <c r="K1" s="1047"/>
      <c r="L1" s="1047"/>
      <c r="M1" s="1047"/>
    </row>
    <row r="2" spans="1:194" x14ac:dyDescent="0.2">
      <c r="A2" s="414"/>
      <c r="E2" s="415"/>
      <c r="I2" s="414"/>
      <c r="J2" s="1048"/>
      <c r="K2" s="1048"/>
      <c r="L2" s="1048"/>
      <c r="M2" s="1048"/>
      <c r="N2" s="416"/>
    </row>
    <row r="3" spans="1:194" ht="17.25" customHeight="1" x14ac:dyDescent="0.35">
      <c r="A3" s="417" t="s">
        <v>641</v>
      </c>
      <c r="B3" s="418"/>
      <c r="C3" s="418"/>
      <c r="D3" s="418"/>
      <c r="E3" s="418"/>
      <c r="F3" s="418"/>
      <c r="G3" s="419"/>
      <c r="H3" s="419"/>
      <c r="I3" s="420"/>
      <c r="J3" s="420"/>
      <c r="K3" s="420"/>
      <c r="L3" s="420"/>
      <c r="M3" s="420"/>
      <c r="N3" s="421"/>
    </row>
    <row r="4" spans="1:194" ht="19.5" x14ac:dyDescent="0.35">
      <c r="A4" s="422" t="s">
        <v>430</v>
      </c>
      <c r="B4" s="418"/>
      <c r="C4" s="418"/>
      <c r="D4" s="418"/>
      <c r="E4" s="418"/>
      <c r="F4" s="418"/>
      <c r="G4" s="419"/>
      <c r="H4" s="419"/>
      <c r="I4" s="420"/>
      <c r="J4" s="420"/>
      <c r="K4" s="420"/>
      <c r="L4" s="420"/>
      <c r="M4" s="420"/>
      <c r="N4" s="421"/>
    </row>
    <row r="5" spans="1:194" ht="0.75" customHeight="1" thickBot="1" x14ac:dyDescent="0.35">
      <c r="A5" s="423"/>
      <c r="B5" s="418"/>
      <c r="C5" s="418"/>
      <c r="D5" s="418"/>
      <c r="E5" s="418"/>
      <c r="F5" s="418"/>
      <c r="G5" s="419"/>
      <c r="H5" s="419"/>
      <c r="I5" s="420"/>
      <c r="J5" s="420"/>
      <c r="K5" s="420"/>
      <c r="L5" s="420"/>
      <c r="M5" s="420"/>
      <c r="N5" s="416" t="s">
        <v>387</v>
      </c>
    </row>
    <row r="6" spans="1:194" ht="15.75" x14ac:dyDescent="0.25">
      <c r="A6" s="424" t="s">
        <v>172</v>
      </c>
      <c r="B6" s="1049" t="s">
        <v>431</v>
      </c>
      <c r="C6" s="1050"/>
      <c r="D6" s="1050"/>
      <c r="E6" s="1050"/>
      <c r="F6" s="1050"/>
      <c r="G6" s="1051"/>
      <c r="H6" s="425"/>
      <c r="I6" s="1049" t="s">
        <v>432</v>
      </c>
      <c r="J6" s="1050"/>
      <c r="K6" s="1050"/>
      <c r="L6" s="1050"/>
      <c r="M6" s="1050"/>
      <c r="N6" s="1051"/>
    </row>
    <row r="7" spans="1:194" x14ac:dyDescent="0.2">
      <c r="A7" s="426"/>
      <c r="B7" s="427" t="s">
        <v>433</v>
      </c>
      <c r="C7" s="428" t="s">
        <v>401</v>
      </c>
      <c r="D7" s="428" t="s">
        <v>455</v>
      </c>
      <c r="E7" s="428" t="s">
        <v>434</v>
      </c>
      <c r="F7" s="428" t="s">
        <v>577</v>
      </c>
      <c r="G7" s="429" t="s">
        <v>642</v>
      </c>
      <c r="H7" s="430"/>
      <c r="I7" s="427" t="s">
        <v>433</v>
      </c>
      <c r="J7" s="428" t="s">
        <v>401</v>
      </c>
      <c r="K7" s="428" t="s">
        <v>464</v>
      </c>
      <c r="L7" s="428" t="s">
        <v>124</v>
      </c>
      <c r="M7" s="428" t="s">
        <v>456</v>
      </c>
      <c r="N7" s="429" t="s">
        <v>643</v>
      </c>
    </row>
    <row r="8" spans="1:194" ht="13.5" thickBot="1" x14ac:dyDescent="0.25">
      <c r="A8" s="431"/>
      <c r="B8" s="432" t="s">
        <v>435</v>
      </c>
      <c r="C8" s="433" t="s">
        <v>435</v>
      </c>
      <c r="D8" s="433" t="s">
        <v>435</v>
      </c>
      <c r="E8" s="433" t="s">
        <v>436</v>
      </c>
      <c r="F8" s="433"/>
      <c r="G8" s="434" t="s">
        <v>437</v>
      </c>
      <c r="H8" s="435"/>
      <c r="I8" s="510" t="s">
        <v>438</v>
      </c>
      <c r="J8" s="511" t="s">
        <v>407</v>
      </c>
      <c r="K8" s="511" t="s">
        <v>403</v>
      </c>
      <c r="L8" s="511"/>
      <c r="M8" s="511"/>
      <c r="N8" s="512" t="s">
        <v>439</v>
      </c>
    </row>
    <row r="9" spans="1:194" x14ac:dyDescent="0.2">
      <c r="A9" s="513" t="s">
        <v>457</v>
      </c>
      <c r="B9" s="436">
        <v>2900000</v>
      </c>
      <c r="C9" s="437"/>
      <c r="D9" s="438"/>
      <c r="E9" s="437"/>
      <c r="F9" s="437"/>
      <c r="G9" s="439">
        <f>SUM(B9:F9)</f>
        <v>2900000</v>
      </c>
      <c r="H9" s="440"/>
      <c r="I9" s="441"/>
      <c r="J9" s="437">
        <v>359410</v>
      </c>
      <c r="K9" s="442"/>
      <c r="L9" s="437"/>
      <c r="M9" s="437"/>
      <c r="N9" s="443">
        <f t="shared" ref="N9:N51" si="0">SUM(I9:M9)</f>
        <v>359410</v>
      </c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4"/>
      <c r="AO9" s="444"/>
      <c r="AP9" s="444"/>
      <c r="AQ9" s="444"/>
      <c r="AR9" s="444"/>
      <c r="AS9" s="444"/>
      <c r="AT9" s="444"/>
      <c r="AU9" s="444"/>
      <c r="AV9" s="444"/>
      <c r="AW9" s="444"/>
      <c r="AX9" s="444"/>
      <c r="AY9" s="444"/>
      <c r="AZ9" s="444"/>
      <c r="BA9" s="444"/>
      <c r="BB9" s="444"/>
      <c r="BC9" s="444"/>
      <c r="BD9" s="444"/>
      <c r="BE9" s="444"/>
      <c r="BF9" s="444"/>
      <c r="BG9" s="444"/>
      <c r="BH9" s="444"/>
      <c r="BI9" s="444"/>
      <c r="BJ9" s="444"/>
      <c r="BK9" s="444"/>
      <c r="BL9" s="444"/>
      <c r="BM9" s="444"/>
      <c r="BN9" s="444"/>
      <c r="BO9" s="444"/>
      <c r="BP9" s="444"/>
      <c r="BQ9" s="444"/>
      <c r="BR9" s="444"/>
      <c r="BS9" s="444"/>
      <c r="BT9" s="444"/>
      <c r="BU9" s="444"/>
      <c r="BV9" s="444"/>
      <c r="BW9" s="444"/>
      <c r="BX9" s="444"/>
      <c r="BY9" s="444"/>
      <c r="BZ9" s="444"/>
      <c r="CA9" s="444"/>
      <c r="CB9" s="444"/>
      <c r="CC9" s="444"/>
      <c r="CD9" s="444"/>
      <c r="CE9" s="444"/>
      <c r="CF9" s="444"/>
      <c r="CG9" s="444"/>
      <c r="CH9" s="444"/>
      <c r="CI9" s="444"/>
      <c r="CJ9" s="444"/>
      <c r="CK9" s="444"/>
      <c r="CL9" s="444"/>
      <c r="CM9" s="444"/>
      <c r="CN9" s="444"/>
      <c r="CO9" s="444"/>
      <c r="CP9" s="444"/>
      <c r="CQ9" s="444"/>
      <c r="CR9" s="444"/>
      <c r="CS9" s="444"/>
      <c r="CT9" s="444"/>
      <c r="CU9" s="444"/>
      <c r="CV9" s="444"/>
      <c r="CW9" s="444"/>
      <c r="CX9" s="444"/>
      <c r="CY9" s="444"/>
      <c r="CZ9" s="444"/>
      <c r="DA9" s="444"/>
      <c r="DB9" s="444"/>
      <c r="DC9" s="444"/>
      <c r="DD9" s="444"/>
      <c r="DE9" s="444"/>
      <c r="DF9" s="444"/>
      <c r="DG9" s="444"/>
      <c r="DH9" s="444"/>
      <c r="DI9" s="444"/>
      <c r="DJ9" s="444"/>
      <c r="DK9" s="444"/>
      <c r="DL9" s="444"/>
      <c r="DM9" s="444"/>
      <c r="DN9" s="444"/>
      <c r="DO9" s="444"/>
      <c r="DP9" s="444"/>
      <c r="DQ9" s="444"/>
      <c r="DR9" s="444"/>
      <c r="DS9" s="444"/>
      <c r="DT9" s="444"/>
      <c r="DU9" s="444"/>
      <c r="DV9" s="444"/>
      <c r="DW9" s="444"/>
      <c r="DX9" s="444"/>
      <c r="DY9" s="444"/>
      <c r="DZ9" s="444"/>
      <c r="EA9" s="444"/>
      <c r="EB9" s="444"/>
      <c r="EC9" s="444"/>
      <c r="ED9" s="444"/>
      <c r="EE9" s="444"/>
      <c r="EF9" s="444"/>
      <c r="EG9" s="444"/>
      <c r="EH9" s="444"/>
      <c r="EI9" s="444"/>
      <c r="EJ9" s="444"/>
      <c r="EK9" s="444"/>
      <c r="EL9" s="444"/>
      <c r="EM9" s="444"/>
      <c r="EN9" s="444"/>
      <c r="EO9" s="444"/>
      <c r="EP9" s="444"/>
      <c r="EQ9" s="444"/>
      <c r="ER9" s="444"/>
      <c r="ES9" s="444"/>
      <c r="ET9" s="444"/>
      <c r="EU9" s="444"/>
      <c r="EV9" s="444"/>
      <c r="EW9" s="444"/>
      <c r="EX9" s="444"/>
      <c r="EY9" s="444"/>
      <c r="EZ9" s="444"/>
      <c r="FA9" s="444"/>
      <c r="FB9" s="444"/>
      <c r="FC9" s="444"/>
      <c r="FD9" s="444"/>
      <c r="FE9" s="444"/>
      <c r="FF9" s="444"/>
      <c r="FG9" s="444"/>
      <c r="FH9" s="444"/>
      <c r="FI9" s="444"/>
      <c r="FJ9" s="444"/>
      <c r="FK9" s="444"/>
      <c r="FL9" s="444"/>
      <c r="FM9" s="444"/>
      <c r="FN9" s="444"/>
      <c r="FO9" s="444"/>
      <c r="FP9" s="444"/>
      <c r="FQ9" s="444"/>
      <c r="FR9" s="444"/>
      <c r="FS9" s="444"/>
      <c r="FT9" s="444"/>
      <c r="FU9" s="444"/>
      <c r="FV9" s="444"/>
      <c r="FW9" s="444"/>
      <c r="FX9" s="444"/>
      <c r="FY9" s="444"/>
      <c r="FZ9" s="444"/>
      <c r="GA9" s="444"/>
      <c r="GB9" s="444"/>
      <c r="GC9" s="444"/>
      <c r="GD9" s="444"/>
      <c r="GE9" s="444"/>
      <c r="GF9" s="444"/>
      <c r="GG9" s="444"/>
      <c r="GH9" s="444"/>
      <c r="GI9" s="444"/>
      <c r="GJ9" s="444"/>
      <c r="GK9" s="444"/>
      <c r="GL9" s="444"/>
    </row>
    <row r="10" spans="1:194" x14ac:dyDescent="0.2">
      <c r="A10" s="451" t="s">
        <v>567</v>
      </c>
      <c r="B10" s="445"/>
      <c r="C10" s="446"/>
      <c r="D10" s="446"/>
      <c r="E10" s="446"/>
      <c r="F10" s="446"/>
      <c r="G10" s="447">
        <f>SUM(B10:F10)</f>
        <v>0</v>
      </c>
      <c r="H10" s="448"/>
      <c r="I10" s="449">
        <v>13447475</v>
      </c>
      <c r="J10" s="446"/>
      <c r="K10" s="446"/>
      <c r="L10" s="446"/>
      <c r="M10" s="446"/>
      <c r="N10" s="450">
        <f t="shared" si="0"/>
        <v>13447475</v>
      </c>
    </row>
    <row r="11" spans="1:194" x14ac:dyDescent="0.2">
      <c r="A11" s="451" t="s">
        <v>580</v>
      </c>
      <c r="B11" s="445"/>
      <c r="C11" s="446"/>
      <c r="D11" s="446"/>
      <c r="E11" s="446"/>
      <c r="F11" s="446"/>
      <c r="G11" s="447">
        <f>SUM(B11:F11)</f>
        <v>0</v>
      </c>
      <c r="H11" s="448"/>
      <c r="I11" s="449">
        <v>835000</v>
      </c>
      <c r="J11" s="446"/>
      <c r="K11" s="446"/>
      <c r="L11" s="446"/>
      <c r="M11" s="446"/>
      <c r="N11" s="450">
        <f t="shared" si="0"/>
        <v>835000</v>
      </c>
    </row>
    <row r="12" spans="1:194" x14ac:dyDescent="0.2">
      <c r="A12" s="451" t="s">
        <v>581</v>
      </c>
      <c r="B12" s="445"/>
      <c r="C12" s="446">
        <f>15690532-15690532</f>
        <v>0</v>
      </c>
      <c r="D12" s="446"/>
      <c r="E12" s="446"/>
      <c r="F12" s="446"/>
      <c r="G12" s="447">
        <f>SUM(B12:F12)</f>
        <v>0</v>
      </c>
      <c r="H12" s="452"/>
      <c r="I12" s="449">
        <v>50000</v>
      </c>
      <c r="J12" s="446">
        <v>2345001</v>
      </c>
      <c r="K12" s="446"/>
      <c r="L12" s="446"/>
      <c r="M12" s="446"/>
      <c r="N12" s="450">
        <f t="shared" si="0"/>
        <v>2395001</v>
      </c>
    </row>
    <row r="13" spans="1:194" x14ac:dyDescent="0.2">
      <c r="A13" s="451" t="s">
        <v>458</v>
      </c>
      <c r="B13" s="445"/>
      <c r="C13" s="453"/>
      <c r="D13" s="446"/>
      <c r="E13" s="446"/>
      <c r="F13" s="446"/>
      <c r="G13" s="447">
        <f t="shared" ref="G13:G19" si="1">SUM(B13:F13)</f>
        <v>0</v>
      </c>
      <c r="H13" s="454" t="e">
        <f>SUM(#REF!)</f>
        <v>#REF!</v>
      </c>
      <c r="I13" s="449"/>
      <c r="J13" s="446"/>
      <c r="K13" s="446"/>
      <c r="L13" s="446"/>
      <c r="M13" s="446"/>
      <c r="N13" s="450">
        <f t="shared" si="0"/>
        <v>0</v>
      </c>
    </row>
    <row r="14" spans="1:194" x14ac:dyDescent="0.2">
      <c r="A14" s="455" t="s">
        <v>568</v>
      </c>
      <c r="B14" s="445">
        <v>19342000</v>
      </c>
      <c r="C14" s="456"/>
      <c r="D14" s="446"/>
      <c r="E14" s="456"/>
      <c r="F14" s="456"/>
      <c r="G14" s="450">
        <f t="shared" si="1"/>
        <v>19342000</v>
      </c>
      <c r="H14" s="448"/>
      <c r="I14" s="449">
        <v>16099000</v>
      </c>
      <c r="J14" s="446"/>
      <c r="K14" s="456"/>
      <c r="L14" s="456"/>
      <c r="M14" s="456"/>
      <c r="N14" s="450">
        <f t="shared" si="0"/>
        <v>16099000</v>
      </c>
    </row>
    <row r="15" spans="1:194" x14ac:dyDescent="0.2">
      <c r="A15" s="451" t="s">
        <v>440</v>
      </c>
      <c r="B15" s="445"/>
      <c r="C15" s="446"/>
      <c r="D15" s="446"/>
      <c r="E15" s="446"/>
      <c r="F15" s="446"/>
      <c r="G15" s="447">
        <f t="shared" si="1"/>
        <v>0</v>
      </c>
      <c r="H15" s="448"/>
      <c r="I15" s="449">
        <v>12484218</v>
      </c>
      <c r="J15" s="446">
        <v>1881000</v>
      </c>
      <c r="K15" s="446"/>
      <c r="L15" s="446"/>
      <c r="M15" s="446"/>
      <c r="N15" s="450">
        <f t="shared" si="0"/>
        <v>14365218</v>
      </c>
    </row>
    <row r="16" spans="1:194" x14ac:dyDescent="0.2">
      <c r="A16" s="451" t="s">
        <v>441</v>
      </c>
      <c r="B16" s="445">
        <v>481000</v>
      </c>
      <c r="C16" s="446"/>
      <c r="D16" s="446"/>
      <c r="E16" s="446"/>
      <c r="F16" s="446"/>
      <c r="G16" s="447">
        <f t="shared" si="1"/>
        <v>481000</v>
      </c>
      <c r="H16" s="448"/>
      <c r="I16" s="449">
        <v>2456000</v>
      </c>
      <c r="J16" s="569"/>
      <c r="K16" s="446"/>
      <c r="L16" s="446"/>
      <c r="M16" s="446"/>
      <c r="N16" s="450">
        <f t="shared" si="0"/>
        <v>2456000</v>
      </c>
    </row>
    <row r="17" spans="1:14" x14ac:dyDescent="0.2">
      <c r="A17" s="451" t="s">
        <v>442</v>
      </c>
      <c r="B17" s="445"/>
      <c r="C17" s="446"/>
      <c r="D17" s="446"/>
      <c r="E17" s="446"/>
      <c r="F17" s="446"/>
      <c r="G17" s="447">
        <f t="shared" si="1"/>
        <v>0</v>
      </c>
      <c r="H17" s="448"/>
      <c r="I17" s="449"/>
      <c r="J17" s="446"/>
      <c r="K17" s="446"/>
      <c r="L17" s="446"/>
      <c r="M17" s="446"/>
      <c r="N17" s="450">
        <f t="shared" si="0"/>
        <v>0</v>
      </c>
    </row>
    <row r="18" spans="1:14" x14ac:dyDescent="0.2">
      <c r="A18" s="451" t="s">
        <v>443</v>
      </c>
      <c r="B18" s="457">
        <f>63500</f>
        <v>63500</v>
      </c>
      <c r="C18" s="456"/>
      <c r="D18" s="456"/>
      <c r="E18" s="456"/>
      <c r="F18" s="456"/>
      <c r="G18" s="450">
        <f t="shared" si="1"/>
        <v>63500</v>
      </c>
      <c r="H18" s="458"/>
      <c r="I18" s="917">
        <f>34373231+1095900+213701-198000-34749</f>
        <v>35450083</v>
      </c>
      <c r="J18" s="446"/>
      <c r="K18" s="456"/>
      <c r="L18" s="456"/>
      <c r="M18" s="456"/>
      <c r="N18" s="450">
        <f t="shared" si="0"/>
        <v>35450083</v>
      </c>
    </row>
    <row r="19" spans="1:14" x14ac:dyDescent="0.2">
      <c r="A19" s="455" t="s">
        <v>444</v>
      </c>
      <c r="B19" s="457"/>
      <c r="C19" s="456"/>
      <c r="D19" s="456"/>
      <c r="E19" s="456"/>
      <c r="F19" s="456"/>
      <c r="G19" s="450">
        <f t="shared" si="1"/>
        <v>0</v>
      </c>
      <c r="H19" s="458"/>
      <c r="I19" s="449">
        <v>17856849</v>
      </c>
      <c r="J19" s="456"/>
      <c r="K19" s="456"/>
      <c r="L19" s="456"/>
      <c r="M19" s="456"/>
      <c r="N19" s="450">
        <f t="shared" si="0"/>
        <v>17856849</v>
      </c>
    </row>
    <row r="20" spans="1:14" x14ac:dyDescent="0.2">
      <c r="A20" s="451" t="s">
        <v>445</v>
      </c>
      <c r="B20" s="445">
        <f>SUM(B21:B23)</f>
        <v>0</v>
      </c>
      <c r="C20" s="446">
        <f>SUM(C21:C23)</f>
        <v>0</v>
      </c>
      <c r="D20" s="446">
        <f>SUM(D21:D23)</f>
        <v>345658000</v>
      </c>
      <c r="E20" s="446"/>
      <c r="F20" s="446"/>
      <c r="G20" s="450">
        <f>SUM(G21:G23)</f>
        <v>345658000</v>
      </c>
      <c r="H20" s="458"/>
      <c r="I20" s="459"/>
      <c r="J20" s="456"/>
      <c r="K20" s="456">
        <f>SUM(K21:K23)</f>
        <v>0</v>
      </c>
      <c r="L20" s="456"/>
      <c r="M20" s="456"/>
      <c r="N20" s="450">
        <f t="shared" si="0"/>
        <v>0</v>
      </c>
    </row>
    <row r="21" spans="1:14" x14ac:dyDescent="0.2">
      <c r="A21" s="460" t="s">
        <v>459</v>
      </c>
      <c r="B21" s="445"/>
      <c r="C21" s="456"/>
      <c r="D21" s="445">
        <f>308658000+3500000</f>
        <v>312158000</v>
      </c>
      <c r="E21" s="456"/>
      <c r="F21" s="456"/>
      <c r="G21" s="461">
        <f t="shared" ref="G21:G27" si="2">SUM(B21:F21)</f>
        <v>312158000</v>
      </c>
      <c r="H21" s="458"/>
      <c r="I21" s="459"/>
      <c r="J21" s="456"/>
      <c r="K21" s="456"/>
      <c r="L21" s="456"/>
      <c r="M21" s="456"/>
      <c r="N21" s="462">
        <f t="shared" si="0"/>
        <v>0</v>
      </c>
    </row>
    <row r="22" spans="1:14" x14ac:dyDescent="0.2">
      <c r="A22" s="460" t="s">
        <v>446</v>
      </c>
      <c r="B22" s="445"/>
      <c r="C22" s="456"/>
      <c r="D22" s="445">
        <v>28000000</v>
      </c>
      <c r="E22" s="456"/>
      <c r="F22" s="456"/>
      <c r="G22" s="461">
        <f t="shared" si="2"/>
        <v>28000000</v>
      </c>
      <c r="H22" s="458"/>
      <c r="I22" s="459"/>
      <c r="J22" s="456"/>
      <c r="K22" s="456"/>
      <c r="L22" s="456"/>
      <c r="M22" s="456"/>
      <c r="N22" s="462">
        <f t="shared" si="0"/>
        <v>0</v>
      </c>
    </row>
    <row r="23" spans="1:14" x14ac:dyDescent="0.2">
      <c r="A23" s="460" t="s">
        <v>569</v>
      </c>
      <c r="B23" s="445"/>
      <c r="C23" s="456"/>
      <c r="D23" s="445">
        <v>5500000</v>
      </c>
      <c r="E23" s="456"/>
      <c r="F23" s="456"/>
      <c r="G23" s="461">
        <f t="shared" si="2"/>
        <v>5500000</v>
      </c>
      <c r="H23" s="458"/>
      <c r="I23" s="459"/>
      <c r="J23" s="456"/>
      <c r="K23" s="456"/>
      <c r="L23" s="456"/>
      <c r="M23" s="456"/>
      <c r="N23" s="462">
        <f t="shared" si="0"/>
        <v>0</v>
      </c>
    </row>
    <row r="24" spans="1:14" x14ac:dyDescent="0.2">
      <c r="A24" s="648" t="s">
        <v>1</v>
      </c>
      <c r="B24" s="457"/>
      <c r="C24" s="456"/>
      <c r="D24" s="456"/>
      <c r="E24" s="456"/>
      <c r="F24" s="456"/>
      <c r="G24" s="461">
        <f t="shared" si="2"/>
        <v>0</v>
      </c>
      <c r="H24" s="458"/>
      <c r="I24" s="449">
        <v>34200000</v>
      </c>
      <c r="J24" s="569">
        <f>1120000+302400</f>
        <v>1422400</v>
      </c>
      <c r="K24" s="456"/>
      <c r="L24" s="456"/>
      <c r="M24" s="456"/>
      <c r="N24" s="450">
        <f t="shared" si="0"/>
        <v>35622400</v>
      </c>
    </row>
    <row r="25" spans="1:14" x14ac:dyDescent="0.2">
      <c r="A25" s="451" t="s">
        <v>468</v>
      </c>
      <c r="B25" s="457"/>
      <c r="C25" s="456"/>
      <c r="D25" s="456"/>
      <c r="E25" s="456"/>
      <c r="F25" s="456"/>
      <c r="G25" s="450">
        <f t="shared" si="2"/>
        <v>0</v>
      </c>
      <c r="H25" s="458"/>
      <c r="I25" s="449"/>
      <c r="J25" s="456"/>
      <c r="K25" s="456"/>
      <c r="L25" s="456"/>
      <c r="M25" s="456"/>
      <c r="N25" s="450">
        <f t="shared" si="0"/>
        <v>0</v>
      </c>
    </row>
    <row r="26" spans="1:14" x14ac:dyDescent="0.2">
      <c r="A26" s="451" t="s">
        <v>447</v>
      </c>
      <c r="B26" s="457"/>
      <c r="C26" s="456"/>
      <c r="D26" s="456"/>
      <c r="E26" s="456"/>
      <c r="F26" s="456"/>
      <c r="G26" s="450">
        <f t="shared" si="2"/>
        <v>0</v>
      </c>
      <c r="H26" s="458"/>
      <c r="I26" s="449">
        <v>34163000</v>
      </c>
      <c r="J26" s="456">
        <v>1500000</v>
      </c>
      <c r="K26" s="456"/>
      <c r="L26" s="456"/>
      <c r="M26" s="456"/>
      <c r="N26" s="450">
        <f t="shared" si="0"/>
        <v>35663000</v>
      </c>
    </row>
    <row r="27" spans="1:14" ht="13.5" customHeight="1" x14ac:dyDescent="0.2">
      <c r="A27" s="514" t="s">
        <v>448</v>
      </c>
      <c r="B27" s="463">
        <f>4320000+1400000+378000+60000+300000</f>
        <v>6458000</v>
      </c>
      <c r="C27" s="464"/>
      <c r="D27" s="464">
        <v>7000000</v>
      </c>
      <c r="E27" s="465"/>
      <c r="F27" s="464"/>
      <c r="G27" s="466">
        <f t="shared" si="2"/>
        <v>13458000</v>
      </c>
      <c r="H27" s="458"/>
      <c r="I27" s="919">
        <f>16116992+2940000+50473064+52959801+61811+78740+37949+50000+13500</f>
        <v>122731857</v>
      </c>
      <c r="J27" s="984">
        <f>3139585+216535+58465+360000+97200</f>
        <v>3871785</v>
      </c>
      <c r="K27" s="464"/>
      <c r="L27" s="465"/>
      <c r="M27" s="465"/>
      <c r="N27" s="466">
        <f t="shared" si="0"/>
        <v>126603642</v>
      </c>
    </row>
    <row r="28" spans="1:14" x14ac:dyDescent="0.2">
      <c r="A28" s="451" t="s">
        <v>460</v>
      </c>
      <c r="B28" s="445">
        <f t="shared" ref="B28:G28" si="3">SUM(B29:B31)</f>
        <v>1470041286</v>
      </c>
      <c r="C28" s="445">
        <f t="shared" si="3"/>
        <v>0</v>
      </c>
      <c r="D28" s="445">
        <f t="shared" si="3"/>
        <v>0</v>
      </c>
      <c r="E28" s="445">
        <f t="shared" si="3"/>
        <v>0</v>
      </c>
      <c r="F28" s="445">
        <f t="shared" si="3"/>
        <v>0</v>
      </c>
      <c r="G28" s="450">
        <f t="shared" si="3"/>
        <v>1470041286</v>
      </c>
      <c r="H28" s="467"/>
      <c r="I28" s="459">
        <f>SUM(I29:I30)</f>
        <v>42137410</v>
      </c>
      <c r="J28" s="459">
        <f>SUM(J29:J30)</f>
        <v>0</v>
      </c>
      <c r="K28" s="459">
        <f>SUM(K29:K30)</f>
        <v>0</v>
      </c>
      <c r="L28" s="459">
        <f>SUM(L29:L30)</f>
        <v>0</v>
      </c>
      <c r="M28" s="459">
        <f>SUM(M29:M30)</f>
        <v>0</v>
      </c>
      <c r="N28" s="450">
        <f t="shared" si="0"/>
        <v>42137410</v>
      </c>
    </row>
    <row r="29" spans="1:14" x14ac:dyDescent="0.2">
      <c r="A29" s="460" t="s">
        <v>461</v>
      </c>
      <c r="B29" s="445">
        <f>227855923+224734134+126991000+65060600+119410000+192410145+62092600+16122040+12622000</f>
        <v>1047298442</v>
      </c>
      <c r="C29" s="446"/>
      <c r="D29" s="456"/>
      <c r="E29" s="456"/>
      <c r="F29" s="456"/>
      <c r="G29" s="461">
        <f t="shared" ref="G29:G51" si="4">SUM(B29:F29)</f>
        <v>1047298442</v>
      </c>
      <c r="H29" s="458"/>
      <c r="I29" s="917">
        <v>3869819</v>
      </c>
      <c r="J29" s="456"/>
      <c r="K29" s="456"/>
      <c r="L29" s="456"/>
      <c r="M29" s="456"/>
      <c r="N29" s="462">
        <f t="shared" si="0"/>
        <v>3869819</v>
      </c>
    </row>
    <row r="30" spans="1:14" x14ac:dyDescent="0.2">
      <c r="A30" s="460" t="s">
        <v>462</v>
      </c>
      <c r="B30" s="918">
        <f>16254886+63796813+190231327+125887110+24250000+1309600+1013108</f>
        <v>422742844</v>
      </c>
      <c r="C30" s="446"/>
      <c r="D30" s="446"/>
      <c r="E30" s="456"/>
      <c r="F30" s="456"/>
      <c r="G30" s="461">
        <f t="shared" si="4"/>
        <v>422742844</v>
      </c>
      <c r="H30" s="458"/>
      <c r="I30" s="449">
        <v>38267591</v>
      </c>
      <c r="J30" s="456"/>
      <c r="K30" s="456"/>
      <c r="L30" s="456"/>
      <c r="M30" s="456"/>
      <c r="N30" s="450">
        <f t="shared" si="0"/>
        <v>38267591</v>
      </c>
    </row>
    <row r="31" spans="1:14" x14ac:dyDescent="0.2">
      <c r="A31" s="460" t="s">
        <v>614</v>
      </c>
      <c r="B31" s="568"/>
      <c r="C31" s="446"/>
      <c r="D31" s="446"/>
      <c r="E31" s="456"/>
      <c r="F31" s="456"/>
      <c r="G31" s="461">
        <f t="shared" si="4"/>
        <v>0</v>
      </c>
      <c r="H31" s="458"/>
      <c r="I31" s="449"/>
      <c r="J31" s="456"/>
      <c r="K31" s="456"/>
      <c r="L31" s="456"/>
      <c r="M31" s="456"/>
      <c r="N31" s="450"/>
    </row>
    <row r="32" spans="1:14" x14ac:dyDescent="0.2">
      <c r="A32" s="451" t="s">
        <v>449</v>
      </c>
      <c r="B32" s="445">
        <v>30000</v>
      </c>
      <c r="C32" s="446"/>
      <c r="D32" s="446"/>
      <c r="E32" s="446">
        <v>193478462</v>
      </c>
      <c r="F32" s="446"/>
      <c r="G32" s="447">
        <f t="shared" si="4"/>
        <v>193508462</v>
      </c>
      <c r="H32" s="448"/>
      <c r="I32" s="449">
        <f>3285067+156511+9000000</f>
        <v>12441578</v>
      </c>
      <c r="J32" s="446"/>
      <c r="K32" s="446"/>
      <c r="L32" s="446">
        <f>104042704+4444000</f>
        <v>108486704</v>
      </c>
      <c r="M32" s="569">
        <v>65427478</v>
      </c>
      <c r="N32" s="450">
        <f t="shared" si="0"/>
        <v>186355760</v>
      </c>
    </row>
    <row r="33" spans="1:14" x14ac:dyDescent="0.2">
      <c r="A33" s="451" t="s">
        <v>463</v>
      </c>
      <c r="B33" s="457"/>
      <c r="C33" s="456"/>
      <c r="D33" s="456"/>
      <c r="E33" s="456"/>
      <c r="F33" s="569">
        <f>569119704+25384054</f>
        <v>594503758</v>
      </c>
      <c r="G33" s="450">
        <f t="shared" si="4"/>
        <v>594503758</v>
      </c>
      <c r="H33" s="458"/>
      <c r="I33" s="449"/>
      <c r="J33" s="446"/>
      <c r="K33" s="569">
        <v>1330812597</v>
      </c>
      <c r="L33" s="446"/>
      <c r="M33" s="446"/>
      <c r="N33" s="450">
        <f t="shared" si="0"/>
        <v>1330812597</v>
      </c>
    </row>
    <row r="34" spans="1:14" x14ac:dyDescent="0.2">
      <c r="A34" s="451" t="s">
        <v>450</v>
      </c>
      <c r="B34" s="445"/>
      <c r="C34" s="446"/>
      <c r="D34" s="446"/>
      <c r="E34" s="446"/>
      <c r="F34" s="446"/>
      <c r="G34" s="450">
        <f t="shared" si="4"/>
        <v>0</v>
      </c>
      <c r="H34" s="458"/>
      <c r="I34" s="449">
        <v>577000</v>
      </c>
      <c r="J34" s="446"/>
      <c r="K34" s="446"/>
      <c r="L34" s="446"/>
      <c r="M34" s="446"/>
      <c r="N34" s="450">
        <f t="shared" si="0"/>
        <v>577000</v>
      </c>
    </row>
    <row r="35" spans="1:14" x14ac:dyDescent="0.2">
      <c r="A35" s="514" t="s">
        <v>451</v>
      </c>
      <c r="B35" s="463"/>
      <c r="C35" s="464">
        <v>3779393</v>
      </c>
      <c r="D35" s="464"/>
      <c r="E35" s="464"/>
      <c r="F35" s="464"/>
      <c r="G35" s="450">
        <f t="shared" si="4"/>
        <v>3779393</v>
      </c>
      <c r="H35" s="458"/>
      <c r="I35" s="468">
        <f>1182990+207615+350000+1874803+200000+655000+14128085</f>
        <v>18598493</v>
      </c>
      <c r="J35" s="984">
        <f>33894811+20930495</f>
        <v>54825306</v>
      </c>
      <c r="K35" s="464"/>
      <c r="L35" s="464"/>
      <c r="M35" s="464"/>
      <c r="N35" s="450">
        <f t="shared" si="0"/>
        <v>73423799</v>
      </c>
    </row>
    <row r="36" spans="1:14" x14ac:dyDescent="0.2">
      <c r="A36" s="514" t="s">
        <v>600</v>
      </c>
      <c r="B36" s="463"/>
      <c r="C36" s="464"/>
      <c r="D36" s="464"/>
      <c r="E36" s="464"/>
      <c r="F36" s="464"/>
      <c r="G36" s="450">
        <f t="shared" si="4"/>
        <v>0</v>
      </c>
      <c r="H36" s="458"/>
      <c r="I36" s="468"/>
      <c r="J36" s="464"/>
      <c r="K36" s="464"/>
      <c r="L36" s="464"/>
      <c r="M36" s="464"/>
      <c r="N36" s="450">
        <f t="shared" si="0"/>
        <v>0</v>
      </c>
    </row>
    <row r="37" spans="1:14" x14ac:dyDescent="0.2">
      <c r="A37" s="514" t="s">
        <v>465</v>
      </c>
      <c r="B37" s="463"/>
      <c r="C37" s="464"/>
      <c r="D37" s="464"/>
      <c r="E37" s="464"/>
      <c r="F37" s="464"/>
      <c r="G37" s="450">
        <f t="shared" si="4"/>
        <v>0</v>
      </c>
      <c r="H37" s="458"/>
      <c r="I37" s="468">
        <f>6187000+118952+153938</f>
        <v>6459890</v>
      </c>
      <c r="J37" s="464">
        <v>377190</v>
      </c>
      <c r="K37" s="464"/>
      <c r="L37" s="464"/>
      <c r="M37" s="464"/>
      <c r="N37" s="450">
        <f t="shared" si="0"/>
        <v>6837080</v>
      </c>
    </row>
    <row r="38" spans="1:14" x14ac:dyDescent="0.2">
      <c r="A38" s="514" t="s">
        <v>466</v>
      </c>
      <c r="B38" s="463">
        <v>947000</v>
      </c>
      <c r="C38" s="464"/>
      <c r="D38" s="464"/>
      <c r="E38" s="464"/>
      <c r="F38" s="464"/>
      <c r="G38" s="450">
        <f t="shared" si="4"/>
        <v>947000</v>
      </c>
      <c r="H38" s="458"/>
      <c r="I38" s="468">
        <v>17042731</v>
      </c>
      <c r="J38" s="464">
        <v>2338070</v>
      </c>
      <c r="K38" s="464"/>
      <c r="L38" s="464"/>
      <c r="M38" s="464"/>
      <c r="N38" s="450">
        <f t="shared" si="0"/>
        <v>19380801</v>
      </c>
    </row>
    <row r="39" spans="1:14" x14ac:dyDescent="0.2">
      <c r="A39" s="514" t="s">
        <v>571</v>
      </c>
      <c r="B39" s="463">
        <v>600000</v>
      </c>
      <c r="C39" s="464"/>
      <c r="D39" s="464"/>
      <c r="E39" s="464"/>
      <c r="F39" s="464"/>
      <c r="G39" s="450">
        <f t="shared" si="4"/>
        <v>600000</v>
      </c>
      <c r="H39" s="458"/>
      <c r="I39" s="983">
        <f>73660000+660000-660000</f>
        <v>73660000</v>
      </c>
      <c r="J39" s="464"/>
      <c r="K39" s="464"/>
      <c r="L39" s="464"/>
      <c r="M39" s="464"/>
      <c r="N39" s="450">
        <f t="shared" si="0"/>
        <v>73660000</v>
      </c>
    </row>
    <row r="40" spans="1:14" x14ac:dyDescent="0.2">
      <c r="A40" s="514" t="s">
        <v>615</v>
      </c>
      <c r="B40" s="463"/>
      <c r="C40" s="464"/>
      <c r="D40" s="464"/>
      <c r="E40" s="464"/>
      <c r="F40" s="464"/>
      <c r="G40" s="450">
        <f t="shared" si="4"/>
        <v>0</v>
      </c>
      <c r="H40" s="458"/>
      <c r="I40" s="468"/>
      <c r="J40" s="464"/>
      <c r="K40" s="464"/>
      <c r="L40" s="464"/>
      <c r="M40" s="464"/>
      <c r="N40" s="450">
        <f t="shared" si="0"/>
        <v>0</v>
      </c>
    </row>
    <row r="41" spans="1:14" x14ac:dyDescent="0.2">
      <c r="A41" s="514" t="s">
        <v>3</v>
      </c>
      <c r="B41" s="463"/>
      <c r="C41" s="464"/>
      <c r="D41" s="464"/>
      <c r="E41" s="464"/>
      <c r="F41" s="464"/>
      <c r="G41" s="450">
        <f t="shared" si="4"/>
        <v>0</v>
      </c>
      <c r="H41" s="458"/>
      <c r="I41" s="468">
        <v>3300000</v>
      </c>
      <c r="J41" s="464"/>
      <c r="K41" s="464"/>
      <c r="L41" s="464"/>
      <c r="M41" s="464"/>
      <c r="N41" s="450">
        <f t="shared" si="0"/>
        <v>3300000</v>
      </c>
    </row>
    <row r="42" spans="1:14" x14ac:dyDescent="0.2">
      <c r="A42" s="514" t="s">
        <v>616</v>
      </c>
      <c r="B42" s="463"/>
      <c r="C42" s="464"/>
      <c r="D42" s="464"/>
      <c r="E42" s="464"/>
      <c r="F42" s="464"/>
      <c r="G42" s="450">
        <f t="shared" si="4"/>
        <v>0</v>
      </c>
      <c r="H42" s="458"/>
      <c r="I42" s="468"/>
      <c r="J42" s="464"/>
      <c r="K42" s="464"/>
      <c r="L42" s="464"/>
      <c r="M42" s="464"/>
      <c r="N42" s="450">
        <f t="shared" si="0"/>
        <v>0</v>
      </c>
    </row>
    <row r="43" spans="1:14" x14ac:dyDescent="0.2">
      <c r="A43" s="451" t="s">
        <v>452</v>
      </c>
      <c r="B43" s="469">
        <v>1566000</v>
      </c>
      <c r="C43" s="464"/>
      <c r="D43" s="464"/>
      <c r="E43" s="464"/>
      <c r="F43" s="464"/>
      <c r="G43" s="450">
        <f t="shared" si="4"/>
        <v>1566000</v>
      </c>
      <c r="H43" s="458"/>
      <c r="I43" s="468">
        <f>22501218+397000+44100</f>
        <v>22942318</v>
      </c>
      <c r="J43" s="464">
        <v>65710721</v>
      </c>
      <c r="K43" s="470"/>
      <c r="L43" s="464"/>
      <c r="M43" s="464"/>
      <c r="N43" s="450">
        <f t="shared" si="0"/>
        <v>88653039</v>
      </c>
    </row>
    <row r="44" spans="1:14" x14ac:dyDescent="0.2">
      <c r="A44" s="515" t="s">
        <v>599</v>
      </c>
      <c r="B44" s="469"/>
      <c r="C44" s="464">
        <f>5866130+3796748</f>
        <v>9662878</v>
      </c>
      <c r="D44" s="464"/>
      <c r="E44" s="464"/>
      <c r="F44" s="464"/>
      <c r="G44" s="450">
        <f t="shared" si="4"/>
        <v>9662878</v>
      </c>
      <c r="H44" s="458"/>
      <c r="I44" s="468">
        <f>2854500+500965</f>
        <v>3355465</v>
      </c>
      <c r="J44" s="984">
        <f>218246101+144021480+2376540+60000+16200+1111793+36509260+1097083+296212+3150920+850748</f>
        <v>407736337</v>
      </c>
      <c r="K44" s="470"/>
      <c r="L44" s="464"/>
      <c r="M44" s="464"/>
      <c r="N44" s="450">
        <f t="shared" si="0"/>
        <v>411091802</v>
      </c>
    </row>
    <row r="45" spans="1:14" x14ac:dyDescent="0.2">
      <c r="A45" s="451" t="s">
        <v>453</v>
      </c>
      <c r="B45" s="469">
        <f>15340169+5162000</f>
        <v>20502169</v>
      </c>
      <c r="C45" s="464">
        <v>30332500</v>
      </c>
      <c r="D45" s="464"/>
      <c r="E45" s="464"/>
      <c r="F45" s="464"/>
      <c r="G45" s="450">
        <f t="shared" si="4"/>
        <v>50834669</v>
      </c>
      <c r="H45" s="458"/>
      <c r="I45" s="919">
        <f>52909601-37621053</f>
        <v>15288548</v>
      </c>
      <c r="J45" s="464">
        <f>762000+27010505+7292837</f>
        <v>35065342</v>
      </c>
      <c r="K45" s="464"/>
      <c r="L45" s="464"/>
      <c r="M45" s="464"/>
      <c r="N45" s="450">
        <f t="shared" si="0"/>
        <v>50353890</v>
      </c>
    </row>
    <row r="46" spans="1:14" x14ac:dyDescent="0.2">
      <c r="A46" s="451" t="s">
        <v>11</v>
      </c>
      <c r="B46" s="463"/>
      <c r="C46" s="464"/>
      <c r="D46" s="464"/>
      <c r="E46" s="464"/>
      <c r="F46" s="464"/>
      <c r="G46" s="450">
        <f t="shared" si="4"/>
        <v>0</v>
      </c>
      <c r="H46" s="458"/>
      <c r="I46" s="468"/>
      <c r="J46" s="464"/>
      <c r="K46" s="464"/>
      <c r="L46" s="464"/>
      <c r="M46" s="464"/>
      <c r="N46" s="450">
        <f t="shared" si="0"/>
        <v>0</v>
      </c>
    </row>
    <row r="47" spans="1:14" x14ac:dyDescent="0.2">
      <c r="A47" s="515" t="s">
        <v>602</v>
      </c>
      <c r="B47" s="463">
        <v>381000</v>
      </c>
      <c r="C47" s="464"/>
      <c r="D47" s="464"/>
      <c r="E47" s="464"/>
      <c r="F47" s="464"/>
      <c r="G47" s="450">
        <f t="shared" si="4"/>
        <v>381000</v>
      </c>
      <c r="H47" s="458"/>
      <c r="I47" s="468">
        <f>49357310+381000</f>
        <v>49738310</v>
      </c>
      <c r="J47" s="464">
        <v>4950460</v>
      </c>
      <c r="K47" s="464"/>
      <c r="L47" s="464"/>
      <c r="M47" s="464"/>
      <c r="N47" s="450">
        <f t="shared" si="0"/>
        <v>54688770</v>
      </c>
    </row>
    <row r="48" spans="1:14" x14ac:dyDescent="0.2">
      <c r="A48" s="451" t="s">
        <v>612</v>
      </c>
      <c r="B48" s="463"/>
      <c r="C48" s="464"/>
      <c r="D48" s="464"/>
      <c r="E48" s="464"/>
      <c r="F48" s="464"/>
      <c r="G48" s="450">
        <f t="shared" si="4"/>
        <v>0</v>
      </c>
      <c r="H48" s="458"/>
      <c r="I48" s="468">
        <v>3082677</v>
      </c>
      <c r="J48" s="464">
        <v>12873483</v>
      </c>
      <c r="K48" s="464"/>
      <c r="L48" s="464"/>
      <c r="M48" s="464"/>
      <c r="N48" s="450">
        <f t="shared" si="0"/>
        <v>15956160</v>
      </c>
    </row>
    <row r="49" spans="1:15" x14ac:dyDescent="0.2">
      <c r="A49" s="514" t="s">
        <v>582</v>
      </c>
      <c r="B49" s="463"/>
      <c r="C49" s="464"/>
      <c r="D49" s="464"/>
      <c r="E49" s="464"/>
      <c r="F49" s="464"/>
      <c r="G49" s="466">
        <f t="shared" si="4"/>
        <v>0</v>
      </c>
      <c r="H49" s="458"/>
      <c r="I49" s="468">
        <v>48545760</v>
      </c>
      <c r="J49" s="464"/>
      <c r="K49" s="464"/>
      <c r="L49" s="464"/>
      <c r="M49" s="464"/>
      <c r="N49" s="450">
        <f t="shared" si="0"/>
        <v>48545760</v>
      </c>
    </row>
    <row r="50" spans="1:15" x14ac:dyDescent="0.2">
      <c r="A50" s="514" t="s">
        <v>570</v>
      </c>
      <c r="B50" s="985">
        <v>80000</v>
      </c>
      <c r="C50" s="464"/>
      <c r="D50" s="464"/>
      <c r="E50" s="464"/>
      <c r="F50" s="464"/>
      <c r="G50" s="466">
        <f t="shared" si="4"/>
        <v>80000</v>
      </c>
      <c r="H50" s="458"/>
      <c r="I50" s="919">
        <f>300000+3585+4660-6492-1753+17008+47238+12754</f>
        <v>377000</v>
      </c>
      <c r="J50" s="984">
        <v>3000</v>
      </c>
      <c r="K50" s="464"/>
      <c r="L50" s="464"/>
      <c r="M50" s="464"/>
      <c r="N50" s="466">
        <f t="shared" si="0"/>
        <v>380000</v>
      </c>
    </row>
    <row r="51" spans="1:15" ht="13.5" thickBot="1" x14ac:dyDescent="0.25">
      <c r="A51" s="451" t="s">
        <v>601</v>
      </c>
      <c r="B51" s="463"/>
      <c r="C51" s="464"/>
      <c r="D51" s="464"/>
      <c r="E51" s="464"/>
      <c r="F51" s="464"/>
      <c r="G51" s="466">
        <f t="shared" si="4"/>
        <v>0</v>
      </c>
      <c r="H51" s="458"/>
      <c r="I51" s="468">
        <v>500000</v>
      </c>
      <c r="J51" s="464"/>
      <c r="K51" s="464"/>
      <c r="L51" s="464"/>
      <c r="M51" s="464"/>
      <c r="N51" s="466">
        <f t="shared" si="0"/>
        <v>500000</v>
      </c>
    </row>
    <row r="52" spans="1:15" x14ac:dyDescent="0.2">
      <c r="A52" s="471" t="s">
        <v>57</v>
      </c>
      <c r="B52" s="472">
        <f>SUM(B9:B13,B14:B20,B25:B28,B32:B51,B24)</f>
        <v>1523391955</v>
      </c>
      <c r="C52" s="473">
        <f>SUM(C9:C13,C14:C20,C25:C28,C32:C51,C24)</f>
        <v>43774771</v>
      </c>
      <c r="D52" s="473">
        <f>SUM(D9:D13,D14:D20,D25:D28,D32:D51,D24)</f>
        <v>352658000</v>
      </c>
      <c r="E52" s="473">
        <f>SUM(E9:E13,E14:E20,E25:E28,E32:E51,E24)</f>
        <v>193478462</v>
      </c>
      <c r="F52" s="473">
        <f>SUM(F9:F13,F14:F20,F25:F28,F32:F51,F24)</f>
        <v>594503758</v>
      </c>
      <c r="G52" s="473">
        <f>SUM(G9:G13,G14:G20,G24:G28,G32:G38,G39:G51,)</f>
        <v>2707806946</v>
      </c>
      <c r="H52" s="473" t="e">
        <f>SUM(H9:H13,H15:H20,H25:H28,H32:H38,H39:H51)</f>
        <v>#REF!</v>
      </c>
      <c r="I52" s="473">
        <f t="shared" ref="I52:M52" si="5">SUM(I9:I13,I14:I20,I25:I28,I32:I51,I24)</f>
        <v>607820662</v>
      </c>
      <c r="J52" s="473">
        <f t="shared" si="5"/>
        <v>595259505</v>
      </c>
      <c r="K52" s="473">
        <f t="shared" si="5"/>
        <v>1330812597</v>
      </c>
      <c r="L52" s="473">
        <f t="shared" si="5"/>
        <v>108486704</v>
      </c>
      <c r="M52" s="473">
        <f t="shared" si="5"/>
        <v>65427478</v>
      </c>
      <c r="N52" s="474">
        <f>SUM(N9:N13,N14:N20,N25:N28,N32:N51,N24,N23)</f>
        <v>2707806946</v>
      </c>
      <c r="O52" s="475">
        <f>N52-G52</f>
        <v>0</v>
      </c>
    </row>
    <row r="53" spans="1:15" x14ac:dyDescent="0.2">
      <c r="A53" s="476" t="s">
        <v>454</v>
      </c>
      <c r="B53" s="477"/>
      <c r="C53" s="478"/>
      <c r="D53" s="478"/>
      <c r="E53" s="478"/>
      <c r="F53" s="478"/>
      <c r="G53" s="447"/>
      <c r="H53" s="452"/>
      <c r="I53" s="479"/>
      <c r="J53" s="446"/>
      <c r="K53" s="480">
        <v>1330812597</v>
      </c>
      <c r="L53" s="478"/>
      <c r="M53" s="478"/>
      <c r="N53" s="481">
        <f>SUM(I53:M53)</f>
        <v>1330812597</v>
      </c>
      <c r="O53" s="475"/>
    </row>
    <row r="54" spans="1:15" ht="13.5" thickBot="1" x14ac:dyDescent="0.25">
      <c r="A54" s="482" t="s">
        <v>69</v>
      </c>
      <c r="B54" s="483">
        <f t="shared" ref="B54:N54" si="6">B52-B53</f>
        <v>1523391955</v>
      </c>
      <c r="C54" s="484">
        <f t="shared" si="6"/>
        <v>43774771</v>
      </c>
      <c r="D54" s="484">
        <f t="shared" si="6"/>
        <v>352658000</v>
      </c>
      <c r="E54" s="484">
        <f t="shared" si="6"/>
        <v>193478462</v>
      </c>
      <c r="F54" s="484">
        <f t="shared" si="6"/>
        <v>594503758</v>
      </c>
      <c r="G54" s="484">
        <f t="shared" si="6"/>
        <v>2707806946</v>
      </c>
      <c r="H54" s="485" t="e">
        <f t="shared" si="6"/>
        <v>#REF!</v>
      </c>
      <c r="I54" s="483">
        <f t="shared" si="6"/>
        <v>607820662</v>
      </c>
      <c r="J54" s="484">
        <f t="shared" si="6"/>
        <v>595259505</v>
      </c>
      <c r="K54" s="484">
        <f t="shared" si="6"/>
        <v>0</v>
      </c>
      <c r="L54" s="484">
        <f t="shared" si="6"/>
        <v>108486704</v>
      </c>
      <c r="M54" s="484">
        <f t="shared" si="6"/>
        <v>65427478</v>
      </c>
      <c r="N54" s="486">
        <f t="shared" si="6"/>
        <v>1376994349</v>
      </c>
      <c r="O54" s="475"/>
    </row>
    <row r="55" spans="1:15" x14ac:dyDescent="0.2">
      <c r="A55" s="487"/>
      <c r="B55" s="488"/>
      <c r="C55" s="488"/>
      <c r="D55" s="488"/>
      <c r="E55" s="488"/>
      <c r="F55" s="488"/>
      <c r="G55" s="489"/>
      <c r="H55" s="489"/>
      <c r="I55" s="490"/>
      <c r="J55" s="488"/>
      <c r="K55" s="491"/>
      <c r="L55" s="490"/>
      <c r="M55" s="490"/>
      <c r="N55" s="492"/>
    </row>
    <row r="56" spans="1:15" x14ac:dyDescent="0.2">
      <c r="A56" s="487"/>
      <c r="B56" s="488"/>
      <c r="C56" s="488"/>
      <c r="D56" s="488"/>
      <c r="E56" s="488"/>
      <c r="F56" s="488"/>
      <c r="G56" s="489"/>
      <c r="H56" s="489"/>
      <c r="I56" s="488"/>
      <c r="J56" s="488"/>
      <c r="K56" s="491"/>
      <c r="L56" s="490"/>
      <c r="M56" s="490"/>
      <c r="N56" s="492"/>
    </row>
    <row r="57" spans="1:15" x14ac:dyDescent="0.2">
      <c r="A57" s="487"/>
      <c r="B57" s="488"/>
      <c r="C57" s="488"/>
      <c r="D57" s="488"/>
      <c r="E57" s="488"/>
      <c r="F57" s="488"/>
      <c r="G57" s="489"/>
      <c r="H57" s="489"/>
      <c r="I57" s="493"/>
      <c r="J57" s="488"/>
      <c r="K57" s="492"/>
      <c r="L57" s="488"/>
      <c r="M57" s="488"/>
      <c r="N57" s="492"/>
    </row>
    <row r="58" spans="1:15" x14ac:dyDescent="0.2">
      <c r="A58" s="487"/>
      <c r="B58" s="488"/>
      <c r="C58" s="488"/>
      <c r="D58" s="488"/>
      <c r="E58" s="488"/>
      <c r="F58" s="488"/>
      <c r="G58" s="489"/>
      <c r="H58" s="489"/>
      <c r="I58" s="488"/>
      <c r="J58" s="488"/>
      <c r="K58" s="492"/>
      <c r="L58" s="488"/>
      <c r="M58" s="488"/>
      <c r="N58" s="492"/>
    </row>
    <row r="59" spans="1:15" x14ac:dyDescent="0.2">
      <c r="A59" s="487"/>
      <c r="B59" s="488"/>
      <c r="C59" s="488"/>
      <c r="D59" s="488"/>
      <c r="E59" s="488"/>
      <c r="F59" s="488"/>
      <c r="G59" s="489"/>
      <c r="H59" s="489"/>
      <c r="I59" s="488"/>
      <c r="J59" s="488"/>
      <c r="K59" s="492"/>
      <c r="L59" s="488"/>
      <c r="M59" s="488"/>
      <c r="N59" s="492"/>
    </row>
    <row r="60" spans="1:15" x14ac:dyDescent="0.2">
      <c r="A60" s="487"/>
      <c r="B60" s="488"/>
      <c r="C60" s="488"/>
      <c r="D60" s="488"/>
      <c r="E60" s="488"/>
      <c r="F60" s="488"/>
      <c r="G60" s="489"/>
      <c r="H60" s="489"/>
      <c r="I60" s="488"/>
      <c r="J60" s="488"/>
      <c r="K60" s="492"/>
      <c r="L60" s="488"/>
      <c r="M60" s="488"/>
      <c r="N60" s="492"/>
    </row>
    <row r="61" spans="1:15" x14ac:dyDescent="0.2">
      <c r="A61" s="487"/>
      <c r="B61" s="488"/>
      <c r="C61" s="488"/>
      <c r="D61" s="488"/>
      <c r="E61" s="488"/>
      <c r="F61" s="488"/>
      <c r="G61" s="489"/>
      <c r="H61" s="489"/>
      <c r="I61" s="488"/>
      <c r="J61" s="488"/>
      <c r="K61" s="492"/>
      <c r="L61" s="488"/>
      <c r="M61" s="488"/>
      <c r="N61" s="492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&amp;R33. melléklet a 8/2018.(IV.27.)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tabSelected="1" zoomScaleNormal="100" zoomScaleSheetLayoutView="100" workbookViewId="0">
      <selection activeCell="J91" sqref="J91"/>
    </sheetView>
  </sheetViews>
  <sheetFormatPr defaultRowHeight="15.75" x14ac:dyDescent="0.25"/>
  <cols>
    <col min="1" max="1" width="9.5" style="218" customWidth="1"/>
    <col min="2" max="2" width="91.6640625" style="218" customWidth="1"/>
    <col min="3" max="3" width="21.6640625" style="219" customWidth="1"/>
    <col min="4" max="16384" width="9.33203125" style="229"/>
  </cols>
  <sheetData>
    <row r="1" spans="1:3" ht="15.95" customHeight="1" x14ac:dyDescent="0.25">
      <c r="A1" s="987" t="s">
        <v>20</v>
      </c>
      <c r="B1" s="987"/>
      <c r="C1" s="987"/>
    </row>
    <row r="2" spans="1:3" ht="15.95" customHeight="1" thickBot="1" x14ac:dyDescent="0.3">
      <c r="A2" s="986" t="s">
        <v>139</v>
      </c>
      <c r="B2" s="986"/>
      <c r="C2" s="159" t="s">
        <v>596</v>
      </c>
    </row>
    <row r="3" spans="1:3" ht="38.1" customHeight="1" thickBot="1" x14ac:dyDescent="0.3">
      <c r="A3" s="22" t="s">
        <v>74</v>
      </c>
      <c r="B3" s="23" t="s">
        <v>22</v>
      </c>
      <c r="C3" s="30" t="s">
        <v>620</v>
      </c>
    </row>
    <row r="4" spans="1:3" s="230" customFormat="1" ht="12" customHeight="1" thickBot="1" x14ac:dyDescent="0.25">
      <c r="A4" s="224" t="s">
        <v>469</v>
      </c>
      <c r="B4" s="225" t="s">
        <v>470</v>
      </c>
      <c r="C4" s="226" t="s">
        <v>471</v>
      </c>
    </row>
    <row r="5" spans="1:3" s="231" customFormat="1" ht="12" customHeight="1" thickBot="1" x14ac:dyDescent="0.25">
      <c r="A5" s="19" t="s">
        <v>23</v>
      </c>
      <c r="B5" s="20" t="s">
        <v>200</v>
      </c>
      <c r="C5" s="150">
        <f>+C6+C7+C8+C9+C10+C11</f>
        <v>0</v>
      </c>
    </row>
    <row r="6" spans="1:3" s="231" customFormat="1" ht="12" customHeight="1" x14ac:dyDescent="0.2">
      <c r="A6" s="14" t="s">
        <v>99</v>
      </c>
      <c r="B6" s="232" t="s">
        <v>201</v>
      </c>
      <c r="C6" s="152"/>
    </row>
    <row r="7" spans="1:3" s="231" customFormat="1" ht="12" customHeight="1" x14ac:dyDescent="0.2">
      <c r="A7" s="13" t="s">
        <v>100</v>
      </c>
      <c r="B7" s="233" t="s">
        <v>202</v>
      </c>
      <c r="C7" s="151"/>
    </row>
    <row r="8" spans="1:3" s="231" customFormat="1" ht="12" customHeight="1" x14ac:dyDescent="0.2">
      <c r="A8" s="13" t="s">
        <v>101</v>
      </c>
      <c r="B8" s="233" t="s">
        <v>586</v>
      </c>
      <c r="C8" s="151"/>
    </row>
    <row r="9" spans="1:3" s="231" customFormat="1" ht="12" customHeight="1" x14ac:dyDescent="0.2">
      <c r="A9" s="13" t="s">
        <v>102</v>
      </c>
      <c r="B9" s="233" t="s">
        <v>204</v>
      </c>
      <c r="C9" s="151"/>
    </row>
    <row r="10" spans="1:3" s="231" customFormat="1" ht="12" customHeight="1" x14ac:dyDescent="0.2">
      <c r="A10" s="13" t="s">
        <v>136</v>
      </c>
      <c r="B10" s="146" t="s">
        <v>472</v>
      </c>
      <c r="C10" s="151"/>
    </row>
    <row r="11" spans="1:3" s="231" customFormat="1" ht="12" customHeight="1" thickBot="1" x14ac:dyDescent="0.25">
      <c r="A11" s="15" t="s">
        <v>103</v>
      </c>
      <c r="B11" s="147" t="s">
        <v>473</v>
      </c>
      <c r="C11" s="151"/>
    </row>
    <row r="12" spans="1:3" s="231" customFormat="1" ht="12" customHeight="1" thickBot="1" x14ac:dyDescent="0.25">
      <c r="A12" s="19" t="s">
        <v>24</v>
      </c>
      <c r="B12" s="145" t="s">
        <v>205</v>
      </c>
      <c r="C12" s="150">
        <f>+C13+C14+C15+C16+C17</f>
        <v>0</v>
      </c>
    </row>
    <row r="13" spans="1:3" s="231" customFormat="1" ht="12" customHeight="1" x14ac:dyDescent="0.2">
      <c r="A13" s="14" t="s">
        <v>105</v>
      </c>
      <c r="B13" s="232" t="s">
        <v>206</v>
      </c>
      <c r="C13" s="152"/>
    </row>
    <row r="14" spans="1:3" s="231" customFormat="1" ht="12" customHeight="1" x14ac:dyDescent="0.2">
      <c r="A14" s="13" t="s">
        <v>106</v>
      </c>
      <c r="B14" s="233" t="s">
        <v>207</v>
      </c>
      <c r="C14" s="151"/>
    </row>
    <row r="15" spans="1:3" s="231" customFormat="1" ht="12" customHeight="1" x14ac:dyDescent="0.2">
      <c r="A15" s="13" t="s">
        <v>107</v>
      </c>
      <c r="B15" s="233" t="s">
        <v>376</v>
      </c>
      <c r="C15" s="151"/>
    </row>
    <row r="16" spans="1:3" s="231" customFormat="1" ht="12" customHeight="1" x14ac:dyDescent="0.2">
      <c r="A16" s="13" t="s">
        <v>108</v>
      </c>
      <c r="B16" s="233" t="s">
        <v>377</v>
      </c>
      <c r="C16" s="151"/>
    </row>
    <row r="17" spans="1:3" s="231" customFormat="1" ht="12" customHeight="1" x14ac:dyDescent="0.2">
      <c r="A17" s="13" t="s">
        <v>109</v>
      </c>
      <c r="B17" s="233" t="s">
        <v>208</v>
      </c>
      <c r="C17" s="151"/>
    </row>
    <row r="18" spans="1:3" s="231" customFormat="1" ht="12" customHeight="1" thickBot="1" x14ac:dyDescent="0.25">
      <c r="A18" s="15" t="s">
        <v>118</v>
      </c>
      <c r="B18" s="147" t="s">
        <v>209</v>
      </c>
      <c r="C18" s="153"/>
    </row>
    <row r="19" spans="1:3" s="231" customFormat="1" ht="12" customHeight="1" thickBot="1" x14ac:dyDescent="0.25">
      <c r="A19" s="19" t="s">
        <v>25</v>
      </c>
      <c r="B19" s="20" t="s">
        <v>210</v>
      </c>
      <c r="C19" s="150">
        <f>+C20+C21+C22+C23+C24</f>
        <v>0</v>
      </c>
    </row>
    <row r="20" spans="1:3" s="231" customFormat="1" ht="12" customHeight="1" x14ac:dyDescent="0.2">
      <c r="A20" s="14" t="s">
        <v>88</v>
      </c>
      <c r="B20" s="232" t="s">
        <v>211</v>
      </c>
      <c r="C20" s="152"/>
    </row>
    <row r="21" spans="1:3" s="231" customFormat="1" ht="12" customHeight="1" x14ac:dyDescent="0.2">
      <c r="A21" s="13" t="s">
        <v>89</v>
      </c>
      <c r="B21" s="233" t="s">
        <v>212</v>
      </c>
      <c r="C21" s="151"/>
    </row>
    <row r="22" spans="1:3" s="231" customFormat="1" ht="12" customHeight="1" x14ac:dyDescent="0.2">
      <c r="A22" s="13" t="s">
        <v>90</v>
      </c>
      <c r="B22" s="233" t="s">
        <v>378</v>
      </c>
      <c r="C22" s="151"/>
    </row>
    <row r="23" spans="1:3" s="231" customFormat="1" ht="12" customHeight="1" x14ac:dyDescent="0.2">
      <c r="A23" s="13" t="s">
        <v>91</v>
      </c>
      <c r="B23" s="233" t="s">
        <v>379</v>
      </c>
      <c r="C23" s="151"/>
    </row>
    <row r="24" spans="1:3" s="231" customFormat="1" ht="12" customHeight="1" x14ac:dyDescent="0.2">
      <c r="A24" s="13" t="s">
        <v>147</v>
      </c>
      <c r="B24" s="233" t="s">
        <v>213</v>
      </c>
      <c r="C24" s="151"/>
    </row>
    <row r="25" spans="1:3" s="231" customFormat="1" ht="12" customHeight="1" thickBot="1" x14ac:dyDescent="0.25">
      <c r="A25" s="15" t="s">
        <v>148</v>
      </c>
      <c r="B25" s="234" t="s">
        <v>214</v>
      </c>
      <c r="C25" s="153"/>
    </row>
    <row r="26" spans="1:3" s="231" customFormat="1" ht="12" customHeight="1" thickBot="1" x14ac:dyDescent="0.25">
      <c r="A26" s="19" t="s">
        <v>149</v>
      </c>
      <c r="B26" s="20" t="s">
        <v>215</v>
      </c>
      <c r="C26" s="155">
        <f>+C27+C31+C32+C33</f>
        <v>0</v>
      </c>
    </row>
    <row r="27" spans="1:3" s="231" customFormat="1" ht="12" customHeight="1" x14ac:dyDescent="0.2">
      <c r="A27" s="14" t="s">
        <v>216</v>
      </c>
      <c r="B27" s="232" t="s">
        <v>474</v>
      </c>
      <c r="C27" s="227">
        <f>+C28+C29+C30</f>
        <v>0</v>
      </c>
    </row>
    <row r="28" spans="1:3" s="231" customFormat="1" ht="12" customHeight="1" x14ac:dyDescent="0.2">
      <c r="A28" s="13" t="s">
        <v>217</v>
      </c>
      <c r="B28" s="233" t="s">
        <v>222</v>
      </c>
      <c r="C28" s="151"/>
    </row>
    <row r="29" spans="1:3" s="231" customFormat="1" ht="12" customHeight="1" x14ac:dyDescent="0.2">
      <c r="A29" s="13" t="s">
        <v>218</v>
      </c>
      <c r="B29" s="233" t="s">
        <v>223</v>
      </c>
      <c r="C29" s="151"/>
    </row>
    <row r="30" spans="1:3" s="231" customFormat="1" ht="12" customHeight="1" x14ac:dyDescent="0.2">
      <c r="A30" s="13" t="s">
        <v>475</v>
      </c>
      <c r="B30" s="286" t="s">
        <v>476</v>
      </c>
      <c r="C30" s="151"/>
    </row>
    <row r="31" spans="1:3" s="231" customFormat="1" ht="12" customHeight="1" x14ac:dyDescent="0.2">
      <c r="A31" s="13" t="s">
        <v>219</v>
      </c>
      <c r="B31" s="233" t="s">
        <v>224</v>
      </c>
      <c r="C31" s="151"/>
    </row>
    <row r="32" spans="1:3" s="231" customFormat="1" ht="12" customHeight="1" x14ac:dyDescent="0.2">
      <c r="A32" s="13" t="s">
        <v>220</v>
      </c>
      <c r="B32" s="233" t="s">
        <v>225</v>
      </c>
      <c r="C32" s="151"/>
    </row>
    <row r="33" spans="1:3" s="231" customFormat="1" ht="12" customHeight="1" thickBot="1" x14ac:dyDescent="0.25">
      <c r="A33" s="15" t="s">
        <v>221</v>
      </c>
      <c r="B33" s="234" t="s">
        <v>226</v>
      </c>
      <c r="C33" s="153"/>
    </row>
    <row r="34" spans="1:3" s="231" customFormat="1" ht="12" customHeight="1" thickBot="1" x14ac:dyDescent="0.25">
      <c r="A34" s="19" t="s">
        <v>27</v>
      </c>
      <c r="B34" s="20" t="s">
        <v>477</v>
      </c>
      <c r="C34" s="150">
        <f>SUM(C35:C45)</f>
        <v>6280164</v>
      </c>
    </row>
    <row r="35" spans="1:3" s="231" customFormat="1" ht="12" customHeight="1" x14ac:dyDescent="0.2">
      <c r="A35" s="14" t="s">
        <v>92</v>
      </c>
      <c r="B35" s="232" t="s">
        <v>229</v>
      </c>
      <c r="C35" s="152"/>
    </row>
    <row r="36" spans="1:3" s="231" customFormat="1" ht="12" customHeight="1" x14ac:dyDescent="0.2">
      <c r="A36" s="13" t="s">
        <v>93</v>
      </c>
      <c r="B36" s="233" t="s">
        <v>230</v>
      </c>
      <c r="C36" s="154">
        <v>4150000</v>
      </c>
    </row>
    <row r="37" spans="1:3" s="231" customFormat="1" ht="12" customHeight="1" x14ac:dyDescent="0.2">
      <c r="A37" s="13" t="s">
        <v>94</v>
      </c>
      <c r="B37" s="233" t="s">
        <v>231</v>
      </c>
      <c r="C37" s="154">
        <v>300000</v>
      </c>
    </row>
    <row r="38" spans="1:3" s="231" customFormat="1" ht="12" customHeight="1" x14ac:dyDescent="0.2">
      <c r="A38" s="13" t="s">
        <v>151</v>
      </c>
      <c r="B38" s="233" t="s">
        <v>232</v>
      </c>
      <c r="C38" s="154"/>
    </row>
    <row r="39" spans="1:3" s="231" customFormat="1" ht="12" customHeight="1" x14ac:dyDescent="0.2">
      <c r="A39" s="13" t="s">
        <v>152</v>
      </c>
      <c r="B39" s="233" t="s">
        <v>233</v>
      </c>
      <c r="C39" s="154"/>
    </row>
    <row r="40" spans="1:3" s="231" customFormat="1" ht="12" customHeight="1" x14ac:dyDescent="0.2">
      <c r="A40" s="13" t="s">
        <v>153</v>
      </c>
      <c r="B40" s="233" t="s">
        <v>234</v>
      </c>
      <c r="C40" s="154">
        <v>1229000</v>
      </c>
    </row>
    <row r="41" spans="1:3" s="231" customFormat="1" ht="12" customHeight="1" x14ac:dyDescent="0.2">
      <c r="A41" s="13" t="s">
        <v>154</v>
      </c>
      <c r="B41" s="233" t="s">
        <v>235</v>
      </c>
      <c r="C41" s="154"/>
    </row>
    <row r="42" spans="1:3" s="231" customFormat="1" ht="12" customHeight="1" x14ac:dyDescent="0.2">
      <c r="A42" s="13" t="s">
        <v>155</v>
      </c>
      <c r="B42" s="233" t="s">
        <v>583</v>
      </c>
      <c r="C42" s="154"/>
    </row>
    <row r="43" spans="1:3" s="231" customFormat="1" ht="12" customHeight="1" x14ac:dyDescent="0.2">
      <c r="A43" s="13" t="s">
        <v>227</v>
      </c>
      <c r="B43" s="233" t="s">
        <v>237</v>
      </c>
      <c r="C43" s="154"/>
    </row>
    <row r="44" spans="1:3" s="231" customFormat="1" ht="12" customHeight="1" x14ac:dyDescent="0.2">
      <c r="A44" s="15" t="s">
        <v>228</v>
      </c>
      <c r="B44" s="234" t="s">
        <v>478</v>
      </c>
      <c r="C44" s="221"/>
    </row>
    <row r="45" spans="1:3" s="231" customFormat="1" ht="12" customHeight="1" thickBot="1" x14ac:dyDescent="0.25">
      <c r="A45" s="15" t="s">
        <v>479</v>
      </c>
      <c r="B45" s="147" t="s">
        <v>238</v>
      </c>
      <c r="C45" s="221">
        <f>100000+501164</f>
        <v>601164</v>
      </c>
    </row>
    <row r="46" spans="1:3" s="231" customFormat="1" ht="12" customHeight="1" thickBot="1" x14ac:dyDescent="0.25">
      <c r="A46" s="19" t="s">
        <v>28</v>
      </c>
      <c r="B46" s="20" t="s">
        <v>239</v>
      </c>
      <c r="C46" s="150">
        <f>SUM(C47:C51)</f>
        <v>0</v>
      </c>
    </row>
    <row r="47" spans="1:3" s="231" customFormat="1" ht="12" customHeight="1" x14ac:dyDescent="0.2">
      <c r="A47" s="14" t="s">
        <v>95</v>
      </c>
      <c r="B47" s="232" t="s">
        <v>243</v>
      </c>
      <c r="C47" s="270"/>
    </row>
    <row r="48" spans="1:3" s="231" customFormat="1" ht="12" customHeight="1" x14ac:dyDescent="0.2">
      <c r="A48" s="13" t="s">
        <v>96</v>
      </c>
      <c r="B48" s="233" t="s">
        <v>244</v>
      </c>
      <c r="C48" s="154"/>
    </row>
    <row r="49" spans="1:3" s="231" customFormat="1" ht="12" customHeight="1" x14ac:dyDescent="0.2">
      <c r="A49" s="13" t="s">
        <v>240</v>
      </c>
      <c r="B49" s="233" t="s">
        <v>245</v>
      </c>
      <c r="C49" s="154"/>
    </row>
    <row r="50" spans="1:3" s="231" customFormat="1" ht="12" customHeight="1" x14ac:dyDescent="0.2">
      <c r="A50" s="13" t="s">
        <v>241</v>
      </c>
      <c r="B50" s="233" t="s">
        <v>246</v>
      </c>
      <c r="C50" s="154"/>
    </row>
    <row r="51" spans="1:3" s="231" customFormat="1" ht="12" customHeight="1" thickBot="1" x14ac:dyDescent="0.25">
      <c r="A51" s="15" t="s">
        <v>242</v>
      </c>
      <c r="B51" s="147" t="s">
        <v>247</v>
      </c>
      <c r="C51" s="221"/>
    </row>
    <row r="52" spans="1:3" s="231" customFormat="1" ht="12" customHeight="1" thickBot="1" x14ac:dyDescent="0.25">
      <c r="A52" s="19" t="s">
        <v>156</v>
      </c>
      <c r="B52" s="20" t="s">
        <v>248</v>
      </c>
      <c r="C52" s="150">
        <f>SUM(C53:C55)</f>
        <v>0</v>
      </c>
    </row>
    <row r="53" spans="1:3" s="231" customFormat="1" ht="12" customHeight="1" x14ac:dyDescent="0.2">
      <c r="A53" s="14" t="s">
        <v>97</v>
      </c>
      <c r="B53" s="232" t="s">
        <v>249</v>
      </c>
      <c r="C53" s="152"/>
    </row>
    <row r="54" spans="1:3" s="231" customFormat="1" ht="12" customHeight="1" x14ac:dyDescent="0.2">
      <c r="A54" s="13" t="s">
        <v>98</v>
      </c>
      <c r="B54" s="233" t="s">
        <v>380</v>
      </c>
      <c r="C54" s="151"/>
    </row>
    <row r="55" spans="1:3" s="231" customFormat="1" ht="12" customHeight="1" x14ac:dyDescent="0.2">
      <c r="A55" s="13" t="s">
        <v>252</v>
      </c>
      <c r="B55" s="233" t="s">
        <v>250</v>
      </c>
      <c r="C55" s="151"/>
    </row>
    <row r="56" spans="1:3" s="231" customFormat="1" ht="12" customHeight="1" thickBot="1" x14ac:dyDescent="0.25">
      <c r="A56" s="15" t="s">
        <v>253</v>
      </c>
      <c r="B56" s="147" t="s">
        <v>251</v>
      </c>
      <c r="C56" s="153"/>
    </row>
    <row r="57" spans="1:3" s="231" customFormat="1" ht="12" customHeight="1" thickBot="1" x14ac:dyDescent="0.25">
      <c r="A57" s="19" t="s">
        <v>30</v>
      </c>
      <c r="B57" s="145" t="s">
        <v>254</v>
      </c>
      <c r="C57" s="150">
        <f>SUM(C58:C60)</f>
        <v>0</v>
      </c>
    </row>
    <row r="58" spans="1:3" s="231" customFormat="1" ht="12" customHeight="1" x14ac:dyDescent="0.2">
      <c r="A58" s="14" t="s">
        <v>157</v>
      </c>
      <c r="B58" s="232" t="s">
        <v>256</v>
      </c>
      <c r="C58" s="154"/>
    </row>
    <row r="59" spans="1:3" s="231" customFormat="1" ht="12" customHeight="1" x14ac:dyDescent="0.2">
      <c r="A59" s="13" t="s">
        <v>158</v>
      </c>
      <c r="B59" s="233" t="s">
        <v>381</v>
      </c>
      <c r="C59" s="154"/>
    </row>
    <row r="60" spans="1:3" s="231" customFormat="1" ht="12" customHeight="1" x14ac:dyDescent="0.2">
      <c r="A60" s="13" t="s">
        <v>180</v>
      </c>
      <c r="B60" s="233" t="s">
        <v>257</v>
      </c>
      <c r="C60" s="154"/>
    </row>
    <row r="61" spans="1:3" s="231" customFormat="1" ht="12" customHeight="1" thickBot="1" x14ac:dyDescent="0.25">
      <c r="A61" s="15" t="s">
        <v>255</v>
      </c>
      <c r="B61" s="147" t="s">
        <v>258</v>
      </c>
      <c r="C61" s="154"/>
    </row>
    <row r="62" spans="1:3" s="231" customFormat="1" ht="12" customHeight="1" thickBot="1" x14ac:dyDescent="0.25">
      <c r="A62" s="287" t="s">
        <v>480</v>
      </c>
      <c r="B62" s="20" t="s">
        <v>259</v>
      </c>
      <c r="C62" s="155">
        <f>+C5+C12+C19+C26+C34+C46+C52+C57</f>
        <v>6280164</v>
      </c>
    </row>
    <row r="63" spans="1:3" s="231" customFormat="1" ht="12" customHeight="1" thickBot="1" x14ac:dyDescent="0.25">
      <c r="A63" s="288" t="s">
        <v>260</v>
      </c>
      <c r="B63" s="145" t="s">
        <v>261</v>
      </c>
      <c r="C63" s="150">
        <f>SUM(C64:C66)</f>
        <v>0</v>
      </c>
    </row>
    <row r="64" spans="1:3" s="231" customFormat="1" ht="12" customHeight="1" x14ac:dyDescent="0.2">
      <c r="A64" s="14" t="s">
        <v>292</v>
      </c>
      <c r="B64" s="232" t="s">
        <v>262</v>
      </c>
      <c r="C64" s="154"/>
    </row>
    <row r="65" spans="1:3" s="231" customFormat="1" ht="12" customHeight="1" x14ac:dyDescent="0.2">
      <c r="A65" s="13" t="s">
        <v>301</v>
      </c>
      <c r="B65" s="233" t="s">
        <v>263</v>
      </c>
      <c r="C65" s="154"/>
    </row>
    <row r="66" spans="1:3" s="231" customFormat="1" ht="12" customHeight="1" thickBot="1" x14ac:dyDescent="0.25">
      <c r="A66" s="15" t="s">
        <v>302</v>
      </c>
      <c r="B66" s="289" t="s">
        <v>481</v>
      </c>
      <c r="C66" s="154"/>
    </row>
    <row r="67" spans="1:3" s="231" customFormat="1" ht="12" customHeight="1" thickBot="1" x14ac:dyDescent="0.25">
      <c r="A67" s="288" t="s">
        <v>265</v>
      </c>
      <c r="B67" s="145" t="s">
        <v>266</v>
      </c>
      <c r="C67" s="150">
        <f>SUM(C68:C71)</f>
        <v>0</v>
      </c>
    </row>
    <row r="68" spans="1:3" s="231" customFormat="1" ht="12" customHeight="1" x14ac:dyDescent="0.2">
      <c r="A68" s="14" t="s">
        <v>137</v>
      </c>
      <c r="B68" s="232" t="s">
        <v>267</v>
      </c>
      <c r="C68" s="154"/>
    </row>
    <row r="69" spans="1:3" s="231" customFormat="1" ht="12" customHeight="1" x14ac:dyDescent="0.2">
      <c r="A69" s="13" t="s">
        <v>138</v>
      </c>
      <c r="B69" s="233" t="s">
        <v>268</v>
      </c>
      <c r="C69" s="154"/>
    </row>
    <row r="70" spans="1:3" s="231" customFormat="1" ht="12" customHeight="1" x14ac:dyDescent="0.2">
      <c r="A70" s="13" t="s">
        <v>293</v>
      </c>
      <c r="B70" s="233" t="s">
        <v>269</v>
      </c>
      <c r="C70" s="154"/>
    </row>
    <row r="71" spans="1:3" s="231" customFormat="1" ht="12" customHeight="1" thickBot="1" x14ac:dyDescent="0.25">
      <c r="A71" s="15" t="s">
        <v>294</v>
      </c>
      <c r="B71" s="147" t="s">
        <v>270</v>
      </c>
      <c r="C71" s="154"/>
    </row>
    <row r="72" spans="1:3" s="231" customFormat="1" ht="12" customHeight="1" thickBot="1" x14ac:dyDescent="0.25">
      <c r="A72" s="288" t="s">
        <v>271</v>
      </c>
      <c r="B72" s="145" t="s">
        <v>272</v>
      </c>
      <c r="C72" s="150">
        <f>SUM(C73:C74)</f>
        <v>0</v>
      </c>
    </row>
    <row r="73" spans="1:3" s="231" customFormat="1" ht="12" customHeight="1" x14ac:dyDescent="0.2">
      <c r="A73" s="14" t="s">
        <v>295</v>
      </c>
      <c r="B73" s="232" t="s">
        <v>273</v>
      </c>
      <c r="C73" s="154"/>
    </row>
    <row r="74" spans="1:3" s="231" customFormat="1" ht="12" customHeight="1" thickBot="1" x14ac:dyDescent="0.25">
      <c r="A74" s="15" t="s">
        <v>296</v>
      </c>
      <c r="B74" s="147" t="s">
        <v>274</v>
      </c>
      <c r="C74" s="154"/>
    </row>
    <row r="75" spans="1:3" s="231" customFormat="1" ht="12" customHeight="1" thickBot="1" x14ac:dyDescent="0.25">
      <c r="A75" s="288" t="s">
        <v>275</v>
      </c>
      <c r="B75" s="145" t="s">
        <v>276</v>
      </c>
      <c r="C75" s="150">
        <f>SUM(C76:C78)</f>
        <v>0</v>
      </c>
    </row>
    <row r="76" spans="1:3" s="231" customFormat="1" ht="12" customHeight="1" x14ac:dyDescent="0.2">
      <c r="A76" s="14" t="s">
        <v>297</v>
      </c>
      <c r="B76" s="232" t="s">
        <v>277</v>
      </c>
      <c r="C76" s="154"/>
    </row>
    <row r="77" spans="1:3" s="231" customFormat="1" ht="12" customHeight="1" x14ac:dyDescent="0.2">
      <c r="A77" s="13" t="s">
        <v>298</v>
      </c>
      <c r="B77" s="233" t="s">
        <v>278</v>
      </c>
      <c r="C77" s="154"/>
    </row>
    <row r="78" spans="1:3" s="231" customFormat="1" ht="12" customHeight="1" thickBot="1" x14ac:dyDescent="0.25">
      <c r="A78" s="15" t="s">
        <v>299</v>
      </c>
      <c r="B78" s="147" t="s">
        <v>279</v>
      </c>
      <c r="C78" s="154"/>
    </row>
    <row r="79" spans="1:3" s="231" customFormat="1" ht="12" customHeight="1" thickBot="1" x14ac:dyDescent="0.25">
      <c r="A79" s="288" t="s">
        <v>280</v>
      </c>
      <c r="B79" s="145" t="s">
        <v>300</v>
      </c>
      <c r="C79" s="150">
        <f>SUM(C80:C83)</f>
        <v>0</v>
      </c>
    </row>
    <row r="80" spans="1:3" s="231" customFormat="1" ht="12" customHeight="1" x14ac:dyDescent="0.2">
      <c r="A80" s="236" t="s">
        <v>281</v>
      </c>
      <c r="B80" s="232" t="s">
        <v>282</v>
      </c>
      <c r="C80" s="154"/>
    </row>
    <row r="81" spans="1:3" s="231" customFormat="1" ht="12" customHeight="1" x14ac:dyDescent="0.2">
      <c r="A81" s="237" t="s">
        <v>283</v>
      </c>
      <c r="B81" s="233" t="s">
        <v>284</v>
      </c>
      <c r="C81" s="154"/>
    </row>
    <row r="82" spans="1:3" s="231" customFormat="1" ht="12" customHeight="1" x14ac:dyDescent="0.2">
      <c r="A82" s="237" t="s">
        <v>285</v>
      </c>
      <c r="B82" s="233" t="s">
        <v>286</v>
      </c>
      <c r="C82" s="154"/>
    </row>
    <row r="83" spans="1:3" s="231" customFormat="1" ht="12" customHeight="1" thickBot="1" x14ac:dyDescent="0.25">
      <c r="A83" s="238" t="s">
        <v>287</v>
      </c>
      <c r="B83" s="147" t="s">
        <v>288</v>
      </c>
      <c r="C83" s="154"/>
    </row>
    <row r="84" spans="1:3" s="231" customFormat="1" ht="12" customHeight="1" thickBot="1" x14ac:dyDescent="0.25">
      <c r="A84" s="288" t="s">
        <v>289</v>
      </c>
      <c r="B84" s="145" t="s">
        <v>482</v>
      </c>
      <c r="C84" s="271"/>
    </row>
    <row r="85" spans="1:3" s="231" customFormat="1" ht="13.5" customHeight="1" thickBot="1" x14ac:dyDescent="0.25">
      <c r="A85" s="288" t="s">
        <v>291</v>
      </c>
      <c r="B85" s="145" t="s">
        <v>290</v>
      </c>
      <c r="C85" s="271"/>
    </row>
    <row r="86" spans="1:3" s="231" customFormat="1" ht="15.75" customHeight="1" thickBot="1" x14ac:dyDescent="0.25">
      <c r="A86" s="288" t="s">
        <v>303</v>
      </c>
      <c r="B86" s="239" t="s">
        <v>483</v>
      </c>
      <c r="C86" s="155">
        <f>+C63+C67+C72+C75+C79+C85+C84</f>
        <v>0</v>
      </c>
    </row>
    <row r="87" spans="1:3" s="231" customFormat="1" ht="16.5" customHeight="1" thickBot="1" x14ac:dyDescent="0.25">
      <c r="A87" s="290" t="s">
        <v>484</v>
      </c>
      <c r="B87" s="240" t="s">
        <v>485</v>
      </c>
      <c r="C87" s="155">
        <f>+C62+C86</f>
        <v>6280164</v>
      </c>
    </row>
    <row r="88" spans="1:3" s="231" customFormat="1" ht="83.25" customHeight="1" x14ac:dyDescent="0.2">
      <c r="A88" s="4"/>
      <c r="B88" s="5"/>
      <c r="C88" s="156"/>
    </row>
    <row r="89" spans="1:3" ht="16.5" customHeight="1" x14ac:dyDescent="0.25">
      <c r="A89" s="987" t="s">
        <v>51</v>
      </c>
      <c r="B89" s="987"/>
      <c r="C89" s="987"/>
    </row>
    <row r="90" spans="1:3" s="241" customFormat="1" ht="16.5" customHeight="1" thickBot="1" x14ac:dyDescent="0.3">
      <c r="A90" s="988" t="s">
        <v>140</v>
      </c>
      <c r="B90" s="988"/>
      <c r="C90" s="81" t="s">
        <v>596</v>
      </c>
    </row>
    <row r="91" spans="1:3" ht="38.1" customHeight="1" thickBot="1" x14ac:dyDescent="0.3">
      <c r="A91" s="22" t="s">
        <v>74</v>
      </c>
      <c r="B91" s="23" t="s">
        <v>52</v>
      </c>
      <c r="C91" s="30" t="str">
        <f>+C3</f>
        <v>2018. évi előirányzat</v>
      </c>
    </row>
    <row r="92" spans="1:3" s="230" customFormat="1" ht="12" customHeight="1" thickBot="1" x14ac:dyDescent="0.25">
      <c r="A92" s="26" t="s">
        <v>469</v>
      </c>
      <c r="B92" s="27" t="s">
        <v>470</v>
      </c>
      <c r="C92" s="28" t="s">
        <v>471</v>
      </c>
    </row>
    <row r="93" spans="1:3" ht="12" customHeight="1" thickBot="1" x14ac:dyDescent="0.3">
      <c r="A93" s="21" t="s">
        <v>23</v>
      </c>
      <c r="B93" s="25" t="s">
        <v>523</v>
      </c>
      <c r="C93" s="149">
        <f>C94+C95+C96+C97+C98+C111</f>
        <v>202700066</v>
      </c>
    </row>
    <row r="94" spans="1:3" ht="12" customHeight="1" x14ac:dyDescent="0.25">
      <c r="A94" s="16" t="s">
        <v>99</v>
      </c>
      <c r="B94" s="9" t="s">
        <v>53</v>
      </c>
      <c r="C94" s="884">
        <f>134654515-569836+152400</f>
        <v>134237079</v>
      </c>
    </row>
    <row r="95" spans="1:3" ht="12" customHeight="1" x14ac:dyDescent="0.25">
      <c r="A95" s="13" t="s">
        <v>100</v>
      </c>
      <c r="B95" s="7" t="s">
        <v>159</v>
      </c>
      <c r="C95" s="885">
        <f>28757160+98926-416745+62043</f>
        <v>28501384</v>
      </c>
    </row>
    <row r="96" spans="1:3" ht="12" customHeight="1" x14ac:dyDescent="0.25">
      <c r="A96" s="13" t="s">
        <v>101</v>
      </c>
      <c r="B96" s="7" t="s">
        <v>129</v>
      </c>
      <c r="C96" s="883">
        <f>40114003-152400</f>
        <v>39961603</v>
      </c>
    </row>
    <row r="97" spans="1:3" ht="12" customHeight="1" x14ac:dyDescent="0.25">
      <c r="A97" s="13" t="s">
        <v>102</v>
      </c>
      <c r="B97" s="10" t="s">
        <v>160</v>
      </c>
      <c r="C97" s="221"/>
    </row>
    <row r="98" spans="1:3" ht="12" customHeight="1" x14ac:dyDescent="0.25">
      <c r="A98" s="13" t="s">
        <v>113</v>
      </c>
      <c r="B98" s="18" t="s">
        <v>161</v>
      </c>
      <c r="C98" s="221"/>
    </row>
    <row r="99" spans="1:3" ht="12" customHeight="1" x14ac:dyDescent="0.25">
      <c r="A99" s="13" t="s">
        <v>103</v>
      </c>
      <c r="B99" s="7" t="s">
        <v>486</v>
      </c>
      <c r="C99" s="153"/>
    </row>
    <row r="100" spans="1:3" ht="12" customHeight="1" x14ac:dyDescent="0.25">
      <c r="A100" s="13" t="s">
        <v>104</v>
      </c>
      <c r="B100" s="85" t="s">
        <v>487</v>
      </c>
      <c r="C100" s="153"/>
    </row>
    <row r="101" spans="1:3" ht="12" customHeight="1" x14ac:dyDescent="0.25">
      <c r="A101" s="13" t="s">
        <v>114</v>
      </c>
      <c r="B101" s="85" t="s">
        <v>488</v>
      </c>
      <c r="C101" s="153"/>
    </row>
    <row r="102" spans="1:3" ht="12" customHeight="1" x14ac:dyDescent="0.25">
      <c r="A102" s="13" t="s">
        <v>115</v>
      </c>
      <c r="B102" s="83" t="s">
        <v>306</v>
      </c>
      <c r="C102" s="153"/>
    </row>
    <row r="103" spans="1:3" ht="12" customHeight="1" x14ac:dyDescent="0.25">
      <c r="A103" s="13" t="s">
        <v>116</v>
      </c>
      <c r="B103" s="84" t="s">
        <v>307</v>
      </c>
      <c r="C103" s="153"/>
    </row>
    <row r="104" spans="1:3" ht="12" customHeight="1" x14ac:dyDescent="0.25">
      <c r="A104" s="13" t="s">
        <v>117</v>
      </c>
      <c r="B104" s="84" t="s">
        <v>308</v>
      </c>
      <c r="C104" s="153"/>
    </row>
    <row r="105" spans="1:3" ht="12" customHeight="1" x14ac:dyDescent="0.25">
      <c r="A105" s="13" t="s">
        <v>119</v>
      </c>
      <c r="B105" s="83" t="s">
        <v>309</v>
      </c>
      <c r="C105" s="153"/>
    </row>
    <row r="106" spans="1:3" ht="12" customHeight="1" x14ac:dyDescent="0.25">
      <c r="A106" s="13" t="s">
        <v>162</v>
      </c>
      <c r="B106" s="83" t="s">
        <v>310</v>
      </c>
      <c r="C106" s="153"/>
    </row>
    <row r="107" spans="1:3" ht="12" customHeight="1" x14ac:dyDescent="0.25">
      <c r="A107" s="13" t="s">
        <v>304</v>
      </c>
      <c r="B107" s="84" t="s">
        <v>311</v>
      </c>
      <c r="C107" s="153"/>
    </row>
    <row r="108" spans="1:3" ht="12" customHeight="1" x14ac:dyDescent="0.25">
      <c r="A108" s="12" t="s">
        <v>305</v>
      </c>
      <c r="B108" s="85" t="s">
        <v>312</v>
      </c>
      <c r="C108" s="153"/>
    </row>
    <row r="109" spans="1:3" ht="12" customHeight="1" x14ac:dyDescent="0.25">
      <c r="A109" s="13" t="s">
        <v>489</v>
      </c>
      <c r="B109" s="85" t="s">
        <v>313</v>
      </c>
      <c r="C109" s="153"/>
    </row>
    <row r="110" spans="1:3" ht="12" customHeight="1" x14ac:dyDescent="0.25">
      <c r="A110" s="15" t="s">
        <v>490</v>
      </c>
      <c r="B110" s="85" t="s">
        <v>314</v>
      </c>
      <c r="C110" s="153"/>
    </row>
    <row r="111" spans="1:3" ht="12" customHeight="1" x14ac:dyDescent="0.25">
      <c r="A111" s="13" t="s">
        <v>491</v>
      </c>
      <c r="B111" s="10" t="s">
        <v>54</v>
      </c>
      <c r="C111" s="151"/>
    </row>
    <row r="112" spans="1:3" ht="12" customHeight="1" x14ac:dyDescent="0.25">
      <c r="A112" s="13" t="s">
        <v>492</v>
      </c>
      <c r="B112" s="7" t="s">
        <v>493</v>
      </c>
      <c r="C112" s="151"/>
    </row>
    <row r="113" spans="1:3" ht="12" customHeight="1" thickBot="1" x14ac:dyDescent="0.3">
      <c r="A113" s="17" t="s">
        <v>494</v>
      </c>
      <c r="B113" s="291" t="s">
        <v>495</v>
      </c>
      <c r="C113" s="157"/>
    </row>
    <row r="114" spans="1:3" ht="12" customHeight="1" thickBot="1" x14ac:dyDescent="0.3">
      <c r="A114" s="292" t="s">
        <v>24</v>
      </c>
      <c r="B114" s="293" t="s">
        <v>315</v>
      </c>
      <c r="C114" s="294">
        <f>+C115+C117+C119</f>
        <v>4919980</v>
      </c>
    </row>
    <row r="115" spans="1:3" ht="12" customHeight="1" x14ac:dyDescent="0.25">
      <c r="A115" s="14" t="s">
        <v>105</v>
      </c>
      <c r="B115" s="7" t="s">
        <v>179</v>
      </c>
      <c r="C115" s="270">
        <v>4919980</v>
      </c>
    </row>
    <row r="116" spans="1:3" ht="12" customHeight="1" x14ac:dyDescent="0.25">
      <c r="A116" s="14" t="s">
        <v>106</v>
      </c>
      <c r="B116" s="11" t="s">
        <v>319</v>
      </c>
      <c r="C116" s="152"/>
    </row>
    <row r="117" spans="1:3" ht="12" customHeight="1" x14ac:dyDescent="0.25">
      <c r="A117" s="14" t="s">
        <v>107</v>
      </c>
      <c r="B117" s="11" t="s">
        <v>163</v>
      </c>
      <c r="C117" s="151"/>
    </row>
    <row r="118" spans="1:3" ht="12" customHeight="1" x14ac:dyDescent="0.25">
      <c r="A118" s="14" t="s">
        <v>108</v>
      </c>
      <c r="B118" s="11" t="s">
        <v>320</v>
      </c>
      <c r="C118" s="137"/>
    </row>
    <row r="119" spans="1:3" ht="12" customHeight="1" x14ac:dyDescent="0.25">
      <c r="A119" s="14" t="s">
        <v>109</v>
      </c>
      <c r="B119" s="147" t="s">
        <v>181</v>
      </c>
      <c r="C119" s="303"/>
    </row>
    <row r="120" spans="1:3" ht="12" customHeight="1" x14ac:dyDescent="0.25">
      <c r="A120" s="14" t="s">
        <v>118</v>
      </c>
      <c r="B120" s="146" t="s">
        <v>382</v>
      </c>
      <c r="C120" s="303"/>
    </row>
    <row r="121" spans="1:3" ht="12" customHeight="1" x14ac:dyDescent="0.25">
      <c r="A121" s="14" t="s">
        <v>120</v>
      </c>
      <c r="B121" s="228" t="s">
        <v>325</v>
      </c>
      <c r="C121" s="303"/>
    </row>
    <row r="122" spans="1:3" x14ac:dyDescent="0.25">
      <c r="A122" s="14" t="s">
        <v>164</v>
      </c>
      <c r="B122" s="84" t="s">
        <v>308</v>
      </c>
      <c r="C122" s="303"/>
    </row>
    <row r="123" spans="1:3" ht="12" customHeight="1" x14ac:dyDescent="0.25">
      <c r="A123" s="14" t="s">
        <v>165</v>
      </c>
      <c r="B123" s="84" t="s">
        <v>324</v>
      </c>
      <c r="C123" s="303"/>
    </row>
    <row r="124" spans="1:3" ht="12" customHeight="1" x14ac:dyDescent="0.25">
      <c r="A124" s="14" t="s">
        <v>166</v>
      </c>
      <c r="B124" s="84" t="s">
        <v>323</v>
      </c>
      <c r="C124" s="303"/>
    </row>
    <row r="125" spans="1:3" ht="12" customHeight="1" x14ac:dyDescent="0.25">
      <c r="A125" s="14" t="s">
        <v>316</v>
      </c>
      <c r="B125" s="84" t="s">
        <v>311</v>
      </c>
      <c r="C125" s="303"/>
    </row>
    <row r="126" spans="1:3" ht="12" customHeight="1" x14ac:dyDescent="0.25">
      <c r="A126" s="14" t="s">
        <v>317</v>
      </c>
      <c r="B126" s="84" t="s">
        <v>322</v>
      </c>
      <c r="C126" s="137"/>
    </row>
    <row r="127" spans="1:3" ht="16.5" thickBot="1" x14ac:dyDescent="0.3">
      <c r="A127" s="12" t="s">
        <v>318</v>
      </c>
      <c r="B127" s="84" t="s">
        <v>321</v>
      </c>
      <c r="C127" s="138"/>
    </row>
    <row r="128" spans="1:3" ht="12" customHeight="1" thickBot="1" x14ac:dyDescent="0.3">
      <c r="A128" s="19" t="s">
        <v>25</v>
      </c>
      <c r="B128" s="79" t="s">
        <v>496</v>
      </c>
      <c r="C128" s="150">
        <f>+C93+C114</f>
        <v>207620046</v>
      </c>
    </row>
    <row r="129" spans="1:3" ht="12" customHeight="1" thickBot="1" x14ac:dyDescent="0.3">
      <c r="A129" s="19" t="s">
        <v>26</v>
      </c>
      <c r="B129" s="79" t="s">
        <v>497</v>
      </c>
      <c r="C129" s="150">
        <f>+C130+C131+C132</f>
        <v>0</v>
      </c>
    </row>
    <row r="130" spans="1:3" ht="12" customHeight="1" x14ac:dyDescent="0.25">
      <c r="A130" s="14" t="s">
        <v>216</v>
      </c>
      <c r="B130" s="11" t="s">
        <v>498</v>
      </c>
      <c r="C130" s="137"/>
    </row>
    <row r="131" spans="1:3" ht="12" customHeight="1" x14ac:dyDescent="0.25">
      <c r="A131" s="14" t="s">
        <v>219</v>
      </c>
      <c r="B131" s="11" t="s">
        <v>499</v>
      </c>
      <c r="C131" s="137"/>
    </row>
    <row r="132" spans="1:3" ht="12" customHeight="1" thickBot="1" x14ac:dyDescent="0.3">
      <c r="A132" s="12" t="s">
        <v>220</v>
      </c>
      <c r="B132" s="11" t="s">
        <v>500</v>
      </c>
      <c r="C132" s="137"/>
    </row>
    <row r="133" spans="1:3" ht="12" customHeight="1" thickBot="1" x14ac:dyDescent="0.3">
      <c r="A133" s="19" t="s">
        <v>27</v>
      </c>
      <c r="B133" s="79" t="s">
        <v>501</v>
      </c>
      <c r="C133" s="150">
        <f>SUM(C134:C139)</f>
        <v>0</v>
      </c>
    </row>
    <row r="134" spans="1:3" ht="12" customHeight="1" x14ac:dyDescent="0.25">
      <c r="A134" s="14" t="s">
        <v>92</v>
      </c>
      <c r="B134" s="8" t="s">
        <v>502</v>
      </c>
      <c r="C134" s="137"/>
    </row>
    <row r="135" spans="1:3" ht="12" customHeight="1" x14ac:dyDescent="0.25">
      <c r="A135" s="14" t="s">
        <v>93</v>
      </c>
      <c r="B135" s="8" t="s">
        <v>503</v>
      </c>
      <c r="C135" s="137"/>
    </row>
    <row r="136" spans="1:3" ht="12" customHeight="1" x14ac:dyDescent="0.25">
      <c r="A136" s="14" t="s">
        <v>94</v>
      </c>
      <c r="B136" s="8" t="s">
        <v>504</v>
      </c>
      <c r="C136" s="137"/>
    </row>
    <row r="137" spans="1:3" ht="12" customHeight="1" x14ac:dyDescent="0.25">
      <c r="A137" s="14" t="s">
        <v>151</v>
      </c>
      <c r="B137" s="8" t="s">
        <v>505</v>
      </c>
      <c r="C137" s="137"/>
    </row>
    <row r="138" spans="1:3" ht="12" customHeight="1" x14ac:dyDescent="0.25">
      <c r="A138" s="14" t="s">
        <v>152</v>
      </c>
      <c r="B138" s="8" t="s">
        <v>506</v>
      </c>
      <c r="C138" s="137"/>
    </row>
    <row r="139" spans="1:3" ht="12" customHeight="1" thickBot="1" x14ac:dyDescent="0.3">
      <c r="A139" s="12" t="s">
        <v>153</v>
      </c>
      <c r="B139" s="8" t="s">
        <v>507</v>
      </c>
      <c r="C139" s="137"/>
    </row>
    <row r="140" spans="1:3" ht="12" customHeight="1" thickBot="1" x14ac:dyDescent="0.3">
      <c r="A140" s="19" t="s">
        <v>28</v>
      </c>
      <c r="B140" s="79" t="s">
        <v>508</v>
      </c>
      <c r="C140" s="155">
        <f>+C141+C142+C143+C144</f>
        <v>0</v>
      </c>
    </row>
    <row r="141" spans="1:3" ht="12" customHeight="1" x14ac:dyDescent="0.25">
      <c r="A141" s="14" t="s">
        <v>95</v>
      </c>
      <c r="B141" s="8" t="s">
        <v>326</v>
      </c>
      <c r="C141" s="137"/>
    </row>
    <row r="142" spans="1:3" ht="12" customHeight="1" x14ac:dyDescent="0.25">
      <c r="A142" s="14" t="s">
        <v>96</v>
      </c>
      <c r="B142" s="8" t="s">
        <v>327</v>
      </c>
      <c r="C142" s="137"/>
    </row>
    <row r="143" spans="1:3" ht="12" customHeight="1" x14ac:dyDescent="0.25">
      <c r="A143" s="14" t="s">
        <v>240</v>
      </c>
      <c r="B143" s="8" t="s">
        <v>509</v>
      </c>
      <c r="C143" s="137"/>
    </row>
    <row r="144" spans="1:3" ht="12" customHeight="1" thickBot="1" x14ac:dyDescent="0.3">
      <c r="A144" s="12" t="s">
        <v>241</v>
      </c>
      <c r="B144" s="6" t="s">
        <v>345</v>
      </c>
      <c r="C144" s="137"/>
    </row>
    <row r="145" spans="1:6" ht="12" customHeight="1" thickBot="1" x14ac:dyDescent="0.3">
      <c r="A145" s="19" t="s">
        <v>29</v>
      </c>
      <c r="B145" s="79" t="s">
        <v>510</v>
      </c>
      <c r="C145" s="158">
        <f>SUM(C146:C150)</f>
        <v>0</v>
      </c>
    </row>
    <row r="146" spans="1:6" ht="12" customHeight="1" x14ac:dyDescent="0.25">
      <c r="A146" s="14" t="s">
        <v>97</v>
      </c>
      <c r="B146" s="8" t="s">
        <v>511</v>
      </c>
      <c r="C146" s="137"/>
    </row>
    <row r="147" spans="1:6" ht="12" customHeight="1" x14ac:dyDescent="0.25">
      <c r="A147" s="14" t="s">
        <v>98</v>
      </c>
      <c r="B147" s="8" t="s">
        <v>512</v>
      </c>
      <c r="C147" s="137"/>
    </row>
    <row r="148" spans="1:6" ht="12" customHeight="1" x14ac:dyDescent="0.25">
      <c r="A148" s="14" t="s">
        <v>252</v>
      </c>
      <c r="B148" s="8" t="s">
        <v>513</v>
      </c>
      <c r="C148" s="137"/>
    </row>
    <row r="149" spans="1:6" ht="12" customHeight="1" x14ac:dyDescent="0.25">
      <c r="A149" s="14" t="s">
        <v>253</v>
      </c>
      <c r="B149" s="8" t="s">
        <v>514</v>
      </c>
      <c r="C149" s="137"/>
    </row>
    <row r="150" spans="1:6" ht="12" customHeight="1" thickBot="1" x14ac:dyDescent="0.3">
      <c r="A150" s="14" t="s">
        <v>515</v>
      </c>
      <c r="B150" s="8" t="s">
        <v>516</v>
      </c>
      <c r="C150" s="137"/>
    </row>
    <row r="151" spans="1:6" ht="12" customHeight="1" thickBot="1" x14ac:dyDescent="0.3">
      <c r="A151" s="19" t="s">
        <v>30</v>
      </c>
      <c r="B151" s="79" t="s">
        <v>517</v>
      </c>
      <c r="C151" s="295"/>
    </row>
    <row r="152" spans="1:6" ht="12" customHeight="1" thickBot="1" x14ac:dyDescent="0.3">
      <c r="A152" s="19" t="s">
        <v>31</v>
      </c>
      <c r="B152" s="79" t="s">
        <v>518</v>
      </c>
      <c r="C152" s="295"/>
    </row>
    <row r="153" spans="1:6" ht="15" customHeight="1" thickBot="1" x14ac:dyDescent="0.3">
      <c r="A153" s="19" t="s">
        <v>32</v>
      </c>
      <c r="B153" s="79" t="s">
        <v>519</v>
      </c>
      <c r="C153" s="242">
        <f>+C129+C133+C140+C145+C151+C152</f>
        <v>0</v>
      </c>
      <c r="D153" s="243"/>
      <c r="E153" s="243"/>
      <c r="F153" s="243"/>
    </row>
    <row r="154" spans="1:6" s="231" customFormat="1" ht="12.95" customHeight="1" thickBot="1" x14ac:dyDescent="0.25">
      <c r="A154" s="148" t="s">
        <v>33</v>
      </c>
      <c r="B154" s="217" t="s">
        <v>520</v>
      </c>
      <c r="C154" s="242">
        <f>+C128+C153</f>
        <v>207620046</v>
      </c>
    </row>
    <row r="155" spans="1:6" ht="7.5" customHeight="1" x14ac:dyDescent="0.25"/>
    <row r="156" spans="1:6" x14ac:dyDescent="0.25">
      <c r="A156" s="989" t="s">
        <v>328</v>
      </c>
      <c r="B156" s="989"/>
      <c r="C156" s="989"/>
    </row>
    <row r="157" spans="1:6" ht="15" customHeight="1" thickBot="1" x14ac:dyDescent="0.3">
      <c r="A157" s="986" t="s">
        <v>141</v>
      </c>
      <c r="B157" s="986"/>
      <c r="C157" s="159" t="s">
        <v>596</v>
      </c>
    </row>
    <row r="158" spans="1:6" ht="13.5" customHeight="1" thickBot="1" x14ac:dyDescent="0.3">
      <c r="A158" s="19">
        <v>1</v>
      </c>
      <c r="B158" s="24" t="s">
        <v>521</v>
      </c>
      <c r="C158" s="150">
        <f>+C62-C128</f>
        <v>-201339882</v>
      </c>
    </row>
    <row r="159" spans="1:6" ht="32.25" customHeight="1" thickBot="1" x14ac:dyDescent="0.3">
      <c r="A159" s="19" t="s">
        <v>24</v>
      </c>
      <c r="B159" s="24" t="s">
        <v>522</v>
      </c>
      <c r="C159" s="150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 8/2018.(IV.27.)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3"/>
  <sheetViews>
    <sheetView tabSelected="1" zoomScaleNormal="100" zoomScaleSheetLayoutView="100" workbookViewId="0">
      <selection activeCell="J91" sqref="J91"/>
    </sheetView>
  </sheetViews>
  <sheetFormatPr defaultRowHeight="12.75" x14ac:dyDescent="0.2"/>
  <cols>
    <col min="1" max="1" width="6.83203125" style="40" customWidth="1"/>
    <col min="2" max="2" width="55.1640625" style="87" customWidth="1"/>
    <col min="3" max="3" width="16" style="40" bestFit="1" customWidth="1"/>
    <col min="4" max="4" width="55.1640625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9.75" customHeight="1" x14ac:dyDescent="0.2">
      <c r="B1" s="166" t="s">
        <v>144</v>
      </c>
      <c r="C1" s="167"/>
      <c r="D1" s="167"/>
      <c r="E1" s="167"/>
      <c r="F1" s="991"/>
    </row>
    <row r="2" spans="1:6" ht="14.25" thickBot="1" x14ac:dyDescent="0.25">
      <c r="E2" s="168" t="s">
        <v>598</v>
      </c>
      <c r="F2" s="991"/>
    </row>
    <row r="3" spans="1:6" ht="18" customHeight="1" thickBot="1" x14ac:dyDescent="0.25">
      <c r="A3" s="992" t="s">
        <v>74</v>
      </c>
      <c r="B3" s="169" t="s">
        <v>61</v>
      </c>
      <c r="C3" s="170"/>
      <c r="D3" s="169" t="s">
        <v>62</v>
      </c>
      <c r="E3" s="171"/>
      <c r="F3" s="991"/>
    </row>
    <row r="4" spans="1:6" s="172" customFormat="1" ht="35.25" customHeight="1" thickBot="1" x14ac:dyDescent="0.25">
      <c r="A4" s="993"/>
      <c r="B4" s="88" t="s">
        <v>67</v>
      </c>
      <c r="C4" s="30" t="s">
        <v>621</v>
      </c>
      <c r="D4" s="88" t="s">
        <v>67</v>
      </c>
      <c r="E4" s="39" t="str">
        <f>+C4</f>
        <v>2018.évi előirányzat</v>
      </c>
      <c r="F4" s="991"/>
    </row>
    <row r="5" spans="1:6" s="177" customFormat="1" ht="12" customHeight="1" thickBot="1" x14ac:dyDescent="0.25">
      <c r="A5" s="173" t="s">
        <v>469</v>
      </c>
      <c r="B5" s="174" t="s">
        <v>470</v>
      </c>
      <c r="C5" s="175" t="s">
        <v>471</v>
      </c>
      <c r="D5" s="174" t="s">
        <v>524</v>
      </c>
      <c r="E5" s="176" t="s">
        <v>525</v>
      </c>
      <c r="F5" s="991"/>
    </row>
    <row r="6" spans="1:6" ht="12.95" customHeight="1" x14ac:dyDescent="0.2">
      <c r="A6" s="178" t="s">
        <v>23</v>
      </c>
      <c r="B6" s="179" t="s">
        <v>329</v>
      </c>
      <c r="C6" s="886">
        <v>1319904176</v>
      </c>
      <c r="D6" s="195" t="s">
        <v>68</v>
      </c>
      <c r="E6" s="887">
        <v>981036950</v>
      </c>
      <c r="F6" s="991"/>
    </row>
    <row r="7" spans="1:6" ht="12.95" customHeight="1" x14ac:dyDescent="0.2">
      <c r="A7" s="180" t="s">
        <v>24</v>
      </c>
      <c r="B7" s="181" t="s">
        <v>330</v>
      </c>
      <c r="C7" s="888">
        <v>180642060</v>
      </c>
      <c r="D7" s="185" t="s">
        <v>159</v>
      </c>
      <c r="E7" s="889">
        <v>206935735</v>
      </c>
      <c r="F7" s="991"/>
    </row>
    <row r="8" spans="1:6" ht="12.95" customHeight="1" x14ac:dyDescent="0.2">
      <c r="A8" s="180" t="s">
        <v>25</v>
      </c>
      <c r="B8" s="181" t="s">
        <v>350</v>
      </c>
      <c r="C8" s="47">
        <f>399535</f>
        <v>399535</v>
      </c>
      <c r="D8" s="185" t="s">
        <v>184</v>
      </c>
      <c r="E8" s="889">
        <v>879726149</v>
      </c>
      <c r="F8" s="991"/>
    </row>
    <row r="9" spans="1:6" ht="12.95" customHeight="1" x14ac:dyDescent="0.2">
      <c r="A9" s="180" t="s">
        <v>26</v>
      </c>
      <c r="B9" s="181" t="s">
        <v>150</v>
      </c>
      <c r="C9" s="47">
        <f>352658000</f>
        <v>352658000</v>
      </c>
      <c r="D9" s="185" t="s">
        <v>160</v>
      </c>
      <c r="E9" s="48">
        <v>97250000</v>
      </c>
      <c r="F9" s="991"/>
    </row>
    <row r="10" spans="1:6" ht="12.95" customHeight="1" x14ac:dyDescent="0.2">
      <c r="A10" s="180" t="s">
        <v>27</v>
      </c>
      <c r="B10" s="182" t="s">
        <v>375</v>
      </c>
      <c r="C10" s="888">
        <v>434983575</v>
      </c>
      <c r="D10" s="185" t="s">
        <v>161</v>
      </c>
      <c r="E10" s="889">
        <v>152130903</v>
      </c>
      <c r="F10" s="991"/>
    </row>
    <row r="11" spans="1:6" ht="12.95" customHeight="1" x14ac:dyDescent="0.2">
      <c r="A11" s="180" t="s">
        <v>28</v>
      </c>
      <c r="B11" s="181" t="s">
        <v>331</v>
      </c>
      <c r="C11" s="313">
        <f>4766000</f>
        <v>4766000</v>
      </c>
      <c r="D11" s="185" t="s">
        <v>54</v>
      </c>
      <c r="E11" s="889">
        <v>54069154</v>
      </c>
      <c r="F11" s="991"/>
    </row>
    <row r="12" spans="1:6" ht="12.95" customHeight="1" x14ac:dyDescent="0.2">
      <c r="A12" s="180" t="s">
        <v>29</v>
      </c>
      <c r="B12" s="181" t="s">
        <v>526</v>
      </c>
      <c r="C12" s="47"/>
      <c r="D12" s="365"/>
      <c r="E12" s="48"/>
      <c r="F12" s="991"/>
    </row>
    <row r="13" spans="1:6" ht="12.95" customHeight="1" x14ac:dyDescent="0.2">
      <c r="A13" s="180" t="s">
        <v>30</v>
      </c>
      <c r="B13" s="34"/>
      <c r="C13" s="47"/>
      <c r="D13" s="365"/>
      <c r="E13" s="48"/>
      <c r="F13" s="991"/>
    </row>
    <row r="14" spans="1:6" ht="12.95" customHeight="1" x14ac:dyDescent="0.2">
      <c r="A14" s="180" t="s">
        <v>31</v>
      </c>
      <c r="B14" s="244"/>
      <c r="C14" s="313"/>
      <c r="D14" s="365"/>
      <c r="E14" s="48"/>
      <c r="F14" s="991"/>
    </row>
    <row r="15" spans="1:6" ht="12.95" customHeight="1" x14ac:dyDescent="0.2">
      <c r="A15" s="180" t="s">
        <v>32</v>
      </c>
      <c r="B15" s="34"/>
      <c r="C15" s="47"/>
      <c r="D15" s="365"/>
      <c r="E15" s="48"/>
      <c r="F15" s="991"/>
    </row>
    <row r="16" spans="1:6" ht="12.95" customHeight="1" x14ac:dyDescent="0.2">
      <c r="A16" s="180" t="s">
        <v>33</v>
      </c>
      <c r="B16" s="34"/>
      <c r="C16" s="47"/>
      <c r="D16" s="34"/>
      <c r="E16" s="48"/>
      <c r="F16" s="991"/>
    </row>
    <row r="17" spans="1:6" ht="12.95" customHeight="1" thickBot="1" x14ac:dyDescent="0.25">
      <c r="A17" s="180" t="s">
        <v>34</v>
      </c>
      <c r="B17" s="41"/>
      <c r="C17" s="703"/>
      <c r="D17" s="34"/>
      <c r="E17" s="163"/>
      <c r="F17" s="991"/>
    </row>
    <row r="18" spans="1:6" ht="15.95" customHeight="1" thickBot="1" x14ac:dyDescent="0.25">
      <c r="A18" s="183" t="s">
        <v>35</v>
      </c>
      <c r="B18" s="80" t="s">
        <v>527</v>
      </c>
      <c r="C18" s="160">
        <f>SUM(C6:C17)-C8</f>
        <v>2292953811</v>
      </c>
      <c r="D18" s="80" t="s">
        <v>336</v>
      </c>
      <c r="E18" s="164">
        <f>SUM(E6:E17)</f>
        <v>2371148891</v>
      </c>
      <c r="F18" s="991"/>
    </row>
    <row r="19" spans="1:6" ht="12.95" customHeight="1" x14ac:dyDescent="0.2">
      <c r="A19" s="577" t="s">
        <v>36</v>
      </c>
      <c r="B19" s="184" t="s">
        <v>333</v>
      </c>
      <c r="C19" s="273">
        <f>SUM(C20:C23)</f>
        <v>620677200</v>
      </c>
      <c r="D19" s="185" t="s">
        <v>167</v>
      </c>
      <c r="E19" s="165"/>
      <c r="F19" s="991"/>
    </row>
    <row r="20" spans="1:6" ht="12.95" customHeight="1" x14ac:dyDescent="0.2">
      <c r="A20" s="578" t="s">
        <v>37</v>
      </c>
      <c r="B20" s="185" t="s">
        <v>177</v>
      </c>
      <c r="C20" s="888">
        <v>620677200</v>
      </c>
      <c r="D20" s="185" t="s">
        <v>335</v>
      </c>
      <c r="E20" s="48">
        <v>100000000</v>
      </c>
      <c r="F20" s="991"/>
    </row>
    <row r="21" spans="1:6" ht="12.95" customHeight="1" x14ac:dyDescent="0.2">
      <c r="A21" s="578" t="s">
        <v>38</v>
      </c>
      <c r="B21" s="185" t="s">
        <v>178</v>
      </c>
      <c r="C21" s="47"/>
      <c r="D21" s="185" t="s">
        <v>142</v>
      </c>
      <c r="E21" s="48"/>
      <c r="F21" s="991"/>
    </row>
    <row r="22" spans="1:6" ht="12.95" customHeight="1" x14ac:dyDescent="0.2">
      <c r="A22" s="578" t="s">
        <v>39</v>
      </c>
      <c r="B22" s="185" t="s">
        <v>182</v>
      </c>
      <c r="C22" s="47"/>
      <c r="D22" s="185" t="s">
        <v>143</v>
      </c>
      <c r="E22" s="48"/>
      <c r="F22" s="991"/>
    </row>
    <row r="23" spans="1:6" ht="12.95" customHeight="1" x14ac:dyDescent="0.2">
      <c r="A23" s="578" t="s">
        <v>40</v>
      </c>
      <c r="B23" s="185" t="s">
        <v>183</v>
      </c>
      <c r="C23" s="47"/>
      <c r="D23" s="184" t="s">
        <v>185</v>
      </c>
      <c r="E23" s="48"/>
      <c r="F23" s="991"/>
    </row>
    <row r="24" spans="1:6" ht="12.95" customHeight="1" x14ac:dyDescent="0.2">
      <c r="A24" s="578" t="s">
        <v>41</v>
      </c>
      <c r="B24" s="185" t="s">
        <v>334</v>
      </c>
      <c r="C24" s="186">
        <f>SUM(C25:C28)</f>
        <v>100000000</v>
      </c>
      <c r="D24" s="185" t="s">
        <v>168</v>
      </c>
      <c r="E24" s="48"/>
      <c r="F24" s="991"/>
    </row>
    <row r="25" spans="1:6" ht="12.95" customHeight="1" x14ac:dyDescent="0.2">
      <c r="A25" s="577" t="s">
        <v>42</v>
      </c>
      <c r="B25" s="184" t="s">
        <v>332</v>
      </c>
      <c r="C25" s="161">
        <v>100000000</v>
      </c>
      <c r="D25" s="179" t="s">
        <v>509</v>
      </c>
      <c r="E25" s="165"/>
      <c r="F25" s="991"/>
    </row>
    <row r="26" spans="1:6" ht="12.95" customHeight="1" x14ac:dyDescent="0.2">
      <c r="A26" s="578" t="s">
        <v>43</v>
      </c>
      <c r="B26" s="185" t="s">
        <v>528</v>
      </c>
      <c r="C26" s="47"/>
      <c r="D26" s="181" t="s">
        <v>517</v>
      </c>
      <c r="E26" s="48"/>
      <c r="F26" s="991"/>
    </row>
    <row r="27" spans="1:6" ht="12.95" customHeight="1" x14ac:dyDescent="0.2">
      <c r="A27" s="180" t="s">
        <v>44</v>
      </c>
      <c r="B27" s="185" t="s">
        <v>482</v>
      </c>
      <c r="C27" s="47"/>
      <c r="D27" s="181" t="s">
        <v>518</v>
      </c>
      <c r="E27" s="48"/>
      <c r="F27" s="991"/>
    </row>
    <row r="28" spans="1:6" ht="12.95" customHeight="1" thickBot="1" x14ac:dyDescent="0.25">
      <c r="A28" s="220" t="s">
        <v>45</v>
      </c>
      <c r="B28" s="184" t="s">
        <v>290</v>
      </c>
      <c r="C28" s="161"/>
      <c r="D28" s="245" t="s">
        <v>588</v>
      </c>
      <c r="E28" s="165">
        <v>38167591</v>
      </c>
      <c r="F28" s="991"/>
    </row>
    <row r="29" spans="1:6" ht="21.75" customHeight="1" thickBot="1" x14ac:dyDescent="0.25">
      <c r="A29" s="183" t="s">
        <v>46</v>
      </c>
      <c r="B29" s="80" t="s">
        <v>529</v>
      </c>
      <c r="C29" s="160">
        <f>+C19+C24+C27+C28</f>
        <v>720677200</v>
      </c>
      <c r="D29" s="80" t="s">
        <v>530</v>
      </c>
      <c r="E29" s="164">
        <f>SUM(E19:E28)</f>
        <v>138167591</v>
      </c>
      <c r="F29" s="991"/>
    </row>
    <row r="30" spans="1:6" ht="13.5" thickBot="1" x14ac:dyDescent="0.25">
      <c r="A30" s="183" t="s">
        <v>47</v>
      </c>
      <c r="B30" s="187" t="s">
        <v>531</v>
      </c>
      <c r="C30" s="377">
        <f>+C18+C29</f>
        <v>3013631011</v>
      </c>
      <c r="D30" s="187" t="s">
        <v>532</v>
      </c>
      <c r="E30" s="377">
        <f>E29+E18</f>
        <v>2509316482</v>
      </c>
      <c r="F30" s="991"/>
    </row>
    <row r="31" spans="1:6" ht="13.5" thickBot="1" x14ac:dyDescent="0.25">
      <c r="A31" s="183" t="s">
        <v>48</v>
      </c>
      <c r="B31" s="187" t="s">
        <v>145</v>
      </c>
      <c r="C31" s="377">
        <f>IF(C18-E18&lt;0,E18-C18,"-")</f>
        <v>78195080</v>
      </c>
      <c r="D31" s="187" t="s">
        <v>146</v>
      </c>
      <c r="E31" s="377" t="str">
        <f>IF(C18-E18&gt;0,C18-E18,"-")</f>
        <v>-</v>
      </c>
      <c r="F31" s="991"/>
    </row>
    <row r="32" spans="1:6" ht="13.5" thickBot="1" x14ac:dyDescent="0.25">
      <c r="A32" s="183" t="s">
        <v>49</v>
      </c>
      <c r="B32" s="187" t="s">
        <v>186</v>
      </c>
      <c r="C32" s="188" t="str">
        <f>IF(C30-E30&lt;0,E30-C30,"-")</f>
        <v>-</v>
      </c>
      <c r="D32" s="187" t="s">
        <v>187</v>
      </c>
      <c r="E32" s="377">
        <f>IF(C30-E30&gt;0,C30-E30,"-")</f>
        <v>504314529</v>
      </c>
      <c r="F32" s="991"/>
    </row>
    <row r="33" spans="2:4" ht="18.75" x14ac:dyDescent="0.2">
      <c r="B33" s="994"/>
      <c r="C33" s="994"/>
      <c r="D33" s="994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>&amp;R&amp;"Times New Roman CE,Félkövér dőlt"&amp;11 5. melléklet a  8/2018.(IV.27.)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9"/>
  <sheetViews>
    <sheetView tabSelected="1" zoomScaleNormal="100" zoomScaleSheetLayoutView="115" workbookViewId="0">
      <selection activeCell="J91" sqref="J91"/>
    </sheetView>
  </sheetViews>
  <sheetFormatPr defaultRowHeight="12.75" x14ac:dyDescent="0.2"/>
  <cols>
    <col min="1" max="1" width="6.83203125" style="40" customWidth="1"/>
    <col min="2" max="2" width="55.1640625" style="87" customWidth="1"/>
    <col min="3" max="3" width="16.33203125" style="40" customWidth="1"/>
    <col min="4" max="4" width="55.1640625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1.5" x14ac:dyDescent="0.2">
      <c r="B1" s="166" t="s">
        <v>617</v>
      </c>
      <c r="C1" s="167"/>
      <c r="D1" s="167" t="s">
        <v>618</v>
      </c>
      <c r="E1" s="874"/>
      <c r="F1" s="991"/>
    </row>
    <row r="2" spans="1:6" ht="14.25" thickBot="1" x14ac:dyDescent="0.25">
      <c r="E2" s="168" t="s">
        <v>598</v>
      </c>
      <c r="F2" s="991"/>
    </row>
    <row r="3" spans="1:6" ht="13.5" thickBot="1" x14ac:dyDescent="0.25">
      <c r="A3" s="995" t="s">
        <v>74</v>
      </c>
      <c r="B3" s="169" t="s">
        <v>61</v>
      </c>
      <c r="C3" s="170"/>
      <c r="D3" s="169" t="s">
        <v>62</v>
      </c>
      <c r="E3" s="171"/>
      <c r="F3" s="991"/>
    </row>
    <row r="4" spans="1:6" s="172" customFormat="1" ht="24.75" thickBot="1" x14ac:dyDescent="0.25">
      <c r="A4" s="996"/>
      <c r="B4" s="88" t="s">
        <v>67</v>
      </c>
      <c r="C4" s="30" t="s">
        <v>620</v>
      </c>
      <c r="D4" s="88" t="s">
        <v>67</v>
      </c>
      <c r="E4" s="30" t="s">
        <v>620</v>
      </c>
      <c r="F4" s="991"/>
    </row>
    <row r="5" spans="1:6" s="172" customFormat="1" ht="13.5" thickBot="1" x14ac:dyDescent="0.25">
      <c r="A5" s="173" t="s">
        <v>469</v>
      </c>
      <c r="B5" s="174" t="s">
        <v>470</v>
      </c>
      <c r="C5" s="175" t="s">
        <v>471</v>
      </c>
      <c r="D5" s="174" t="s">
        <v>524</v>
      </c>
      <c r="E5" s="176" t="s">
        <v>525</v>
      </c>
      <c r="F5" s="991"/>
    </row>
    <row r="6" spans="1:6" ht="12.95" customHeight="1" x14ac:dyDescent="0.2">
      <c r="A6" s="178" t="s">
        <v>23</v>
      </c>
      <c r="B6" s="179" t="s">
        <v>337</v>
      </c>
      <c r="C6" s="519">
        <v>13442271</v>
      </c>
      <c r="D6" s="195" t="s">
        <v>179</v>
      </c>
      <c r="E6" s="887">
        <v>335298496</v>
      </c>
      <c r="F6" s="991"/>
    </row>
    <row r="7" spans="1:6" ht="12.75" customHeight="1" x14ac:dyDescent="0.2">
      <c r="A7" s="180" t="s">
        <v>24</v>
      </c>
      <c r="B7" s="181" t="s">
        <v>338</v>
      </c>
      <c r="C7" s="47">
        <v>13442271</v>
      </c>
      <c r="D7" s="185" t="s">
        <v>343</v>
      </c>
      <c r="E7" s="921">
        <v>288570801</v>
      </c>
      <c r="F7" s="991"/>
    </row>
    <row r="8" spans="1:6" ht="12.95" customHeight="1" x14ac:dyDescent="0.2">
      <c r="A8" s="180" t="s">
        <v>25</v>
      </c>
      <c r="B8" s="181" t="s">
        <v>15</v>
      </c>
      <c r="C8" s="47">
        <v>30332500</v>
      </c>
      <c r="D8" s="185" t="s">
        <v>163</v>
      </c>
      <c r="E8" s="889">
        <v>220713517</v>
      </c>
      <c r="F8" s="991"/>
    </row>
    <row r="9" spans="1:6" ht="12.95" customHeight="1" x14ac:dyDescent="0.2">
      <c r="A9" s="180" t="s">
        <v>26</v>
      </c>
      <c r="B9" s="181" t="s">
        <v>339</v>
      </c>
      <c r="C9" s="47"/>
      <c r="D9" s="185" t="s">
        <v>344</v>
      </c>
      <c r="E9" s="908">
        <v>182607280</v>
      </c>
      <c r="F9" s="991"/>
    </row>
    <row r="10" spans="1:6" ht="12.75" customHeight="1" x14ac:dyDescent="0.2">
      <c r="A10" s="180" t="s">
        <v>27</v>
      </c>
      <c r="B10" s="181" t="s">
        <v>340</v>
      </c>
      <c r="C10" s="47"/>
      <c r="D10" s="185" t="s">
        <v>181</v>
      </c>
      <c r="E10" s="48">
        <v>65710721</v>
      </c>
      <c r="F10" s="991"/>
    </row>
    <row r="11" spans="1:6" ht="12.95" customHeight="1" x14ac:dyDescent="0.2">
      <c r="A11" s="180" t="s">
        <v>28</v>
      </c>
      <c r="B11" s="181" t="s">
        <v>341</v>
      </c>
      <c r="C11" s="313"/>
      <c r="D11" s="296"/>
      <c r="E11" s="48"/>
      <c r="F11" s="991"/>
    </row>
    <row r="12" spans="1:6" ht="12.95" customHeight="1" x14ac:dyDescent="0.2">
      <c r="A12" s="180" t="s">
        <v>29</v>
      </c>
      <c r="B12" s="34"/>
      <c r="C12" s="47"/>
      <c r="D12" s="296"/>
      <c r="E12" s="48"/>
      <c r="F12" s="991"/>
    </row>
    <row r="13" spans="1:6" ht="12.95" customHeight="1" x14ac:dyDescent="0.2">
      <c r="A13" s="180" t="s">
        <v>30</v>
      </c>
      <c r="B13" s="34"/>
      <c r="C13" s="47"/>
      <c r="D13" s="296"/>
      <c r="E13" s="48"/>
      <c r="F13" s="991"/>
    </row>
    <row r="14" spans="1:6" ht="12.95" customHeight="1" x14ac:dyDescent="0.2">
      <c r="A14" s="180" t="s">
        <v>31</v>
      </c>
      <c r="B14" s="297"/>
      <c r="C14" s="313"/>
      <c r="D14" s="296"/>
      <c r="E14" s="48"/>
      <c r="F14" s="991"/>
    </row>
    <row r="15" spans="1:6" x14ac:dyDescent="0.2">
      <c r="A15" s="180" t="s">
        <v>32</v>
      </c>
      <c r="B15" s="34"/>
      <c r="C15" s="313"/>
      <c r="D15" s="296"/>
      <c r="E15" s="48"/>
      <c r="F15" s="991"/>
    </row>
    <row r="16" spans="1:6" ht="12.95" customHeight="1" thickBot="1" x14ac:dyDescent="0.25">
      <c r="A16" s="220" t="s">
        <v>33</v>
      </c>
      <c r="B16" s="245"/>
      <c r="C16" s="366"/>
      <c r="D16" s="184" t="s">
        <v>54</v>
      </c>
      <c r="E16" s="920">
        <v>11358324</v>
      </c>
      <c r="F16" s="991"/>
    </row>
    <row r="17" spans="1:6" ht="15.95" customHeight="1" thickBot="1" x14ac:dyDescent="0.25">
      <c r="A17" s="183" t="s">
        <v>34</v>
      </c>
      <c r="B17" s="80" t="s">
        <v>351</v>
      </c>
      <c r="C17" s="160">
        <f>+C6+C8+C9+C11+C12+C13+C14+C15+C16</f>
        <v>43774771</v>
      </c>
      <c r="D17" s="80" t="s">
        <v>352</v>
      </c>
      <c r="E17" s="164">
        <f>+E6+E8+E10+E11+E12+E13+E14+E15+E16</f>
        <v>633081058</v>
      </c>
      <c r="F17" s="991"/>
    </row>
    <row r="18" spans="1:6" ht="12.95" customHeight="1" x14ac:dyDescent="0.2">
      <c r="A18" s="178" t="s">
        <v>35</v>
      </c>
      <c r="B18" s="191" t="s">
        <v>199</v>
      </c>
      <c r="C18" s="198">
        <f>+C19+C20+C21+C22+C23</f>
        <v>0</v>
      </c>
      <c r="D18" s="185" t="s">
        <v>167</v>
      </c>
      <c r="E18" s="46"/>
      <c r="F18" s="991"/>
    </row>
    <row r="19" spans="1:6" ht="12.95" customHeight="1" x14ac:dyDescent="0.2">
      <c r="A19" s="180" t="s">
        <v>36</v>
      </c>
      <c r="B19" s="192" t="s">
        <v>188</v>
      </c>
      <c r="C19" s="47"/>
      <c r="D19" s="185" t="s">
        <v>170</v>
      </c>
      <c r="E19" s="48"/>
      <c r="F19" s="991"/>
    </row>
    <row r="20" spans="1:6" ht="12.95" customHeight="1" x14ac:dyDescent="0.2">
      <c r="A20" s="178" t="s">
        <v>37</v>
      </c>
      <c r="B20" s="192" t="s">
        <v>189</v>
      </c>
      <c r="C20" s="47"/>
      <c r="D20" s="185" t="s">
        <v>142</v>
      </c>
      <c r="E20" s="48"/>
      <c r="F20" s="991"/>
    </row>
    <row r="21" spans="1:6" ht="12.95" customHeight="1" x14ac:dyDescent="0.2">
      <c r="A21" s="180" t="s">
        <v>38</v>
      </c>
      <c r="B21" s="192" t="s">
        <v>190</v>
      </c>
      <c r="C21" s="47"/>
      <c r="D21" s="185" t="s">
        <v>143</v>
      </c>
      <c r="E21" s="48">
        <v>8486704</v>
      </c>
      <c r="F21" s="991"/>
    </row>
    <row r="22" spans="1:6" ht="12.95" customHeight="1" x14ac:dyDescent="0.2">
      <c r="A22" s="178" t="s">
        <v>39</v>
      </c>
      <c r="B22" s="192" t="s">
        <v>191</v>
      </c>
      <c r="C22" s="47"/>
      <c r="D22" s="184" t="s">
        <v>185</v>
      </c>
      <c r="E22" s="48"/>
      <c r="F22" s="991"/>
    </row>
    <row r="23" spans="1:6" ht="12.95" customHeight="1" x14ac:dyDescent="0.2">
      <c r="A23" s="180" t="s">
        <v>40</v>
      </c>
      <c r="B23" s="193" t="s">
        <v>192</v>
      </c>
      <c r="C23" s="47"/>
      <c r="D23" s="185" t="s">
        <v>171</v>
      </c>
      <c r="E23" s="48"/>
      <c r="F23" s="991"/>
    </row>
    <row r="24" spans="1:6" ht="12.95" customHeight="1" x14ac:dyDescent="0.2">
      <c r="A24" s="178" t="s">
        <v>41</v>
      </c>
      <c r="B24" s="194" t="s">
        <v>193</v>
      </c>
      <c r="C24" s="704">
        <f>+C25+C26+C27+C28+C29</f>
        <v>93478462</v>
      </c>
      <c r="D24" s="195" t="s">
        <v>169</v>
      </c>
      <c r="E24" s="48"/>
      <c r="F24" s="991"/>
    </row>
    <row r="25" spans="1:6" ht="12.95" customHeight="1" x14ac:dyDescent="0.2">
      <c r="A25" s="180" t="s">
        <v>42</v>
      </c>
      <c r="B25" s="193" t="s">
        <v>194</v>
      </c>
      <c r="C25" s="47">
        <v>93478462</v>
      </c>
      <c r="D25" s="195" t="s">
        <v>345</v>
      </c>
      <c r="E25" s="48"/>
      <c r="F25" s="991"/>
    </row>
    <row r="26" spans="1:6" ht="12.95" customHeight="1" x14ac:dyDescent="0.2">
      <c r="A26" s="178" t="s">
        <v>43</v>
      </c>
      <c r="B26" s="193" t="s">
        <v>195</v>
      </c>
      <c r="C26" s="47"/>
      <c r="D26" s="190"/>
      <c r="E26" s="48"/>
      <c r="F26" s="991"/>
    </row>
    <row r="27" spans="1:6" ht="12.95" customHeight="1" x14ac:dyDescent="0.2">
      <c r="A27" s="180" t="s">
        <v>44</v>
      </c>
      <c r="B27" s="192" t="s">
        <v>196</v>
      </c>
      <c r="C27" s="47"/>
      <c r="D27" s="190"/>
      <c r="E27" s="48"/>
      <c r="F27" s="991"/>
    </row>
    <row r="28" spans="1:6" ht="12.95" customHeight="1" x14ac:dyDescent="0.2">
      <c r="A28" s="178" t="s">
        <v>45</v>
      </c>
      <c r="B28" s="196" t="s">
        <v>197</v>
      </c>
      <c r="C28" s="47"/>
      <c r="D28" s="365"/>
      <c r="E28" s="48"/>
      <c r="F28" s="991"/>
    </row>
    <row r="29" spans="1:6" ht="12.95" customHeight="1" thickBot="1" x14ac:dyDescent="0.25">
      <c r="A29" s="180" t="s">
        <v>46</v>
      </c>
      <c r="B29" s="197" t="s">
        <v>198</v>
      </c>
      <c r="C29" s="47"/>
      <c r="D29" s="190"/>
      <c r="E29" s="48"/>
      <c r="F29" s="991"/>
    </row>
    <row r="30" spans="1:6" ht="21.75" customHeight="1" thickBot="1" x14ac:dyDescent="0.25">
      <c r="A30" s="183" t="s">
        <v>47</v>
      </c>
      <c r="B30" s="80" t="s">
        <v>342</v>
      </c>
      <c r="C30" s="160">
        <f>+C18+C24</f>
        <v>93478462</v>
      </c>
      <c r="D30" s="80" t="s">
        <v>346</v>
      </c>
      <c r="E30" s="164">
        <f>SUM(E18:E29)</f>
        <v>8486704</v>
      </c>
      <c r="F30" s="991"/>
    </row>
    <row r="31" spans="1:6" ht="13.5" thickBot="1" x14ac:dyDescent="0.25">
      <c r="A31" s="183" t="s">
        <v>48</v>
      </c>
      <c r="B31" s="187" t="s">
        <v>347</v>
      </c>
      <c r="C31" s="188">
        <f>+C17+C30</f>
        <v>137253233</v>
      </c>
      <c r="D31" s="187" t="s">
        <v>348</v>
      </c>
      <c r="E31" s="188">
        <f>+E17+E30</f>
        <v>641567762</v>
      </c>
      <c r="F31" s="991"/>
    </row>
    <row r="32" spans="1:6" ht="13.5" thickBot="1" x14ac:dyDescent="0.25">
      <c r="A32" s="183" t="s">
        <v>49</v>
      </c>
      <c r="B32" s="187" t="s">
        <v>145</v>
      </c>
      <c r="C32" s="188">
        <f>IF(C17-E17&lt;0,E17-C17,"-")</f>
        <v>589306287</v>
      </c>
      <c r="D32" s="187" t="s">
        <v>146</v>
      </c>
      <c r="E32" s="188" t="str">
        <f>IF(C17-E17&gt;0,C17-E17,"-")</f>
        <v>-</v>
      </c>
      <c r="F32" s="991"/>
    </row>
    <row r="33" spans="1:6" ht="13.5" thickBot="1" x14ac:dyDescent="0.25">
      <c r="A33" s="183" t="s">
        <v>50</v>
      </c>
      <c r="B33" s="187" t="s">
        <v>186</v>
      </c>
      <c r="C33" s="188">
        <f>IF(C31-E31&lt;0,E31-C31,"-")</f>
        <v>504314529</v>
      </c>
      <c r="D33" s="187" t="s">
        <v>187</v>
      </c>
      <c r="E33" s="188" t="str">
        <f>IF(C31-E31&gt;0,C31-E31,"-")</f>
        <v>-</v>
      </c>
      <c r="F33" s="991"/>
    </row>
    <row r="34" spans="1:6" x14ac:dyDescent="0.2">
      <c r="C34" s="579"/>
      <c r="D34" s="579"/>
      <c r="E34" s="579"/>
    </row>
    <row r="35" spans="1:6" x14ac:dyDescent="0.2">
      <c r="C35" s="579"/>
      <c r="D35" s="579"/>
      <c r="E35" s="579"/>
    </row>
    <row r="36" spans="1:6" x14ac:dyDescent="0.2">
      <c r="C36" s="579"/>
      <c r="D36" s="579"/>
      <c r="E36" s="579"/>
    </row>
    <row r="37" spans="1:6" x14ac:dyDescent="0.2">
      <c r="C37" s="579"/>
      <c r="D37" s="579"/>
      <c r="E37" s="579"/>
    </row>
    <row r="38" spans="1:6" x14ac:dyDescent="0.2">
      <c r="C38" s="579"/>
      <c r="D38" s="579"/>
      <c r="E38" s="579"/>
    </row>
    <row r="39" spans="1:6" x14ac:dyDescent="0.2">
      <c r="C39" s="579"/>
      <c r="D39" s="579"/>
      <c r="E39" s="579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&amp;R6. melléklet a 8/2018.(IV.27.)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87"/>
  <sheetViews>
    <sheetView tabSelected="1" topLeftCell="B1" zoomScaleNormal="100" workbookViewId="0">
      <selection activeCell="J91" sqref="J91"/>
    </sheetView>
  </sheetViews>
  <sheetFormatPr defaultColWidth="9.33203125" defaultRowHeight="12.75" x14ac:dyDescent="0.2"/>
  <cols>
    <col min="1" max="1" width="60.332031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40" customWidth="1"/>
    <col min="7" max="8" width="12.83203125" style="31" customWidth="1"/>
    <col min="9" max="9" width="13.83203125" style="31" customWidth="1"/>
    <col min="10" max="16384" width="9.33203125" style="31"/>
  </cols>
  <sheetData>
    <row r="1" spans="1:7" ht="25.5" customHeight="1" x14ac:dyDescent="0.2">
      <c r="A1" s="997" t="s">
        <v>12</v>
      </c>
      <c r="B1" s="997"/>
      <c r="C1" s="997"/>
      <c r="D1" s="997"/>
      <c r="E1" s="997"/>
      <c r="F1" s="997"/>
    </row>
    <row r="2" spans="1:7" ht="22.5" customHeight="1" thickBot="1" x14ac:dyDescent="0.3">
      <c r="A2" s="87"/>
      <c r="B2" s="40"/>
      <c r="C2" s="40"/>
      <c r="D2" s="40"/>
      <c r="E2" s="40"/>
      <c r="F2" s="38" t="s">
        <v>598</v>
      </c>
    </row>
    <row r="3" spans="1:7" s="33" customFormat="1" ht="44.25" customHeight="1" thickBot="1" x14ac:dyDescent="0.25">
      <c r="A3" s="88" t="s">
        <v>70</v>
      </c>
      <c r="B3" s="89" t="s">
        <v>71</v>
      </c>
      <c r="C3" s="89" t="s">
        <v>72</v>
      </c>
      <c r="D3" s="89" t="s">
        <v>622</v>
      </c>
      <c r="E3" s="89" t="s">
        <v>620</v>
      </c>
      <c r="F3" s="39" t="s">
        <v>623</v>
      </c>
      <c r="G3" s="346"/>
    </row>
    <row r="4" spans="1:7" s="40" customFormat="1" ht="12" customHeight="1" thickBot="1" x14ac:dyDescent="0.25">
      <c r="A4" s="342">
        <v>1</v>
      </c>
      <c r="B4" s="343">
        <v>2</v>
      </c>
      <c r="C4" s="343">
        <v>3</v>
      </c>
      <c r="D4" s="343">
        <v>4</v>
      </c>
      <c r="E4" s="343">
        <v>5</v>
      </c>
      <c r="F4" s="139" t="s">
        <v>87</v>
      </c>
    </row>
    <row r="5" spans="1:7" s="521" customFormat="1" ht="15.95" customHeight="1" x14ac:dyDescent="0.2">
      <c r="A5" s="890" t="s">
        <v>654</v>
      </c>
      <c r="B5" s="891">
        <v>359410</v>
      </c>
      <c r="C5" s="649" t="s">
        <v>676</v>
      </c>
      <c r="D5" s="341"/>
      <c r="E5" s="341">
        <v>359410</v>
      </c>
      <c r="F5" s="520">
        <f t="shared" ref="F5:F75" si="0">B5-D5-E5</f>
        <v>0</v>
      </c>
    </row>
    <row r="6" spans="1:7" s="534" customFormat="1" ht="15.95" customHeight="1" x14ac:dyDescent="0.2">
      <c r="A6" s="892" t="s">
        <v>673</v>
      </c>
      <c r="B6" s="893">
        <v>2345001</v>
      </c>
      <c r="C6" s="384" t="s">
        <v>676</v>
      </c>
      <c r="D6" s="310"/>
      <c r="E6" s="310">
        <v>2345001</v>
      </c>
      <c r="F6" s="524">
        <f t="shared" si="0"/>
        <v>0</v>
      </c>
    </row>
    <row r="7" spans="1:7" s="521" customFormat="1" ht="15.95" customHeight="1" x14ac:dyDescent="0.2">
      <c r="A7" s="894" t="s">
        <v>655</v>
      </c>
      <c r="B7" s="945">
        <f>4117750+5189661</f>
        <v>9307411</v>
      </c>
      <c r="C7" s="384" t="s">
        <v>724</v>
      </c>
      <c r="D7" s="523"/>
      <c r="E7" s="523">
        <f>4117750+5189661</f>
        <v>9307411</v>
      </c>
      <c r="F7" s="524">
        <f t="shared" si="0"/>
        <v>0</v>
      </c>
    </row>
    <row r="8" spans="1:7" s="521" customFormat="1" ht="15.95" customHeight="1" x14ac:dyDescent="0.2">
      <c r="A8" s="494" t="s">
        <v>656</v>
      </c>
      <c r="B8" s="893">
        <v>214128351</v>
      </c>
      <c r="C8" s="384" t="s">
        <v>724</v>
      </c>
      <c r="D8" s="310"/>
      <c r="E8" s="310">
        <v>214128351</v>
      </c>
      <c r="F8" s="522">
        <f t="shared" si="0"/>
        <v>0</v>
      </c>
    </row>
    <row r="9" spans="1:7" s="526" customFormat="1" ht="25.5" customHeight="1" x14ac:dyDescent="0.2">
      <c r="A9" s="894" t="s">
        <v>657</v>
      </c>
      <c r="B9" s="893">
        <v>762000</v>
      </c>
      <c r="C9" s="384" t="s">
        <v>676</v>
      </c>
      <c r="D9" s="310"/>
      <c r="E9" s="310">
        <v>762000</v>
      </c>
      <c r="F9" s="525">
        <f t="shared" si="0"/>
        <v>0</v>
      </c>
    </row>
    <row r="10" spans="1:7" s="521" customFormat="1" ht="15.95" customHeight="1" x14ac:dyDescent="0.2">
      <c r="A10" s="650" t="s">
        <v>658</v>
      </c>
      <c r="B10" s="893">
        <v>12873483</v>
      </c>
      <c r="C10" s="384" t="s">
        <v>724</v>
      </c>
      <c r="D10" s="280"/>
      <c r="E10" s="280">
        <v>12873483</v>
      </c>
      <c r="F10" s="522">
        <f t="shared" si="0"/>
        <v>0</v>
      </c>
    </row>
    <row r="11" spans="1:7" s="521" customFormat="1" ht="18.75" customHeight="1" x14ac:dyDescent="0.2">
      <c r="A11" s="892" t="s">
        <v>659</v>
      </c>
      <c r="B11" s="893">
        <v>381000</v>
      </c>
      <c r="C11" s="384" t="s">
        <v>676</v>
      </c>
      <c r="D11" s="523"/>
      <c r="E11" s="310">
        <v>381000</v>
      </c>
      <c r="F11" s="524">
        <f t="shared" si="0"/>
        <v>0</v>
      </c>
    </row>
    <row r="12" spans="1:7" s="521" customFormat="1" ht="15.95" customHeight="1" x14ac:dyDescent="0.2">
      <c r="A12" s="895" t="s">
        <v>660</v>
      </c>
      <c r="B12" s="896">
        <v>1500000</v>
      </c>
      <c r="C12" s="384" t="s">
        <v>676</v>
      </c>
      <c r="D12" s="651"/>
      <c r="E12" s="582">
        <v>1500000</v>
      </c>
    </row>
    <row r="13" spans="1:7" s="521" customFormat="1" ht="15.95" customHeight="1" x14ac:dyDescent="0.2">
      <c r="A13" s="944" t="s">
        <v>746</v>
      </c>
      <c r="B13" s="945">
        <v>1422400</v>
      </c>
      <c r="C13" s="946" t="s">
        <v>676</v>
      </c>
      <c r="D13" s="949"/>
      <c r="E13" s="523">
        <v>1422400</v>
      </c>
      <c r="F13" s="524">
        <f>B12-D12-E12</f>
        <v>0</v>
      </c>
    </row>
    <row r="14" spans="1:7" s="521" customFormat="1" ht="15.95" customHeight="1" x14ac:dyDescent="0.2">
      <c r="A14" s="944" t="s">
        <v>745</v>
      </c>
      <c r="B14" s="945">
        <v>457200</v>
      </c>
      <c r="C14" s="946" t="s">
        <v>676</v>
      </c>
      <c r="D14" s="949"/>
      <c r="E14" s="523">
        <v>457200</v>
      </c>
      <c r="F14" s="524">
        <f t="shared" si="0"/>
        <v>0</v>
      </c>
    </row>
    <row r="15" spans="1:7" s="521" customFormat="1" ht="15.95" customHeight="1" x14ac:dyDescent="0.2">
      <c r="A15" s="895" t="s">
        <v>674</v>
      </c>
      <c r="B15" s="896">
        <v>2740000</v>
      </c>
      <c r="C15" s="384" t="s">
        <v>676</v>
      </c>
      <c r="D15" s="582"/>
      <c r="E15" s="582">
        <v>2740000</v>
      </c>
      <c r="F15" s="522">
        <f t="shared" si="0"/>
        <v>0</v>
      </c>
    </row>
    <row r="16" spans="1:7" s="521" customFormat="1" ht="15.95" customHeight="1" x14ac:dyDescent="0.2">
      <c r="A16" s="894" t="s">
        <v>661</v>
      </c>
      <c r="B16" s="896">
        <v>374185</v>
      </c>
      <c r="C16" s="384" t="s">
        <v>676</v>
      </c>
      <c r="D16" s="582"/>
      <c r="E16" s="582">
        <v>374185</v>
      </c>
      <c r="F16" s="522">
        <f t="shared" si="0"/>
        <v>0</v>
      </c>
    </row>
    <row r="17" spans="1:6" s="521" customFormat="1" ht="15.95" customHeight="1" x14ac:dyDescent="0.2">
      <c r="A17" s="892" t="s">
        <v>662</v>
      </c>
      <c r="B17" s="893">
        <v>25400</v>
      </c>
      <c r="C17" s="384" t="s">
        <v>676</v>
      </c>
      <c r="D17" s="523"/>
      <c r="E17" s="310">
        <v>25400</v>
      </c>
      <c r="F17" s="524">
        <f t="shared" si="0"/>
        <v>0</v>
      </c>
    </row>
    <row r="18" spans="1:6" s="521" customFormat="1" ht="21.75" customHeight="1" x14ac:dyDescent="0.2">
      <c r="A18" s="944" t="s">
        <v>743</v>
      </c>
      <c r="B18" s="945">
        <v>275000</v>
      </c>
      <c r="C18" s="946" t="s">
        <v>676</v>
      </c>
      <c r="D18" s="523"/>
      <c r="E18" s="523">
        <v>275000</v>
      </c>
      <c r="F18" s="524">
        <f t="shared" si="0"/>
        <v>0</v>
      </c>
    </row>
    <row r="19" spans="1:6" s="521" customFormat="1" ht="15.95" customHeight="1" x14ac:dyDescent="0.2">
      <c r="A19" s="897" t="s">
        <v>663</v>
      </c>
      <c r="B19" s="896">
        <v>254000</v>
      </c>
      <c r="C19" s="384" t="s">
        <v>676</v>
      </c>
      <c r="D19" s="528"/>
      <c r="E19" s="310">
        <v>254000</v>
      </c>
      <c r="F19" s="529">
        <f t="shared" si="0"/>
        <v>0</v>
      </c>
    </row>
    <row r="20" spans="1:6" s="521" customFormat="1" ht="15.95" customHeight="1" x14ac:dyDescent="0.2">
      <c r="A20" s="897" t="s">
        <v>664</v>
      </c>
      <c r="B20" s="896">
        <f>75588869-1863013-14128085-879687</f>
        <v>58718084</v>
      </c>
      <c r="C20" s="384" t="s">
        <v>724</v>
      </c>
      <c r="D20" s="523">
        <f>25930681-472408-20930495</f>
        <v>4527778</v>
      </c>
      <c r="E20" s="523">
        <f>33259811+20930495</f>
        <v>54190306</v>
      </c>
      <c r="F20" s="527">
        <f t="shared" si="0"/>
        <v>0</v>
      </c>
    </row>
    <row r="21" spans="1:6" s="526" customFormat="1" ht="15.75" customHeight="1" x14ac:dyDescent="0.2">
      <c r="A21" s="897" t="s">
        <v>665</v>
      </c>
      <c r="B21" s="898">
        <v>381000</v>
      </c>
      <c r="C21" s="384" t="s">
        <v>676</v>
      </c>
      <c r="D21" s="582"/>
      <c r="E21" s="582">
        <v>381000</v>
      </c>
      <c r="F21" s="522">
        <f t="shared" si="0"/>
        <v>0</v>
      </c>
    </row>
    <row r="22" spans="1:6" s="526" customFormat="1" ht="15.75" customHeight="1" x14ac:dyDescent="0.2">
      <c r="A22" s="897" t="s">
        <v>666</v>
      </c>
      <c r="B22" s="898">
        <v>377190</v>
      </c>
      <c r="C22" s="384" t="s">
        <v>676</v>
      </c>
      <c r="D22" s="528"/>
      <c r="E22" s="310">
        <v>377190</v>
      </c>
      <c r="F22" s="688">
        <f t="shared" si="0"/>
        <v>0</v>
      </c>
    </row>
    <row r="23" spans="1:6" s="521" customFormat="1" ht="15.75" customHeight="1" x14ac:dyDescent="0.2">
      <c r="A23" s="897" t="s">
        <v>667</v>
      </c>
      <c r="B23" s="898">
        <v>2338070</v>
      </c>
      <c r="C23" s="384" t="s">
        <v>676</v>
      </c>
      <c r="D23" s="528"/>
      <c r="E23" s="310">
        <v>2338070</v>
      </c>
      <c r="F23" s="688">
        <f t="shared" si="0"/>
        <v>0</v>
      </c>
    </row>
    <row r="24" spans="1:6" s="521" customFormat="1" ht="15.75" customHeight="1" x14ac:dyDescent="0.2">
      <c r="A24" s="897" t="s">
        <v>668</v>
      </c>
      <c r="B24" s="898">
        <v>4950460</v>
      </c>
      <c r="C24" s="384" t="s">
        <v>676</v>
      </c>
      <c r="D24" s="582"/>
      <c r="E24" s="582">
        <v>4950460</v>
      </c>
      <c r="F24" s="522">
        <f t="shared" si="0"/>
        <v>0</v>
      </c>
    </row>
    <row r="25" spans="1:6" s="521" customFormat="1" ht="15.75" customHeight="1" x14ac:dyDescent="0.2">
      <c r="A25" s="947" t="s">
        <v>744</v>
      </c>
      <c r="B25" s="948">
        <v>3000</v>
      </c>
      <c r="C25" s="946" t="s">
        <v>676</v>
      </c>
      <c r="D25" s="523"/>
      <c r="E25" s="523">
        <v>3000</v>
      </c>
      <c r="F25" s="522">
        <f t="shared" si="0"/>
        <v>0</v>
      </c>
    </row>
    <row r="26" spans="1:6" s="526" customFormat="1" ht="15.75" customHeight="1" x14ac:dyDescent="0.2">
      <c r="A26" s="899" t="s">
        <v>590</v>
      </c>
      <c r="B26" s="896"/>
      <c r="C26" s="384"/>
      <c r="D26" s="582"/>
      <c r="E26" s="582"/>
      <c r="F26" s="527">
        <f t="shared" si="0"/>
        <v>0</v>
      </c>
    </row>
    <row r="27" spans="1:6" s="521" customFormat="1" ht="15.75" customHeight="1" x14ac:dyDescent="0.2">
      <c r="A27" s="900" t="s">
        <v>669</v>
      </c>
      <c r="B27" s="896">
        <v>1153160</v>
      </c>
      <c r="C27" s="384" t="s">
        <v>676</v>
      </c>
      <c r="D27" s="582"/>
      <c r="E27" s="582">
        <v>1153160</v>
      </c>
      <c r="F27" s="522">
        <f t="shared" si="0"/>
        <v>0</v>
      </c>
    </row>
    <row r="28" spans="1:6" s="521" customFormat="1" ht="15.75" customHeight="1" x14ac:dyDescent="0.2">
      <c r="A28" s="900" t="s">
        <v>670</v>
      </c>
      <c r="B28" s="901">
        <v>840740</v>
      </c>
      <c r="C28" s="384" t="s">
        <v>676</v>
      </c>
      <c r="D28" s="582"/>
      <c r="E28" s="582">
        <v>840740</v>
      </c>
      <c r="F28" s="530">
        <f t="shared" si="0"/>
        <v>0</v>
      </c>
    </row>
    <row r="29" spans="1:6" s="526" customFormat="1" ht="15.75" customHeight="1" x14ac:dyDescent="0.2">
      <c r="A29" s="900" t="s">
        <v>671</v>
      </c>
      <c r="B29" s="901">
        <v>2000250</v>
      </c>
      <c r="C29" s="384" t="s">
        <v>676</v>
      </c>
      <c r="D29" s="582"/>
      <c r="E29" s="582">
        <v>2000250</v>
      </c>
      <c r="F29" s="530">
        <f t="shared" si="0"/>
        <v>0</v>
      </c>
    </row>
    <row r="30" spans="1:6" s="521" customFormat="1" ht="15.75" customHeight="1" thickBot="1" x14ac:dyDescent="0.25">
      <c r="A30" s="900" t="s">
        <v>672</v>
      </c>
      <c r="B30" s="901">
        <v>925830</v>
      </c>
      <c r="C30" s="384" t="s">
        <v>676</v>
      </c>
      <c r="D30" s="582"/>
      <c r="E30" s="582">
        <v>925830</v>
      </c>
      <c r="F30" s="530">
        <f t="shared" si="0"/>
        <v>0</v>
      </c>
    </row>
    <row r="31" spans="1:6" s="526" customFormat="1" ht="15.75" customHeight="1" x14ac:dyDescent="0.2">
      <c r="A31" s="924" t="s">
        <v>565</v>
      </c>
      <c r="B31" s="705"/>
      <c r="C31" s="706"/>
      <c r="D31" s="707"/>
      <c r="E31" s="707"/>
      <c r="F31" s="708">
        <f t="shared" si="0"/>
        <v>0</v>
      </c>
    </row>
    <row r="32" spans="1:6" s="521" customFormat="1" ht="15.75" customHeight="1" x14ac:dyDescent="0.2">
      <c r="A32" s="709" t="s">
        <v>675</v>
      </c>
      <c r="B32" s="710">
        <v>300000</v>
      </c>
      <c r="C32" s="711" t="s">
        <v>676</v>
      </c>
      <c r="D32" s="712"/>
      <c r="E32" s="712">
        <v>300000</v>
      </c>
      <c r="F32" s="524">
        <f t="shared" si="0"/>
        <v>0</v>
      </c>
    </row>
    <row r="33" spans="1:6" s="526" customFormat="1" ht="15.75" customHeight="1" x14ac:dyDescent="0.2">
      <c r="A33" s="713" t="s">
        <v>677</v>
      </c>
      <c r="B33" s="714">
        <v>350000</v>
      </c>
      <c r="C33" s="715" t="s">
        <v>676</v>
      </c>
      <c r="D33" s="716"/>
      <c r="E33" s="716">
        <v>350000</v>
      </c>
      <c r="F33" s="524">
        <f t="shared" si="0"/>
        <v>0</v>
      </c>
    </row>
    <row r="34" spans="1:6" s="521" customFormat="1" ht="15.75" customHeight="1" x14ac:dyDescent="0.2">
      <c r="A34" s="717" t="s">
        <v>678</v>
      </c>
      <c r="B34" s="718">
        <v>150000</v>
      </c>
      <c r="C34" s="719" t="s">
        <v>676</v>
      </c>
      <c r="D34" s="720"/>
      <c r="E34" s="720">
        <v>150000</v>
      </c>
      <c r="F34" s="524">
        <f t="shared" si="0"/>
        <v>0</v>
      </c>
    </row>
    <row r="35" spans="1:6" s="526" customFormat="1" ht="15.75" customHeight="1" x14ac:dyDescent="0.2">
      <c r="A35" s="925" t="s">
        <v>679</v>
      </c>
      <c r="B35" s="926">
        <v>83960</v>
      </c>
      <c r="C35" s="902" t="s">
        <v>676</v>
      </c>
      <c r="D35" s="927"/>
      <c r="E35" s="927">
        <v>83960</v>
      </c>
      <c r="F35" s="928">
        <f t="shared" si="0"/>
        <v>0</v>
      </c>
    </row>
    <row r="36" spans="1:6" s="534" customFormat="1" ht="15.75" customHeight="1" x14ac:dyDescent="0.2">
      <c r="A36" s="925" t="s">
        <v>736</v>
      </c>
      <c r="B36" s="926">
        <v>16040</v>
      </c>
      <c r="C36" s="902" t="s">
        <v>676</v>
      </c>
      <c r="D36" s="927"/>
      <c r="E36" s="927">
        <v>16040</v>
      </c>
      <c r="F36" s="524">
        <f t="shared" si="0"/>
        <v>0</v>
      </c>
    </row>
    <row r="37" spans="1:6" s="526" customFormat="1" ht="15.75" customHeight="1" x14ac:dyDescent="0.2">
      <c r="A37" s="721" t="s">
        <v>680</v>
      </c>
      <c r="B37" s="710">
        <v>180000</v>
      </c>
      <c r="C37" s="711" t="s">
        <v>724</v>
      </c>
      <c r="D37" s="712">
        <v>0</v>
      </c>
      <c r="E37" s="712">
        <v>180000</v>
      </c>
      <c r="F37" s="525">
        <f t="shared" si="0"/>
        <v>0</v>
      </c>
    </row>
    <row r="38" spans="1:6" s="521" customFormat="1" ht="15.75" customHeight="1" x14ac:dyDescent="0.2">
      <c r="A38" s="722" t="s">
        <v>681</v>
      </c>
      <c r="B38" s="710">
        <v>149000</v>
      </c>
      <c r="C38" s="719" t="s">
        <v>676</v>
      </c>
      <c r="D38" s="712"/>
      <c r="E38" s="712">
        <v>149000</v>
      </c>
      <c r="F38" s="522">
        <f t="shared" si="0"/>
        <v>0</v>
      </c>
    </row>
    <row r="39" spans="1:6" s="521" customFormat="1" ht="15.75" customHeight="1" x14ac:dyDescent="0.2">
      <c r="A39" s="723" t="s">
        <v>411</v>
      </c>
      <c r="B39" s="710"/>
      <c r="C39" s="719"/>
      <c r="D39" s="712"/>
      <c r="E39" s="712"/>
      <c r="F39" s="524">
        <f t="shared" si="0"/>
        <v>0</v>
      </c>
    </row>
    <row r="40" spans="1:6" s="521" customFormat="1" ht="15.75" customHeight="1" x14ac:dyDescent="0.2">
      <c r="A40" s="724" t="s">
        <v>682</v>
      </c>
      <c r="B40" s="718">
        <v>1290385</v>
      </c>
      <c r="C40" s="719" t="s">
        <v>676</v>
      </c>
      <c r="D40" s="725"/>
      <c r="E40" s="720">
        <v>1290385</v>
      </c>
      <c r="F40" s="522">
        <f t="shared" si="0"/>
        <v>0</v>
      </c>
    </row>
    <row r="41" spans="1:6" s="531" customFormat="1" ht="15.75" customHeight="1" x14ac:dyDescent="0.2">
      <c r="A41" s="724" t="s">
        <v>683</v>
      </c>
      <c r="B41" s="718">
        <v>254000</v>
      </c>
      <c r="C41" s="719" t="s">
        <v>676</v>
      </c>
      <c r="D41" s="720"/>
      <c r="E41" s="720">
        <v>254000</v>
      </c>
      <c r="F41" s="522">
        <f t="shared" si="0"/>
        <v>0</v>
      </c>
    </row>
    <row r="42" spans="1:6" s="521" customFormat="1" ht="15.75" customHeight="1" x14ac:dyDescent="0.2">
      <c r="A42" s="724" t="s">
        <v>684</v>
      </c>
      <c r="B42" s="718">
        <v>38100</v>
      </c>
      <c r="C42" s="719" t="s">
        <v>676</v>
      </c>
      <c r="D42" s="720"/>
      <c r="E42" s="720">
        <v>38100</v>
      </c>
      <c r="F42" s="522">
        <f t="shared" si="0"/>
        <v>0</v>
      </c>
    </row>
    <row r="43" spans="1:6" s="526" customFormat="1" ht="15.75" customHeight="1" x14ac:dyDescent="0.2">
      <c r="A43" s="721" t="s">
        <v>685</v>
      </c>
      <c r="B43" s="718">
        <v>89445</v>
      </c>
      <c r="C43" s="719" t="s">
        <v>676</v>
      </c>
      <c r="D43" s="720"/>
      <c r="E43" s="720">
        <v>89445</v>
      </c>
      <c r="F43" s="522">
        <f t="shared" si="0"/>
        <v>0</v>
      </c>
    </row>
    <row r="44" spans="1:6" s="532" customFormat="1" ht="18.75" customHeight="1" x14ac:dyDescent="0.2">
      <c r="A44" s="726" t="s">
        <v>686</v>
      </c>
      <c r="B44" s="718">
        <v>234950</v>
      </c>
      <c r="C44" s="719" t="s">
        <v>676</v>
      </c>
      <c r="D44" s="720"/>
      <c r="E44" s="720">
        <v>234950</v>
      </c>
      <c r="F44" s="529">
        <f t="shared" si="0"/>
        <v>0</v>
      </c>
    </row>
    <row r="45" spans="1:6" s="521" customFormat="1" ht="16.5" customHeight="1" x14ac:dyDescent="0.2">
      <c r="A45" s="727" t="s">
        <v>687</v>
      </c>
      <c r="B45" s="718">
        <v>190500</v>
      </c>
      <c r="C45" s="719" t="s">
        <v>676</v>
      </c>
      <c r="D45" s="720"/>
      <c r="E45" s="720">
        <v>190500</v>
      </c>
      <c r="F45" s="527">
        <f t="shared" si="0"/>
        <v>0</v>
      </c>
    </row>
    <row r="46" spans="1:6" s="521" customFormat="1" ht="16.5" customHeight="1" x14ac:dyDescent="0.2">
      <c r="A46" s="728" t="s">
        <v>688</v>
      </c>
      <c r="B46" s="718"/>
      <c r="C46" s="719"/>
      <c r="D46" s="720"/>
      <c r="E46" s="720"/>
      <c r="F46" s="522">
        <f t="shared" si="0"/>
        <v>0</v>
      </c>
    </row>
    <row r="47" spans="1:6" s="533" customFormat="1" ht="16.5" customHeight="1" x14ac:dyDescent="0.2">
      <c r="A47" s="727" t="s">
        <v>689</v>
      </c>
      <c r="B47" s="718">
        <v>300000</v>
      </c>
      <c r="C47" s="719" t="s">
        <v>676</v>
      </c>
      <c r="D47" s="720"/>
      <c r="E47" s="720">
        <v>300000</v>
      </c>
      <c r="F47" s="522">
        <f t="shared" si="0"/>
        <v>0</v>
      </c>
    </row>
    <row r="48" spans="1:6" s="534" customFormat="1" ht="22.5" customHeight="1" x14ac:dyDescent="0.2">
      <c r="A48" s="727" t="s">
        <v>690</v>
      </c>
      <c r="B48" s="718">
        <v>14500</v>
      </c>
      <c r="C48" s="719" t="s">
        <v>676</v>
      </c>
      <c r="D48" s="720"/>
      <c r="E48" s="720">
        <v>14500</v>
      </c>
      <c r="F48" s="522">
        <f t="shared" si="0"/>
        <v>0</v>
      </c>
    </row>
    <row r="49" spans="1:6" s="526" customFormat="1" ht="22.5" customHeight="1" x14ac:dyDescent="0.2">
      <c r="A49" s="727" t="s">
        <v>691</v>
      </c>
      <c r="B49" s="718">
        <v>500000</v>
      </c>
      <c r="C49" s="719" t="s">
        <v>676</v>
      </c>
      <c r="D49" s="720"/>
      <c r="E49" s="720">
        <v>500000</v>
      </c>
      <c r="F49" s="529">
        <f t="shared" si="0"/>
        <v>0</v>
      </c>
    </row>
    <row r="50" spans="1:6" s="526" customFormat="1" ht="22.5" customHeight="1" x14ac:dyDescent="0.2">
      <c r="A50" s="727" t="s">
        <v>692</v>
      </c>
      <c r="B50" s="718">
        <v>60000</v>
      </c>
      <c r="C50" s="719" t="s">
        <v>676</v>
      </c>
      <c r="D50" s="720"/>
      <c r="E50" s="720">
        <v>60000</v>
      </c>
      <c r="F50" s="529">
        <f t="shared" si="0"/>
        <v>0</v>
      </c>
    </row>
    <row r="51" spans="1:6" s="534" customFormat="1" ht="22.5" customHeight="1" x14ac:dyDescent="0.2">
      <c r="A51" s="727" t="s">
        <v>693</v>
      </c>
      <c r="B51" s="718">
        <v>35000</v>
      </c>
      <c r="C51" s="719" t="s">
        <v>676</v>
      </c>
      <c r="D51" s="720"/>
      <c r="E51" s="720">
        <v>35000</v>
      </c>
      <c r="F51" s="522">
        <f t="shared" si="0"/>
        <v>0</v>
      </c>
    </row>
    <row r="52" spans="1:6" s="534" customFormat="1" ht="22.5" customHeight="1" x14ac:dyDescent="0.2">
      <c r="A52" s="727" t="s">
        <v>694</v>
      </c>
      <c r="B52" s="718">
        <v>90000</v>
      </c>
      <c r="C52" s="719" t="s">
        <v>676</v>
      </c>
      <c r="D52" s="720"/>
      <c r="E52" s="720">
        <v>90000</v>
      </c>
      <c r="F52" s="522">
        <f t="shared" si="0"/>
        <v>0</v>
      </c>
    </row>
    <row r="53" spans="1:6" s="534" customFormat="1" ht="22.5" customHeight="1" x14ac:dyDescent="0.2">
      <c r="A53" s="727" t="s">
        <v>695</v>
      </c>
      <c r="B53" s="718">
        <v>30000</v>
      </c>
      <c r="C53" s="719" t="s">
        <v>676</v>
      </c>
      <c r="D53" s="720"/>
      <c r="E53" s="720">
        <v>30000</v>
      </c>
      <c r="F53" s="522">
        <f t="shared" si="0"/>
        <v>0</v>
      </c>
    </row>
    <row r="54" spans="1:6" s="534" customFormat="1" ht="22.5" customHeight="1" x14ac:dyDescent="0.2">
      <c r="A54" s="727" t="s">
        <v>696</v>
      </c>
      <c r="B54" s="718">
        <v>37000</v>
      </c>
      <c r="C54" s="719" t="s">
        <v>676</v>
      </c>
      <c r="D54" s="720"/>
      <c r="E54" s="720">
        <v>37000</v>
      </c>
      <c r="F54" s="529">
        <f t="shared" si="0"/>
        <v>0</v>
      </c>
    </row>
    <row r="55" spans="1:6" s="521" customFormat="1" ht="21" customHeight="1" x14ac:dyDescent="0.2">
      <c r="A55" s="729" t="s">
        <v>697</v>
      </c>
      <c r="B55" s="718">
        <v>1612204</v>
      </c>
      <c r="C55" s="719" t="s">
        <v>676</v>
      </c>
      <c r="D55" s="720"/>
      <c r="E55" s="720">
        <v>1612204</v>
      </c>
      <c r="F55" s="522">
        <f t="shared" si="0"/>
        <v>0</v>
      </c>
    </row>
    <row r="56" spans="1:6" s="526" customFormat="1" ht="21" customHeight="1" x14ac:dyDescent="0.2">
      <c r="A56" s="730" t="s">
        <v>698</v>
      </c>
      <c r="B56" s="580"/>
      <c r="C56" s="581"/>
      <c r="D56" s="582"/>
      <c r="E56" s="582"/>
      <c r="F56" s="529">
        <f t="shared" si="0"/>
        <v>0</v>
      </c>
    </row>
    <row r="57" spans="1:6" s="526" customFormat="1" ht="21" customHeight="1" x14ac:dyDescent="0.2">
      <c r="A57" s="731" t="s">
        <v>699</v>
      </c>
      <c r="B57" s="580"/>
      <c r="C57" s="581"/>
      <c r="D57" s="582"/>
      <c r="E57" s="582"/>
      <c r="F57" s="527">
        <f t="shared" si="0"/>
        <v>0</v>
      </c>
    </row>
    <row r="58" spans="1:6" s="526" customFormat="1" ht="24" customHeight="1" x14ac:dyDescent="0.2">
      <c r="A58" s="732" t="s">
        <v>700</v>
      </c>
      <c r="B58" s="733">
        <v>380000</v>
      </c>
      <c r="C58" s="673" t="s">
        <v>676</v>
      </c>
      <c r="D58" s="582"/>
      <c r="E58" s="734">
        <v>380000</v>
      </c>
      <c r="F58" s="522">
        <f t="shared" si="0"/>
        <v>0</v>
      </c>
    </row>
    <row r="59" spans="1:6" s="526" customFormat="1" x14ac:dyDescent="0.2">
      <c r="A59" s="735" t="s">
        <v>701</v>
      </c>
      <c r="B59" s="733">
        <v>40000</v>
      </c>
      <c r="C59" s="673" t="s">
        <v>676</v>
      </c>
      <c r="D59" s="582"/>
      <c r="E59" s="734">
        <v>40000</v>
      </c>
      <c r="F59" s="522">
        <f t="shared" si="0"/>
        <v>0</v>
      </c>
    </row>
    <row r="60" spans="1:6" s="526" customFormat="1" x14ac:dyDescent="0.2">
      <c r="A60" s="735" t="s">
        <v>702</v>
      </c>
      <c r="B60" s="733">
        <v>5000</v>
      </c>
      <c r="C60" s="673" t="s">
        <v>676</v>
      </c>
      <c r="D60" s="582"/>
      <c r="E60" s="734">
        <v>5000</v>
      </c>
      <c r="F60" s="522">
        <f t="shared" si="0"/>
        <v>0</v>
      </c>
    </row>
    <row r="61" spans="1:6" s="526" customFormat="1" x14ac:dyDescent="0.2">
      <c r="A61" s="929" t="s">
        <v>703</v>
      </c>
      <c r="B61" s="733"/>
      <c r="C61" s="673"/>
      <c r="D61" s="582"/>
      <c r="E61" s="734"/>
      <c r="F61" s="522">
        <f t="shared" si="0"/>
        <v>0</v>
      </c>
    </row>
    <row r="62" spans="1:6" s="534" customFormat="1" x14ac:dyDescent="0.2">
      <c r="A62" s="930" t="s">
        <v>737</v>
      </c>
      <c r="B62" s="931">
        <v>116080</v>
      </c>
      <c r="C62" s="932" t="s">
        <v>676</v>
      </c>
      <c r="D62" s="528"/>
      <c r="E62" s="933">
        <v>116080</v>
      </c>
      <c r="F62" s="529"/>
    </row>
    <row r="63" spans="1:6" s="534" customFormat="1" x14ac:dyDescent="0.2">
      <c r="A63" s="930" t="s">
        <v>704</v>
      </c>
      <c r="B63" s="931">
        <v>53253</v>
      </c>
      <c r="C63" s="932" t="s">
        <v>676</v>
      </c>
      <c r="D63" s="528"/>
      <c r="E63" s="933">
        <v>53253</v>
      </c>
      <c r="F63" s="529"/>
    </row>
    <row r="64" spans="1:6" s="521" customFormat="1" ht="21" customHeight="1" x14ac:dyDescent="0.2">
      <c r="A64" s="735" t="s">
        <v>705</v>
      </c>
      <c r="B64" s="733">
        <v>70000</v>
      </c>
      <c r="C64" s="673" t="s">
        <v>676</v>
      </c>
      <c r="D64" s="582"/>
      <c r="E64" s="734">
        <v>70000</v>
      </c>
      <c r="F64" s="522">
        <f t="shared" si="0"/>
        <v>0</v>
      </c>
    </row>
    <row r="65" spans="1:6" s="534" customFormat="1" ht="19.5" customHeight="1" x14ac:dyDescent="0.2">
      <c r="A65" s="735" t="s">
        <v>706</v>
      </c>
      <c r="B65" s="733">
        <v>120000</v>
      </c>
      <c r="C65" s="673" t="s">
        <v>676</v>
      </c>
      <c r="D65" s="582"/>
      <c r="E65" s="734">
        <v>120000</v>
      </c>
      <c r="F65" s="522">
        <f t="shared" si="0"/>
        <v>0</v>
      </c>
    </row>
    <row r="66" spans="1:6" s="534" customFormat="1" ht="19.5" customHeight="1" x14ac:dyDescent="0.2">
      <c r="A66" s="929" t="s">
        <v>707</v>
      </c>
      <c r="B66" s="580"/>
      <c r="C66" s="581"/>
      <c r="D66" s="582"/>
      <c r="E66" s="582"/>
      <c r="F66" s="522">
        <f t="shared" si="0"/>
        <v>0</v>
      </c>
    </row>
    <row r="67" spans="1:6" s="534" customFormat="1" ht="19.5" customHeight="1" x14ac:dyDescent="0.2">
      <c r="A67" s="735" t="s">
        <v>706</v>
      </c>
      <c r="B67" s="736">
        <v>100000</v>
      </c>
      <c r="C67" s="673" t="s">
        <v>676</v>
      </c>
      <c r="D67" s="737"/>
      <c r="E67" s="737">
        <v>100000</v>
      </c>
      <c r="F67" s="738">
        <f t="shared" si="0"/>
        <v>0</v>
      </c>
    </row>
    <row r="68" spans="1:6" s="534" customFormat="1" ht="19.5" customHeight="1" x14ac:dyDescent="0.2">
      <c r="A68" s="735" t="s">
        <v>708</v>
      </c>
      <c r="B68" s="736">
        <v>33000</v>
      </c>
      <c r="C68" s="673" t="s">
        <v>676</v>
      </c>
      <c r="D68" s="737"/>
      <c r="E68" s="737">
        <v>33000</v>
      </c>
      <c r="F68" s="738">
        <f t="shared" si="0"/>
        <v>0</v>
      </c>
    </row>
    <row r="69" spans="1:6" s="534" customFormat="1" ht="19.5" customHeight="1" x14ac:dyDescent="0.2">
      <c r="A69" s="930" t="s">
        <v>738</v>
      </c>
      <c r="B69" s="934">
        <v>28053</v>
      </c>
      <c r="C69" s="932" t="s">
        <v>676</v>
      </c>
      <c r="D69" s="935"/>
      <c r="E69" s="935">
        <v>28053</v>
      </c>
      <c r="F69" s="744"/>
    </row>
    <row r="70" spans="1:6" s="534" customFormat="1" ht="19.5" customHeight="1" x14ac:dyDescent="0.2">
      <c r="A70" s="739" t="s">
        <v>709</v>
      </c>
      <c r="B70" s="736">
        <v>2072918</v>
      </c>
      <c r="C70" s="673" t="s">
        <v>676</v>
      </c>
      <c r="D70" s="737"/>
      <c r="E70" s="737">
        <v>2072918</v>
      </c>
      <c r="F70" s="738">
        <f t="shared" si="0"/>
        <v>0</v>
      </c>
    </row>
    <row r="71" spans="1:6" s="937" customFormat="1" ht="18" customHeight="1" x14ac:dyDescent="0.2">
      <c r="A71" s="936" t="s">
        <v>739</v>
      </c>
      <c r="B71" s="934">
        <v>28364</v>
      </c>
      <c r="C71" s="932" t="s">
        <v>676</v>
      </c>
      <c r="D71" s="935"/>
      <c r="E71" s="935">
        <v>28364</v>
      </c>
      <c r="F71" s="744">
        <f t="shared" si="0"/>
        <v>0</v>
      </c>
    </row>
    <row r="72" spans="1:6" s="937" customFormat="1" ht="18" customHeight="1" x14ac:dyDescent="0.2">
      <c r="A72" s="936" t="s">
        <v>740</v>
      </c>
      <c r="B72" s="934">
        <v>24250</v>
      </c>
      <c r="C72" s="932" t="s">
        <v>676</v>
      </c>
      <c r="D72" s="935"/>
      <c r="E72" s="935">
        <v>24250</v>
      </c>
      <c r="F72" s="744">
        <f t="shared" si="0"/>
        <v>0</v>
      </c>
    </row>
    <row r="73" spans="1:6" s="937" customFormat="1" ht="18" customHeight="1" x14ac:dyDescent="0.2">
      <c r="A73" s="936" t="s">
        <v>741</v>
      </c>
      <c r="B73" s="934">
        <v>599137</v>
      </c>
      <c r="C73" s="932" t="s">
        <v>676</v>
      </c>
      <c r="D73" s="935"/>
      <c r="E73" s="935">
        <v>599137</v>
      </c>
      <c r="F73" s="522">
        <f t="shared" si="0"/>
        <v>0</v>
      </c>
    </row>
    <row r="74" spans="1:6" x14ac:dyDescent="0.2">
      <c r="A74" s="739" t="s">
        <v>710</v>
      </c>
      <c r="B74" s="736">
        <v>29000</v>
      </c>
      <c r="C74" s="673" t="s">
        <v>676</v>
      </c>
      <c r="D74" s="737"/>
      <c r="E74" s="737">
        <v>29000</v>
      </c>
      <c r="F74" s="738">
        <f t="shared" si="0"/>
        <v>0</v>
      </c>
    </row>
    <row r="75" spans="1:6" x14ac:dyDescent="0.2">
      <c r="A75" s="739" t="s">
        <v>711</v>
      </c>
      <c r="B75" s="736">
        <v>5000000</v>
      </c>
      <c r="C75" s="673" t="s">
        <v>676</v>
      </c>
      <c r="D75" s="737"/>
      <c r="E75" s="737">
        <v>5000000</v>
      </c>
      <c r="F75" s="738">
        <f t="shared" si="0"/>
        <v>0</v>
      </c>
    </row>
    <row r="76" spans="1:6" ht="25.5" x14ac:dyDescent="0.2">
      <c r="A76" s="740" t="s">
        <v>712</v>
      </c>
      <c r="B76" s="736">
        <v>102700</v>
      </c>
      <c r="C76" s="673" t="s">
        <v>676</v>
      </c>
      <c r="D76" s="737"/>
      <c r="E76" s="737">
        <v>102700</v>
      </c>
      <c r="F76" s="738">
        <f t="shared" ref="F76" si="1">B76-D76-E76</f>
        <v>0</v>
      </c>
    </row>
    <row r="77" spans="1:6" x14ac:dyDescent="0.2">
      <c r="A77" s="739" t="s">
        <v>713</v>
      </c>
      <c r="B77" s="733">
        <v>120000</v>
      </c>
      <c r="C77" s="715" t="s">
        <v>676</v>
      </c>
      <c r="D77" s="741"/>
      <c r="E77" s="734">
        <v>120000</v>
      </c>
      <c r="F77" s="742"/>
    </row>
    <row r="78" spans="1:6" x14ac:dyDescent="0.2">
      <c r="A78" s="739" t="s">
        <v>714</v>
      </c>
      <c r="B78" s="733">
        <v>10000</v>
      </c>
      <c r="C78" s="673" t="s">
        <v>676</v>
      </c>
      <c r="D78" s="737"/>
      <c r="E78" s="734">
        <v>10000</v>
      </c>
      <c r="F78" s="738"/>
    </row>
    <row r="79" spans="1:6" x14ac:dyDescent="0.2">
      <c r="A79" s="739" t="s">
        <v>715</v>
      </c>
      <c r="B79" s="733">
        <v>850000</v>
      </c>
      <c r="C79" s="673" t="s">
        <v>676</v>
      </c>
      <c r="D79" s="737"/>
      <c r="E79" s="734">
        <v>850000</v>
      </c>
      <c r="F79" s="738"/>
    </row>
    <row r="80" spans="1:6" x14ac:dyDescent="0.2">
      <c r="A80" s="739" t="s">
        <v>716</v>
      </c>
      <c r="B80" s="733">
        <v>1016000</v>
      </c>
      <c r="C80" s="673" t="s">
        <v>676</v>
      </c>
      <c r="D80" s="737"/>
      <c r="E80" s="734">
        <v>1016000</v>
      </c>
      <c r="F80" s="738">
        <f t="shared" ref="F80:F86" si="2">B80-D80-E80</f>
        <v>0</v>
      </c>
    </row>
    <row r="81" spans="1:6" ht="15" x14ac:dyDescent="0.2">
      <c r="A81" s="743" t="s">
        <v>717</v>
      </c>
      <c r="B81" s="736">
        <v>2500000</v>
      </c>
      <c r="C81" s="673" t="s">
        <v>676</v>
      </c>
      <c r="D81" s="737"/>
      <c r="E81" s="737">
        <v>2500000</v>
      </c>
      <c r="F81" s="744"/>
    </row>
    <row r="82" spans="1:6" x14ac:dyDescent="0.2">
      <c r="A82" s="938" t="s">
        <v>566</v>
      </c>
      <c r="B82" s="736"/>
      <c r="C82" s="673"/>
      <c r="D82" s="737"/>
      <c r="E82" s="737"/>
      <c r="F82" s="738">
        <f t="shared" si="2"/>
        <v>0</v>
      </c>
    </row>
    <row r="83" spans="1:6" s="533" customFormat="1" x14ac:dyDescent="0.2">
      <c r="A83" s="939" t="s">
        <v>718</v>
      </c>
      <c r="B83" s="940">
        <v>30206</v>
      </c>
      <c r="C83" s="941" t="s">
        <v>676</v>
      </c>
      <c r="D83" s="942"/>
      <c r="E83" s="942">
        <v>30206</v>
      </c>
      <c r="F83" s="943"/>
    </row>
    <row r="84" spans="1:6" s="533" customFormat="1" x14ac:dyDescent="0.2">
      <c r="A84" s="939" t="s">
        <v>742</v>
      </c>
      <c r="B84" s="940">
        <v>24404</v>
      </c>
      <c r="C84" s="941" t="s">
        <v>676</v>
      </c>
      <c r="D84" s="942"/>
      <c r="E84" s="942">
        <v>24404</v>
      </c>
      <c r="F84" s="943"/>
    </row>
    <row r="85" spans="1:6" x14ac:dyDescent="0.2">
      <c r="A85" s="745" t="s">
        <v>719</v>
      </c>
      <c r="B85" s="714">
        <v>76200</v>
      </c>
      <c r="C85" s="715" t="s">
        <v>676</v>
      </c>
      <c r="D85" s="716"/>
      <c r="E85" s="716">
        <v>76200</v>
      </c>
      <c r="F85" s="524"/>
    </row>
    <row r="86" spans="1:6" ht="13.5" thickBot="1" x14ac:dyDescent="0.25">
      <c r="A86" s="746" t="s">
        <v>720</v>
      </c>
      <c r="B86" s="714">
        <v>1500000</v>
      </c>
      <c r="C86" s="715" t="s">
        <v>676</v>
      </c>
      <c r="D86" s="716"/>
      <c r="E86" s="716">
        <v>1500000</v>
      </c>
      <c r="F86" s="529">
        <f t="shared" si="2"/>
        <v>0</v>
      </c>
    </row>
    <row r="87" spans="1:6" ht="13.5" thickBot="1" x14ac:dyDescent="0.25">
      <c r="A87" s="903" t="s">
        <v>69</v>
      </c>
      <c r="B87" s="904">
        <f>SUM(B5:B86)</f>
        <v>339826274</v>
      </c>
      <c r="C87" s="905"/>
      <c r="D87" s="906">
        <f>SUM(D5:D86)</f>
        <v>4527778</v>
      </c>
      <c r="E87" s="906">
        <f t="shared" ref="E87:F87" si="3">SUM(E5:E86)</f>
        <v>335298496</v>
      </c>
      <c r="F87" s="906">
        <f t="shared" si="3"/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6" orientation="portrait" verticalDpi="300" r:id="rId1"/>
  <headerFooter alignWithMargins="0">
    <oddHeader>&amp;R&amp;"Times New Roman CE,Félkövér dőlt"&amp;11 7. melléklet a  8/2018.(IV.27.)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2"/>
  <sheetViews>
    <sheetView tabSelected="1" zoomScaleNormal="100" workbookViewId="0">
      <selection activeCell="J91" sqref="J91"/>
    </sheetView>
  </sheetViews>
  <sheetFormatPr defaultRowHeight="12.75" x14ac:dyDescent="0.2"/>
  <cols>
    <col min="1" max="1" width="60.6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31" customWidth="1"/>
    <col min="7" max="8" width="12.83203125" style="31" customWidth="1"/>
    <col min="9" max="9" width="13.83203125" style="31" customWidth="1"/>
    <col min="10" max="16384" width="9.33203125" style="31"/>
  </cols>
  <sheetData>
    <row r="1" spans="1:7" ht="24.75" customHeight="1" x14ac:dyDescent="0.2">
      <c r="A1" s="997" t="s">
        <v>13</v>
      </c>
      <c r="B1" s="997"/>
      <c r="C1" s="997"/>
      <c r="D1" s="997"/>
      <c r="E1" s="997"/>
      <c r="F1" s="997"/>
    </row>
    <row r="2" spans="1:7" ht="23.25" customHeight="1" thickBot="1" x14ac:dyDescent="0.3">
      <c r="A2" s="87"/>
      <c r="B2" s="40"/>
      <c r="C2" s="40"/>
      <c r="D2" s="40"/>
      <c r="E2" s="40"/>
      <c r="F2" s="38" t="s">
        <v>598</v>
      </c>
    </row>
    <row r="3" spans="1:7" s="33" customFormat="1" ht="48.75" customHeight="1" thickBot="1" x14ac:dyDescent="0.25">
      <c r="A3" s="88" t="s">
        <v>73</v>
      </c>
      <c r="B3" s="89" t="s">
        <v>71</v>
      </c>
      <c r="C3" s="89" t="s">
        <v>72</v>
      </c>
      <c r="D3" s="89" t="s">
        <v>622</v>
      </c>
      <c r="E3" s="89" t="s">
        <v>620</v>
      </c>
      <c r="F3" s="39" t="s">
        <v>624</v>
      </c>
      <c r="G3" s="347"/>
    </row>
    <row r="4" spans="1:7" s="40" customFormat="1" ht="15" customHeight="1" thickBot="1" x14ac:dyDescent="0.25">
      <c r="A4" s="367">
        <v>1</v>
      </c>
      <c r="B4" s="368">
        <v>2</v>
      </c>
      <c r="C4" s="368">
        <v>3</v>
      </c>
      <c r="D4" s="368">
        <v>4</v>
      </c>
      <c r="E4" s="368">
        <v>5</v>
      </c>
      <c r="F4" s="369">
        <v>6</v>
      </c>
    </row>
    <row r="5" spans="1:7" ht="15.95" customHeight="1" x14ac:dyDescent="0.2">
      <c r="A5" s="682" t="s">
        <v>645</v>
      </c>
      <c r="B5" s="950">
        <f>146398020+1216660+37902555</f>
        <v>185517235</v>
      </c>
      <c r="C5" s="536" t="s">
        <v>724</v>
      </c>
      <c r="D5" s="535">
        <v>1216660</v>
      </c>
      <c r="E5" s="951">
        <f>146398020+37902555</f>
        <v>184300575</v>
      </c>
      <c r="F5" s="496">
        <f t="shared" ref="F5:F31" si="0">B5-D5-E5</f>
        <v>0</v>
      </c>
    </row>
    <row r="6" spans="1:7" ht="15.95" customHeight="1" x14ac:dyDescent="0.2">
      <c r="A6" s="684" t="s">
        <v>646</v>
      </c>
      <c r="B6" s="683">
        <v>3201452</v>
      </c>
      <c r="C6" s="283" t="s">
        <v>676</v>
      </c>
      <c r="D6" s="280"/>
      <c r="E6" s="280">
        <v>3201452</v>
      </c>
      <c r="F6" s="497">
        <f t="shared" si="0"/>
        <v>0</v>
      </c>
    </row>
    <row r="7" spans="1:7" ht="15.95" customHeight="1" x14ac:dyDescent="0.2">
      <c r="A7" s="684" t="s">
        <v>653</v>
      </c>
      <c r="B7" s="683">
        <v>5819140</v>
      </c>
      <c r="C7" s="283" t="s">
        <v>676</v>
      </c>
      <c r="D7" s="280"/>
      <c r="E7" s="280">
        <v>5819140</v>
      </c>
      <c r="F7" s="497">
        <f t="shared" si="0"/>
        <v>0</v>
      </c>
    </row>
    <row r="8" spans="1:7" ht="15.95" customHeight="1" x14ac:dyDescent="0.2">
      <c r="A8" s="684" t="s">
        <v>647</v>
      </c>
      <c r="B8" s="683">
        <v>127000</v>
      </c>
      <c r="C8" s="283" t="s">
        <v>676</v>
      </c>
      <c r="D8" s="280"/>
      <c r="E8" s="310">
        <v>127000</v>
      </c>
      <c r="F8" s="497">
        <f t="shared" si="0"/>
        <v>0</v>
      </c>
    </row>
    <row r="9" spans="1:7" ht="15.95" customHeight="1" x14ac:dyDescent="0.2">
      <c r="A9" s="684" t="s">
        <v>648</v>
      </c>
      <c r="B9" s="683">
        <v>5080000</v>
      </c>
      <c r="C9" s="283" t="s">
        <v>676</v>
      </c>
      <c r="D9" s="280"/>
      <c r="E9" s="280">
        <v>5080000</v>
      </c>
      <c r="F9" s="497">
        <f t="shared" si="0"/>
        <v>0</v>
      </c>
    </row>
    <row r="10" spans="1:7" ht="15.95" customHeight="1" x14ac:dyDescent="0.2">
      <c r="A10" s="684" t="s">
        <v>649</v>
      </c>
      <c r="B10" s="683">
        <v>3725750</v>
      </c>
      <c r="C10" s="283" t="s">
        <v>676</v>
      </c>
      <c r="D10" s="280"/>
      <c r="E10" s="280">
        <v>3725750</v>
      </c>
      <c r="F10" s="497">
        <f t="shared" si="0"/>
        <v>0</v>
      </c>
    </row>
    <row r="11" spans="1:7" ht="15.95" customHeight="1" x14ac:dyDescent="0.2">
      <c r="A11" s="685" t="s">
        <v>650</v>
      </c>
      <c r="B11" s="686">
        <v>6350000</v>
      </c>
      <c r="C11" s="384" t="s">
        <v>676</v>
      </c>
      <c r="D11" s="310"/>
      <c r="E11" s="310">
        <v>6350000</v>
      </c>
      <c r="F11" s="497">
        <f t="shared" si="0"/>
        <v>0</v>
      </c>
    </row>
    <row r="12" spans="1:7" ht="15.95" customHeight="1" x14ac:dyDescent="0.2">
      <c r="A12" s="684" t="s">
        <v>651</v>
      </c>
      <c r="B12" s="683">
        <v>10000000</v>
      </c>
      <c r="C12" s="283" t="s">
        <v>676</v>
      </c>
      <c r="D12" s="280"/>
      <c r="E12" s="280">
        <v>10000000</v>
      </c>
      <c r="F12" s="497">
        <f t="shared" si="0"/>
        <v>0</v>
      </c>
    </row>
    <row r="13" spans="1:7" s="495" customFormat="1" ht="15.95" customHeight="1" thickBot="1" x14ac:dyDescent="0.25">
      <c r="A13" s="684" t="s">
        <v>652</v>
      </c>
      <c r="B13" s="687">
        <v>1500000</v>
      </c>
      <c r="C13" s="281" t="s">
        <v>676</v>
      </c>
      <c r="D13" s="282"/>
      <c r="E13" s="282">
        <v>1500000</v>
      </c>
      <c r="F13" s="497">
        <f t="shared" si="0"/>
        <v>0</v>
      </c>
    </row>
    <row r="14" spans="1:7" ht="15.95" customHeight="1" x14ac:dyDescent="0.2">
      <c r="A14" s="747" t="s">
        <v>723</v>
      </c>
      <c r="B14" s="535">
        <v>609600</v>
      </c>
      <c r="C14" s="536" t="s">
        <v>676</v>
      </c>
      <c r="D14" s="535"/>
      <c r="E14" s="535">
        <v>609600</v>
      </c>
      <c r="F14" s="496">
        <f t="shared" si="0"/>
        <v>0</v>
      </c>
    </row>
    <row r="15" spans="1:7" ht="15.95" hidden="1" customHeight="1" x14ac:dyDescent="0.2">
      <c r="A15" s="498"/>
      <c r="B15" s="341"/>
      <c r="C15" s="370"/>
      <c r="D15" s="341"/>
      <c r="E15" s="341"/>
      <c r="F15" s="497">
        <f t="shared" si="0"/>
        <v>0</v>
      </c>
    </row>
    <row r="16" spans="1:7" ht="15.95" hidden="1" customHeight="1" x14ac:dyDescent="0.2">
      <c r="A16" s="652"/>
      <c r="B16" s="280"/>
      <c r="C16" s="283"/>
      <c r="D16" s="280"/>
      <c r="E16" s="280"/>
      <c r="F16" s="497">
        <f t="shared" si="0"/>
        <v>0</v>
      </c>
    </row>
    <row r="17" spans="1:6" ht="15.95" hidden="1" customHeight="1" x14ac:dyDescent="0.2">
      <c r="A17" s="653"/>
      <c r="B17" s="280"/>
      <c r="C17" s="283"/>
      <c r="D17" s="280"/>
      <c r="E17" s="280"/>
      <c r="F17" s="497">
        <f t="shared" si="0"/>
        <v>0</v>
      </c>
    </row>
    <row r="18" spans="1:6" ht="15.95" hidden="1" customHeight="1" x14ac:dyDescent="0.2">
      <c r="A18" s="344"/>
      <c r="B18" s="280"/>
      <c r="C18" s="283"/>
      <c r="D18" s="280"/>
      <c r="E18" s="280"/>
      <c r="F18" s="497">
        <f t="shared" si="0"/>
        <v>0</v>
      </c>
    </row>
    <row r="19" spans="1:6" ht="15.95" hidden="1" customHeight="1" x14ac:dyDescent="0.2">
      <c r="A19" s="344"/>
      <c r="B19" s="280"/>
      <c r="C19" s="283"/>
      <c r="D19" s="280"/>
      <c r="E19" s="280"/>
      <c r="F19" s="497">
        <f t="shared" si="0"/>
        <v>0</v>
      </c>
    </row>
    <row r="20" spans="1:6" ht="15.95" hidden="1" customHeight="1" x14ac:dyDescent="0.2">
      <c r="A20" s="344"/>
      <c r="B20" s="280"/>
      <c r="C20" s="283"/>
      <c r="D20" s="280"/>
      <c r="E20" s="280"/>
      <c r="F20" s="497">
        <f t="shared" si="0"/>
        <v>0</v>
      </c>
    </row>
    <row r="21" spans="1:6" ht="15.95" hidden="1" customHeight="1" x14ac:dyDescent="0.2">
      <c r="A21" s="344"/>
      <c r="B21" s="280"/>
      <c r="C21" s="283"/>
      <c r="D21" s="280"/>
      <c r="E21" s="280"/>
      <c r="F21" s="497">
        <f t="shared" si="0"/>
        <v>0</v>
      </c>
    </row>
    <row r="22" spans="1:6" ht="15.95" hidden="1" customHeight="1" x14ac:dyDescent="0.2">
      <c r="A22" s="344"/>
      <c r="B22" s="280"/>
      <c r="C22" s="283"/>
      <c r="D22" s="280"/>
      <c r="E22" s="280"/>
      <c r="F22" s="497">
        <f t="shared" si="0"/>
        <v>0</v>
      </c>
    </row>
    <row r="23" spans="1:6" ht="15.95" hidden="1" customHeight="1" x14ac:dyDescent="0.2">
      <c r="A23" s="345"/>
      <c r="B23" s="282"/>
      <c r="C23" s="281"/>
      <c r="D23" s="282"/>
      <c r="E23" s="282"/>
      <c r="F23" s="497">
        <f t="shared" si="0"/>
        <v>0</v>
      </c>
    </row>
    <row r="24" spans="1:6" ht="15.95" hidden="1" customHeight="1" x14ac:dyDescent="0.2">
      <c r="A24" s="345"/>
      <c r="B24" s="282"/>
      <c r="C24" s="281"/>
      <c r="D24" s="282"/>
      <c r="E24" s="282"/>
      <c r="F24" s="497">
        <f t="shared" si="0"/>
        <v>0</v>
      </c>
    </row>
    <row r="25" spans="1:6" ht="15.95" hidden="1" customHeight="1" x14ac:dyDescent="0.2">
      <c r="A25" s="345"/>
      <c r="B25" s="282"/>
      <c r="C25" s="281"/>
      <c r="D25" s="282"/>
      <c r="E25" s="282"/>
      <c r="F25" s="497">
        <f t="shared" si="0"/>
        <v>0</v>
      </c>
    </row>
    <row r="26" spans="1:6" ht="15.95" hidden="1" customHeight="1" x14ac:dyDescent="0.2">
      <c r="A26" s="345"/>
      <c r="B26" s="282"/>
      <c r="C26" s="281"/>
      <c r="D26" s="282"/>
      <c r="E26" s="282"/>
      <c r="F26" s="497">
        <f t="shared" si="0"/>
        <v>0</v>
      </c>
    </row>
    <row r="27" spans="1:6" ht="15.95" hidden="1" customHeight="1" thickBot="1" x14ac:dyDescent="0.25">
      <c r="A27" s="345"/>
      <c r="B27" s="282"/>
      <c r="C27" s="281"/>
      <c r="D27" s="282"/>
      <c r="E27" s="282"/>
      <c r="F27" s="497">
        <f t="shared" si="0"/>
        <v>0</v>
      </c>
    </row>
    <row r="28" spans="1:6" ht="15.95" customHeight="1" x14ac:dyDescent="0.2">
      <c r="A28" s="499"/>
      <c r="B28" s="500"/>
      <c r="C28" s="370"/>
      <c r="D28" s="500"/>
      <c r="E28" s="500"/>
      <c r="F28" s="497">
        <f t="shared" si="0"/>
        <v>0</v>
      </c>
    </row>
    <row r="29" spans="1:6" ht="15.95" customHeight="1" x14ac:dyDescent="0.2">
      <c r="A29" s="539"/>
      <c r="B29" s="540"/>
      <c r="C29" s="541"/>
      <c r="D29" s="540"/>
      <c r="E29" s="540"/>
      <c r="F29" s="497">
        <f t="shared" si="0"/>
        <v>0</v>
      </c>
    </row>
    <row r="30" spans="1:6" ht="15.95" customHeight="1" x14ac:dyDescent="0.2">
      <c r="A30" s="654"/>
      <c r="B30" s="537"/>
      <c r="C30" s="538"/>
      <c r="D30" s="537"/>
      <c r="E30" s="537"/>
      <c r="F30" s="655">
        <f t="shared" si="0"/>
        <v>0</v>
      </c>
    </row>
    <row r="31" spans="1:6" ht="15.95" customHeight="1" thickBot="1" x14ac:dyDescent="0.25">
      <c r="A31" s="656"/>
      <c r="B31" s="657"/>
      <c r="C31" s="658"/>
      <c r="D31" s="657"/>
      <c r="E31" s="657"/>
      <c r="F31" s="659">
        <f t="shared" si="0"/>
        <v>0</v>
      </c>
    </row>
    <row r="32" spans="1:6" s="42" customFormat="1" ht="18" customHeight="1" thickBot="1" x14ac:dyDescent="0.25">
      <c r="A32" s="90" t="s">
        <v>69</v>
      </c>
      <c r="B32" s="91">
        <f>SUM(B5:B31)</f>
        <v>221930177</v>
      </c>
      <c r="C32" s="77"/>
      <c r="D32" s="91">
        <f>SUM(D5:D27)</f>
        <v>1216660</v>
      </c>
      <c r="E32" s="91">
        <f>SUM(E5:E31)</f>
        <v>220713517</v>
      </c>
      <c r="F32" s="43">
        <f>SUM(F5:F28)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8" orientation="landscape" horizontalDpi="300" verticalDpi="300" r:id="rId1"/>
  <headerFooter alignWithMargins="0">
    <oddHeader xml:space="preserve">&amp;R&amp;"Times New Roman CE,Félkövér dőlt"&amp;11 8. melléklet az  8/2018.(IV.27.) önkormányzati rendelethez&amp;"Times New Roman CE,Normál"&amp;10
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1"/>
  <sheetViews>
    <sheetView tabSelected="1" zoomScaleNormal="100" zoomScaleSheetLayoutView="85" workbookViewId="0">
      <selection activeCell="J91" sqref="J91"/>
    </sheetView>
  </sheetViews>
  <sheetFormatPr defaultRowHeight="12.75" x14ac:dyDescent="0.2"/>
  <cols>
    <col min="1" max="1" width="38.6640625" style="35" customWidth="1"/>
    <col min="2" max="5" width="13.83203125" style="35" customWidth="1"/>
    <col min="6" max="16384" width="9.33203125" style="35"/>
  </cols>
  <sheetData>
    <row r="1" spans="1:5" x14ac:dyDescent="0.2">
      <c r="A1" s="96"/>
      <c r="B1" s="96"/>
      <c r="C1" s="96"/>
      <c r="D1" s="96"/>
      <c r="E1" s="96"/>
    </row>
    <row r="2" spans="1:5" ht="34.5" customHeight="1" x14ac:dyDescent="0.25">
      <c r="A2" s="1018" t="s">
        <v>721</v>
      </c>
      <c r="B2" s="1018"/>
      <c r="C2" s="1018"/>
      <c r="D2" s="1018"/>
      <c r="E2" s="1018"/>
    </row>
    <row r="3" spans="1:5" ht="14.25" thickBot="1" x14ac:dyDescent="0.3">
      <c r="A3" s="96"/>
      <c r="B3" s="96"/>
      <c r="C3" s="96"/>
      <c r="D3" s="1019" t="s">
        <v>606</v>
      </c>
      <c r="E3" s="1019"/>
    </row>
    <row r="4" spans="1:5" ht="15" customHeight="1" thickBot="1" x14ac:dyDescent="0.25">
      <c r="A4" s="97" t="s">
        <v>121</v>
      </c>
      <c r="B4" s="98" t="s">
        <v>625</v>
      </c>
      <c r="C4" s="98">
        <v>2018</v>
      </c>
      <c r="D4" s="98" t="s">
        <v>626</v>
      </c>
      <c r="E4" s="99" t="s">
        <v>55</v>
      </c>
    </row>
    <row r="5" spans="1:5" x14ac:dyDescent="0.2">
      <c r="A5" s="100" t="s">
        <v>122</v>
      </c>
      <c r="B5" s="50"/>
      <c r="C5" s="50"/>
      <c r="D5" s="50"/>
      <c r="E5" s="101">
        <f t="shared" ref="E5:E11" si="0">SUM(B5:D5)</f>
        <v>0</v>
      </c>
    </row>
    <row r="6" spans="1:5" x14ac:dyDescent="0.2">
      <c r="A6" s="102" t="s">
        <v>134</v>
      </c>
      <c r="B6" s="51"/>
      <c r="C6" s="51"/>
      <c r="D6" s="51"/>
      <c r="E6" s="103">
        <f t="shared" si="0"/>
        <v>0</v>
      </c>
    </row>
    <row r="7" spans="1:5" x14ac:dyDescent="0.2">
      <c r="A7" s="104" t="s">
        <v>123</v>
      </c>
      <c r="B7" s="52">
        <v>193854682</v>
      </c>
      <c r="C7" s="52">
        <v>5866130</v>
      </c>
      <c r="D7" s="52"/>
      <c r="E7" s="105">
        <f t="shared" si="0"/>
        <v>199720812</v>
      </c>
    </row>
    <row r="8" spans="1:5" x14ac:dyDescent="0.2">
      <c r="A8" s="104" t="s">
        <v>135</v>
      </c>
      <c r="B8" s="52"/>
      <c r="C8" s="52"/>
      <c r="D8" s="52"/>
      <c r="E8" s="105">
        <f t="shared" si="0"/>
        <v>0</v>
      </c>
    </row>
    <row r="9" spans="1:5" x14ac:dyDescent="0.2">
      <c r="A9" s="104" t="s">
        <v>124</v>
      </c>
      <c r="B9" s="52"/>
      <c r="C9" s="52"/>
      <c r="D9" s="52"/>
      <c r="E9" s="105">
        <f t="shared" si="0"/>
        <v>0</v>
      </c>
    </row>
    <row r="10" spans="1:5" x14ac:dyDescent="0.2">
      <c r="A10" s="104" t="s">
        <v>125</v>
      </c>
      <c r="B10" s="52"/>
      <c r="C10" s="52"/>
      <c r="D10" s="52"/>
      <c r="E10" s="105">
        <f t="shared" si="0"/>
        <v>0</v>
      </c>
    </row>
    <row r="11" spans="1:5" ht="13.5" thickBot="1" x14ac:dyDescent="0.25">
      <c r="A11" s="53"/>
      <c r="B11" s="54"/>
      <c r="C11" s="54"/>
      <c r="D11" s="54"/>
      <c r="E11" s="105">
        <f t="shared" si="0"/>
        <v>0</v>
      </c>
    </row>
    <row r="12" spans="1:5" ht="13.5" thickBot="1" x14ac:dyDescent="0.25">
      <c r="A12" s="106" t="s">
        <v>127</v>
      </c>
      <c r="B12" s="107">
        <f>B5+SUM(B7:B11)</f>
        <v>193854682</v>
      </c>
      <c r="C12" s="107">
        <f>C5+SUM(C7:C11)</f>
        <v>5866130</v>
      </c>
      <c r="D12" s="107">
        <f>D5+SUM(D7:D11)</f>
        <v>0</v>
      </c>
      <c r="E12" s="108">
        <f>E5+SUM(E7:E11)</f>
        <v>199720812</v>
      </c>
    </row>
    <row r="13" spans="1:5" ht="13.5" thickBot="1" x14ac:dyDescent="0.25">
      <c r="A13" s="37"/>
      <c r="B13" s="37"/>
      <c r="C13" s="37"/>
      <c r="D13" s="37"/>
      <c r="E13" s="37"/>
    </row>
    <row r="14" spans="1:5" ht="15" customHeight="1" thickBot="1" x14ac:dyDescent="0.25">
      <c r="A14" s="97" t="s">
        <v>126</v>
      </c>
      <c r="B14" s="98" t="s">
        <v>625</v>
      </c>
      <c r="C14" s="98">
        <v>2018</v>
      </c>
      <c r="D14" s="98" t="s">
        <v>626</v>
      </c>
      <c r="E14" s="99" t="s">
        <v>55</v>
      </c>
    </row>
    <row r="15" spans="1:5" x14ac:dyDescent="0.2">
      <c r="A15" s="100" t="s">
        <v>130</v>
      </c>
      <c r="B15" s="50">
        <v>611734</v>
      </c>
      <c r="C15" s="50">
        <v>3355465</v>
      </c>
      <c r="D15" s="50"/>
      <c r="E15" s="101">
        <f t="shared" ref="E15:E21" si="1">SUM(B15:D15)</f>
        <v>3967199</v>
      </c>
    </row>
    <row r="16" spans="1:5" x14ac:dyDescent="0.2">
      <c r="A16" s="109" t="s">
        <v>131</v>
      </c>
      <c r="B16" s="385"/>
      <c r="C16" s="385">
        <f>139337230+5394963+76200+37621053</f>
        <v>182429446</v>
      </c>
      <c r="D16" s="385"/>
      <c r="E16" s="105">
        <f t="shared" si="1"/>
        <v>182429446</v>
      </c>
    </row>
    <row r="17" spans="1:5" x14ac:dyDescent="0.2">
      <c r="A17" s="104" t="s">
        <v>132</v>
      </c>
      <c r="B17" s="52">
        <v>1216660</v>
      </c>
      <c r="C17" s="52">
        <v>11178540</v>
      </c>
      <c r="D17" s="52"/>
      <c r="E17" s="105">
        <f t="shared" si="1"/>
        <v>12395200</v>
      </c>
    </row>
    <row r="18" spans="1:5" x14ac:dyDescent="0.2">
      <c r="A18" s="104" t="s">
        <v>133</v>
      </c>
      <c r="B18" s="52"/>
      <c r="C18" s="52"/>
      <c r="D18" s="52"/>
      <c r="E18" s="105">
        <f t="shared" si="1"/>
        <v>0</v>
      </c>
    </row>
    <row r="19" spans="1:5" x14ac:dyDescent="0.2">
      <c r="A19" s="55" t="s">
        <v>610</v>
      </c>
      <c r="B19" s="52"/>
      <c r="C19" s="52">
        <v>6083465</v>
      </c>
      <c r="D19" s="52">
        <v>316665</v>
      </c>
      <c r="E19" s="105">
        <f t="shared" si="1"/>
        <v>6400130</v>
      </c>
    </row>
    <row r="20" spans="1:5" x14ac:dyDescent="0.2">
      <c r="A20" s="55" t="s">
        <v>619</v>
      </c>
      <c r="B20" s="52"/>
      <c r="C20" s="52"/>
      <c r="D20" s="52"/>
      <c r="E20" s="105">
        <f t="shared" si="1"/>
        <v>0</v>
      </c>
    </row>
    <row r="21" spans="1:5" ht="13.5" thickBot="1" x14ac:dyDescent="0.25">
      <c r="A21" s="53"/>
      <c r="B21" s="54"/>
      <c r="C21" s="54"/>
      <c r="D21" s="54"/>
      <c r="E21" s="105">
        <f t="shared" si="1"/>
        <v>0</v>
      </c>
    </row>
    <row r="22" spans="1:5" ht="13.5" thickBot="1" x14ac:dyDescent="0.25">
      <c r="A22" s="106" t="s">
        <v>57</v>
      </c>
      <c r="B22" s="107">
        <f>SUM(B15:B21)</f>
        <v>1828394</v>
      </c>
      <c r="C22" s="107">
        <f>SUM(C15:C21)</f>
        <v>203046916</v>
      </c>
      <c r="D22" s="107">
        <f>SUM(D15:D21)</f>
        <v>316665</v>
      </c>
      <c r="E22" s="108">
        <f>SUM(E15:E21)</f>
        <v>205191975</v>
      </c>
    </row>
    <row r="23" spans="1:5" x14ac:dyDescent="0.2">
      <c r="A23" s="96"/>
      <c r="B23" s="96"/>
      <c r="C23" s="96"/>
      <c r="D23" s="96"/>
      <c r="E23" s="96"/>
    </row>
    <row r="24" spans="1:5" ht="47.25" customHeight="1" x14ac:dyDescent="0.25">
      <c r="A24" s="1018" t="s">
        <v>722</v>
      </c>
      <c r="B24" s="1018"/>
      <c r="C24" s="1018"/>
      <c r="D24" s="1018"/>
      <c r="E24" s="1018"/>
    </row>
    <row r="25" spans="1:5" ht="14.25" thickBot="1" x14ac:dyDescent="0.3">
      <c r="A25" s="96"/>
      <c r="B25" s="96"/>
      <c r="C25" s="96"/>
      <c r="D25" s="1019" t="s">
        <v>606</v>
      </c>
      <c r="E25" s="1019"/>
    </row>
    <row r="26" spans="1:5" ht="13.5" thickBot="1" x14ac:dyDescent="0.25">
      <c r="A26" s="97" t="s">
        <v>121</v>
      </c>
      <c r="B26" s="98" t="s">
        <v>625</v>
      </c>
      <c r="C26" s="98">
        <v>2018</v>
      </c>
      <c r="D26" s="98" t="s">
        <v>626</v>
      </c>
      <c r="E26" s="99" t="s">
        <v>55</v>
      </c>
    </row>
    <row r="27" spans="1:5" x14ac:dyDescent="0.2">
      <c r="A27" s="100" t="s">
        <v>122</v>
      </c>
      <c r="B27" s="50"/>
      <c r="C27" s="50"/>
      <c r="D27" s="50"/>
      <c r="E27" s="101">
        <f t="shared" ref="E27:E33" si="2">SUM(B27:D27)</f>
        <v>0</v>
      </c>
    </row>
    <row r="28" spans="1:5" x14ac:dyDescent="0.2">
      <c r="A28" s="102" t="s">
        <v>134</v>
      </c>
      <c r="B28" s="51"/>
      <c r="C28" s="51"/>
      <c r="D28" s="51"/>
      <c r="E28" s="103">
        <f t="shared" si="2"/>
        <v>0</v>
      </c>
    </row>
    <row r="29" spans="1:5" x14ac:dyDescent="0.2">
      <c r="A29" s="104" t="s">
        <v>123</v>
      </c>
      <c r="B29" s="52">
        <v>15956160</v>
      </c>
      <c r="C29" s="52"/>
      <c r="D29" s="52"/>
      <c r="E29" s="105">
        <f t="shared" si="2"/>
        <v>15956160</v>
      </c>
    </row>
    <row r="30" spans="1:5" x14ac:dyDescent="0.2">
      <c r="A30" s="104" t="s">
        <v>135</v>
      </c>
      <c r="B30" s="52"/>
      <c r="C30" s="52"/>
      <c r="D30" s="52"/>
      <c r="E30" s="105">
        <f t="shared" si="2"/>
        <v>0</v>
      </c>
    </row>
    <row r="31" spans="1:5" x14ac:dyDescent="0.2">
      <c r="A31" s="104" t="s">
        <v>124</v>
      </c>
      <c r="B31" s="279"/>
      <c r="C31" s="52"/>
      <c r="D31" s="52"/>
      <c r="E31" s="105">
        <f t="shared" si="2"/>
        <v>0</v>
      </c>
    </row>
    <row r="32" spans="1:5" x14ac:dyDescent="0.2">
      <c r="A32" s="104" t="s">
        <v>125</v>
      </c>
      <c r="B32" s="52"/>
      <c r="C32" s="52"/>
      <c r="D32" s="52"/>
      <c r="E32" s="105">
        <f t="shared" si="2"/>
        <v>0</v>
      </c>
    </row>
    <row r="33" spans="1:8" ht="13.5" thickBot="1" x14ac:dyDescent="0.25">
      <c r="A33" s="53"/>
      <c r="B33" s="54"/>
      <c r="C33" s="54"/>
      <c r="D33" s="54"/>
      <c r="E33" s="105">
        <f t="shared" si="2"/>
        <v>0</v>
      </c>
    </row>
    <row r="34" spans="1:8" ht="13.5" thickBot="1" x14ac:dyDescent="0.25">
      <c r="A34" s="106" t="s">
        <v>127</v>
      </c>
      <c r="B34" s="107">
        <f>B27+SUM(B29:B33)</f>
        <v>15956160</v>
      </c>
      <c r="C34" s="107">
        <f>C27+SUM(C29:C33)</f>
        <v>0</v>
      </c>
      <c r="D34" s="107">
        <f>D27+SUM(D29:D33)</f>
        <v>0</v>
      </c>
      <c r="E34" s="108">
        <f>E27+SUM(E29:E33)</f>
        <v>15956160</v>
      </c>
    </row>
    <row r="35" spans="1:8" ht="13.5" thickBot="1" x14ac:dyDescent="0.25">
      <c r="A35" s="37"/>
      <c r="B35" s="37"/>
      <c r="C35" s="37"/>
      <c r="D35" s="37"/>
      <c r="E35" s="37"/>
    </row>
    <row r="36" spans="1:8" ht="13.5" thickBot="1" x14ac:dyDescent="0.25">
      <c r="A36" s="97" t="s">
        <v>126</v>
      </c>
      <c r="B36" s="98" t="s">
        <v>625</v>
      </c>
      <c r="C36" s="98">
        <v>2018</v>
      </c>
      <c r="D36" s="98" t="s">
        <v>626</v>
      </c>
      <c r="E36" s="99" t="s">
        <v>55</v>
      </c>
    </row>
    <row r="37" spans="1:8" x14ac:dyDescent="0.2">
      <c r="A37" s="100" t="s">
        <v>130</v>
      </c>
      <c r="B37" s="50"/>
      <c r="C37" s="50"/>
      <c r="D37" s="50"/>
      <c r="E37" s="101">
        <f t="shared" ref="E37:E43" si="3">SUM(B37:D37)</f>
        <v>0</v>
      </c>
    </row>
    <row r="38" spans="1:8" x14ac:dyDescent="0.2">
      <c r="A38" s="109" t="s">
        <v>131</v>
      </c>
      <c r="B38" s="52"/>
      <c r="C38" s="52">
        <f>11917323</f>
        <v>11917323</v>
      </c>
      <c r="D38" s="52"/>
      <c r="E38" s="105">
        <f t="shared" si="3"/>
        <v>11917323</v>
      </c>
    </row>
    <row r="39" spans="1:8" x14ac:dyDescent="0.2">
      <c r="A39" s="104" t="s">
        <v>132</v>
      </c>
      <c r="B39" s="52"/>
      <c r="C39" s="52">
        <v>956160</v>
      </c>
      <c r="D39" s="52"/>
      <c r="E39" s="105">
        <f t="shared" si="3"/>
        <v>956160</v>
      </c>
    </row>
    <row r="40" spans="1:8" x14ac:dyDescent="0.2">
      <c r="A40" s="104" t="s">
        <v>133</v>
      </c>
      <c r="B40" s="52"/>
      <c r="C40" s="52"/>
      <c r="D40" s="52"/>
      <c r="E40" s="105">
        <f t="shared" si="3"/>
        <v>0</v>
      </c>
    </row>
    <row r="41" spans="1:8" x14ac:dyDescent="0.2">
      <c r="A41" s="55" t="s">
        <v>610</v>
      </c>
      <c r="B41" s="52"/>
      <c r="C41" s="52"/>
      <c r="D41" s="52"/>
      <c r="E41" s="105">
        <f t="shared" si="3"/>
        <v>0</v>
      </c>
    </row>
    <row r="42" spans="1:8" x14ac:dyDescent="0.2">
      <c r="A42" s="55" t="s">
        <v>619</v>
      </c>
      <c r="B42" s="385"/>
      <c r="C42" s="52">
        <v>3082677</v>
      </c>
      <c r="D42" s="52"/>
      <c r="E42" s="105">
        <f t="shared" si="3"/>
        <v>3082677</v>
      </c>
    </row>
    <row r="43" spans="1:8" ht="13.5" thickBot="1" x14ac:dyDescent="0.25">
      <c r="A43" s="53"/>
      <c r="B43" s="54"/>
      <c r="C43" s="54"/>
      <c r="D43" s="54"/>
      <c r="E43" s="105">
        <f t="shared" si="3"/>
        <v>0</v>
      </c>
    </row>
    <row r="44" spans="1:8" ht="13.5" thickBot="1" x14ac:dyDescent="0.25">
      <c r="A44" s="106" t="s">
        <v>57</v>
      </c>
      <c r="B44" s="660">
        <f>SUM(B37:B43)</f>
        <v>0</v>
      </c>
      <c r="C44" s="660">
        <f>SUM(C37:C43)</f>
        <v>15956160</v>
      </c>
      <c r="D44" s="660">
        <f>SUM(D37:D43)</f>
        <v>0</v>
      </c>
      <c r="E44" s="661">
        <f>SUM(E37:E43)</f>
        <v>15956160</v>
      </c>
    </row>
    <row r="45" spans="1:8" x14ac:dyDescent="0.2">
      <c r="A45" s="96"/>
      <c r="B45" s="96"/>
      <c r="C45" s="96"/>
      <c r="D45" s="96"/>
      <c r="E45" s="96"/>
    </row>
    <row r="46" spans="1:8" ht="15.75" x14ac:dyDescent="0.2">
      <c r="A46" s="1020" t="s">
        <v>644</v>
      </c>
      <c r="B46" s="1020"/>
      <c r="C46" s="1020"/>
      <c r="D46" s="1020"/>
      <c r="E46" s="1020"/>
    </row>
    <row r="47" spans="1:8" ht="13.5" thickBot="1" x14ac:dyDescent="0.25">
      <c r="A47" s="96"/>
      <c r="B47" s="96"/>
      <c r="C47" s="96"/>
      <c r="D47" s="96"/>
      <c r="E47" s="96"/>
    </row>
    <row r="48" spans="1:8" ht="13.5" thickBot="1" x14ac:dyDescent="0.25">
      <c r="A48" s="1013" t="s">
        <v>128</v>
      </c>
      <c r="B48" s="1014"/>
      <c r="C48" s="1015"/>
      <c r="D48" s="1016" t="s">
        <v>607</v>
      </c>
      <c r="E48" s="1017"/>
      <c r="H48" s="36"/>
    </row>
    <row r="49" spans="1:5" x14ac:dyDescent="0.2">
      <c r="A49" s="998"/>
      <c r="B49" s="999"/>
      <c r="C49" s="1000"/>
      <c r="D49" s="1001"/>
      <c r="E49" s="1002"/>
    </row>
    <row r="50" spans="1:5" ht="13.5" thickBot="1" x14ac:dyDescent="0.25">
      <c r="A50" s="1003"/>
      <c r="B50" s="1004"/>
      <c r="C50" s="1005"/>
      <c r="D50" s="1006"/>
      <c r="E50" s="1007"/>
    </row>
    <row r="51" spans="1:5" ht="13.5" thickBot="1" x14ac:dyDescent="0.25">
      <c r="A51" s="1008" t="s">
        <v>57</v>
      </c>
      <c r="B51" s="1009"/>
      <c r="C51" s="1010"/>
      <c r="D51" s="1011">
        <f>SUM(D49:E50)</f>
        <v>0</v>
      </c>
      <c r="E51" s="1012"/>
    </row>
  </sheetData>
  <mergeCells count="13">
    <mergeCell ref="A48:C48"/>
    <mergeCell ref="D48:E48"/>
    <mergeCell ref="A2:E2"/>
    <mergeCell ref="D3:E3"/>
    <mergeCell ref="A24:E24"/>
    <mergeCell ref="D25:E25"/>
    <mergeCell ref="A46:E46"/>
    <mergeCell ref="A49:C49"/>
    <mergeCell ref="D49:E49"/>
    <mergeCell ref="A50:C50"/>
    <mergeCell ref="D50:E50"/>
    <mergeCell ref="A51:C51"/>
    <mergeCell ref="D51:E51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2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9. melléklet az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26</vt:i4>
      </vt:variant>
    </vt:vector>
  </HeadingPairs>
  <TitlesOfParts>
    <vt:vector size="59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6.sz.mell.</vt:lpstr>
      <vt:lpstr>7.sz.mell.</vt:lpstr>
      <vt:lpstr>8.1. sz. mell.</vt:lpstr>
      <vt:lpstr>9.1. sz. mell.</vt:lpstr>
      <vt:lpstr>9.1.1. sz. mell. </vt:lpstr>
      <vt:lpstr>9.1.2. sz. mell.</vt:lpstr>
      <vt:lpstr>9.2. sz. mell. </vt:lpstr>
      <vt:lpstr>9.2.1. sz. mell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int.összesítő</vt:lpstr>
      <vt:lpstr>tartalék</vt:lpstr>
      <vt:lpstr>1.sz tájékoztató t </vt:lpstr>
      <vt:lpstr>4.sz tájékoztató t </vt:lpstr>
      <vt:lpstr>5.sz. tájékoztató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'8.1. sz. mell.'!Nyomtatási_terület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2018-04-26T14:23:52Z</cp:lastPrinted>
  <dcterms:created xsi:type="dcterms:W3CDTF">1999-10-30T10:30:45Z</dcterms:created>
  <dcterms:modified xsi:type="dcterms:W3CDTF">2018-04-27T07:24:12Z</dcterms:modified>
</cp:coreProperties>
</file>