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firstSheet="12" activeTab="18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3.sz.mell" sheetId="19" r:id="rId19"/>
    <sheet name="Z_6.4.sz.mell" sheetId="20" r:id="rId20"/>
    <sheet name="Z_6.4.1.sz.mell" sheetId="21" r:id="rId21"/>
    <sheet name="Z_6.4.2.sz.mell" sheetId="22" r:id="rId22"/>
    <sheet name="Z_6.4.3.sz.mell" sheetId="23" r:id="rId23"/>
    <sheet name="Z_6.5.sz.mell" sheetId="24" r:id="rId24"/>
    <sheet name="Z_6.5.1.sz.mell" sheetId="25" r:id="rId25"/>
    <sheet name="Z_6.5.2.sz.mell" sheetId="26" r:id="rId26"/>
    <sheet name="Z_6.5.3.sz.mell" sheetId="27" r:id="rId27"/>
    <sheet name="Z_7.sz.mell" sheetId="28" r:id="rId28"/>
    <sheet name="Z_8.sz.mell" sheetId="29" r:id="rId29"/>
    <sheet name="Z_1.tájékoztató_t." sheetId="30" r:id="rId30"/>
    <sheet name="Z_2.tájékoztató_t." sheetId="31" r:id="rId31"/>
    <sheet name="Z_3.tájékoztató_t." sheetId="32" r:id="rId32"/>
    <sheet name="Z_4.tájékoztató_t." sheetId="33" r:id="rId33"/>
    <sheet name="Z_5.tájékoztató_t." sheetId="34" r:id="rId34"/>
    <sheet name="Z_6.tájékoztató_t." sheetId="35" r:id="rId35"/>
    <sheet name="Z_7.1.tájékoztató_t." sheetId="36" r:id="rId36"/>
    <sheet name="Z_7.2.tájékoztató_t." sheetId="37" r:id="rId37"/>
    <sheet name="Z_7.3.tájékoztató_t." sheetId="38" r:id="rId38"/>
    <sheet name="Z_8.tájékoztató_t." sheetId="39" r:id="rId39"/>
    <sheet name="Z_9.tájékoztató_t." sheetId="40" r:id="rId40"/>
  </sheets>
  <definedNames>
    <definedName name="_ftn1" localSheetId="37">'Z_7.3.tájékoztató_t.'!$A$31</definedName>
    <definedName name="_ftnref1" localSheetId="37">'Z_7.3.tájékoztató_t.'!$A$22</definedName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7">'Z_6.2.sz.mell'!$1:$6</definedName>
    <definedName name="_xlnm.Print_Titles" localSheetId="18">'Z_6.3.sz.mell'!$1:$6</definedName>
    <definedName name="_xlnm.Print_Titles" localSheetId="20">'Z_6.4.1.sz.mell'!$1:$6</definedName>
    <definedName name="_xlnm.Print_Titles" localSheetId="21">'Z_6.4.2.sz.mell'!$1:$6</definedName>
    <definedName name="_xlnm.Print_Titles" localSheetId="22">'Z_6.4.3.sz.mell'!$1:$6</definedName>
    <definedName name="_xlnm.Print_Titles" localSheetId="19">'Z_6.4.sz.mell'!$1:$6</definedName>
    <definedName name="_xlnm.Print_Titles" localSheetId="24">'Z_6.5.1.sz.mell'!$1:$6</definedName>
    <definedName name="_xlnm.Print_Titles" localSheetId="25">'Z_6.5.2.sz.mell'!$1:$6</definedName>
    <definedName name="_xlnm.Print_Titles" localSheetId="26">'Z_6.5.3.sz.mell'!$1:$6</definedName>
    <definedName name="_xlnm.Print_Titles" localSheetId="23">'Z_6.5.sz.mell'!$1:$6</definedName>
    <definedName name="_xlnm.Print_Titles" localSheetId="35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9">'Z_1.tájékoztató_t.'!$A$1:$E$155</definedName>
  </definedNames>
  <calcPr fullCalcOnLoad="1"/>
</workbook>
</file>

<file path=xl/sharedStrings.xml><?xml version="1.0" encoding="utf-8"?>
<sst xmlns="http://schemas.openxmlformats.org/spreadsheetml/2006/main" count="5144" uniqueCount="987">
  <si>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</si>
  <si>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</si>
  <si>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</si>
  <si>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</si>
  <si>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</si>
  <si>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</si>
  <si>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</si>
  <si>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</si>
  <si>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</si>
  <si>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</si>
  <si>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</si>
  <si>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</si>
  <si>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</si>
  <si>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</si>
  <si>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</si>
  <si>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</si>
  <si>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</si>
  <si>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</si>
  <si>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</si>
  <si>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</si>
  <si>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</si>
  <si>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</si>
  <si>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</si>
  <si>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</si>
  <si>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</si>
  <si>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</si>
  <si>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</si>
  <si>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</si>
  <si>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</si>
  <si>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</si>
  <si>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</si>
  <si>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</si>
  <si>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</si>
  <si>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</si>
  <si>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</si>
  <si>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</si>
  <si>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</si>
  <si>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</si>
  <si>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Elek Város Önkormányzata</t>
  </si>
  <si>
    <t>Eleki Közös Önkormányzati Hivatal</t>
  </si>
  <si>
    <t>Elek Város Óvoda-Bölcsőde</t>
  </si>
  <si>
    <t>Reibel Mihály Városi Művelődési Központ és Könyvtár</t>
  </si>
  <si>
    <t>Naplemente Idősek Otthona</t>
  </si>
  <si>
    <t>Magánszemélyek kommunális adója</t>
  </si>
  <si>
    <t>Egyéb közhatalmi bevételek</t>
  </si>
  <si>
    <t>Kistraktor beszerzés</t>
  </si>
  <si>
    <t>2019</t>
  </si>
  <si>
    <t>Konyhafejlesztési pályázat</t>
  </si>
  <si>
    <t>Játszótér építése</t>
  </si>
  <si>
    <t>Román Temető előtető építése</t>
  </si>
  <si>
    <t>2 db TV (városi rendezvényre)</t>
  </si>
  <si>
    <t>ROHU pályázat eszközbeszerzés</t>
  </si>
  <si>
    <t>"Szelektálj okosan" pályázat eszközbeszerzés</t>
  </si>
  <si>
    <t>Felépítmény (doboz) közmunkaprogramhoz</t>
  </si>
  <si>
    <t>Felépítmény (doboz) Művház udvar</t>
  </si>
  <si>
    <t>Monitor gyermekorvosi rendelőbe</t>
  </si>
  <si>
    <t>Kültéri postaláda</t>
  </si>
  <si>
    <t>GIRODirekt csatlakozási pont kiépítés</t>
  </si>
  <si>
    <t xml:space="preserve">Bölcsőde építés pályázat </t>
  </si>
  <si>
    <t>4 kamerás kamerarendszer winchesterrel, vadkamera</t>
  </si>
  <si>
    <t>Magyar Falu program pályázat</t>
  </si>
  <si>
    <t>Eleki Közös Önkormányzati Hivatal beszerzései</t>
  </si>
  <si>
    <t>Elek Város Óvoda-Bölcsőde beszerzései</t>
  </si>
  <si>
    <t>Reibel Mihály Városi Művelődési Központ és Könyvtár beszerzései</t>
  </si>
  <si>
    <t>Naplemente Idősek Otthona beszerzései</t>
  </si>
  <si>
    <t>Elek Város Önkormányzat beszerzései (vízforraló, kávéfőző)</t>
  </si>
  <si>
    <t>Karácsonyi dízkivilágítás</t>
  </si>
  <si>
    <t>Szivattyú, IBC tartály, tolósúlyos mérleg, kutyacsapda</t>
  </si>
  <si>
    <t>József A. 9. szolg.lakás konyhabútor vásárlás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</si>
  <si>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</si>
  <si>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</si>
  <si>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</si>
  <si>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</si>
  <si>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</si>
  <si>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Lőkösházi u. 50. vizesblokk felújítás</t>
  </si>
  <si>
    <t>Lőkösházi u. 50. nagyterem felújírás</t>
  </si>
  <si>
    <t>TOP Elek Város csapadékelvezető rendszer fejlesztés</t>
  </si>
  <si>
    <t>2018-2019</t>
  </si>
  <si>
    <t>TOP Naplemente Idősek Otthon ép. Energetikai megtak.célzó projekt</t>
  </si>
  <si>
    <t>Játszótér felújítása</t>
  </si>
  <si>
    <t>Szent István u. 5/b 26 lakásos bérlakás felújítás</t>
  </si>
  <si>
    <t>Közvilágítás felújítása</t>
  </si>
  <si>
    <t>Művház rámpa, ajtó</t>
  </si>
  <si>
    <t>Közműv.érd.növ.pályázat (Művház födém sziget.)</t>
  </si>
  <si>
    <t>Naplemente Idősek Otthona kiadásai</t>
  </si>
  <si>
    <t>Dr. Mester György Ált.Iskola energetikai pályázat nyilvánosság</t>
  </si>
  <si>
    <t>Eleki Kerékpárút fejlesztése - pályázati tervdokum.</t>
  </si>
  <si>
    <t>2019-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</si>
  <si>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</si>
  <si>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</si>
  <si>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</si>
  <si>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</si>
  <si>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</si>
  <si>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</si>
  <si>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</si>
  <si>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</si>
  <si>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</si>
  <si>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</si>
  <si>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</si>
  <si>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</si>
  <si>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</si>
  <si>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</si>
  <si>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</si>
  <si>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</si>
  <si>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I.5.</t>
  </si>
  <si>
    <t>A költségvetési szerveknél foglalkoztatottak 2018. évi áthúzódó és 2019. évi kompenzációja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</si>
  <si>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</si>
  <si>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</si>
  <si>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</si>
  <si>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</si>
  <si>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</si>
  <si>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</si>
  <si>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</si>
  <si>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</si>
  <si>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III.1.</t>
  </si>
  <si>
    <t>Szociális ágazati összevont pótlék és egészségügyi kiegészítő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</si>
  <si>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</si>
  <si>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</si>
  <si>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</si>
  <si>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</si>
  <si>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</si>
  <si>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</si>
  <si>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</si>
  <si>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</si>
  <si>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</si>
  <si>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</si>
  <si>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</si>
  <si>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</si>
  <si>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</si>
  <si>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</si>
  <si>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</si>
  <si>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</si>
  <si>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</si>
  <si>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</si>
  <si>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</si>
  <si>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</si>
  <si>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IV.3.</t>
  </si>
  <si>
    <t>Kulturális illetménypótlék</t>
  </si>
  <si>
    <t>Elek Város csapadékvízelvezető rendszer fejlesztése - TOP pályázat</t>
  </si>
  <si>
    <t>Naplemente Idősek Otthona épületének energetikai megtakarítását célzó fejlesztés - TOP pályázat</t>
  </si>
  <si>
    <t>Velek Vezér Hagyományörző Íjász Egyesület</t>
  </si>
  <si>
    <t>Lázár Györgyné, Arany J. u. 46.</t>
  </si>
  <si>
    <t>Gyula és Környéke Többcélú Kistértégi Társulás</t>
  </si>
  <si>
    <t>Települési nemzetiségi önkormányzatok</t>
  </si>
  <si>
    <t>Rendőrség</t>
  </si>
  <si>
    <t>TÖOSZ, Katasztrófavédelem, Leader</t>
  </si>
  <si>
    <t xml:space="preserve">DAREH </t>
  </si>
  <si>
    <t>Körösi Vízgazdálkodási Társulat</t>
  </si>
  <si>
    <t>Lakosság</t>
  </si>
  <si>
    <t>Civil szervezetek</t>
  </si>
  <si>
    <t>Magyar Államkincstár</t>
  </si>
  <si>
    <t>MÁV Start Zrt.</t>
  </si>
  <si>
    <t>Tagdíj, támogatás</t>
  </si>
  <si>
    <t>Működési támogatás</t>
  </si>
  <si>
    <t>Tagdíjak</t>
  </si>
  <si>
    <t>Bursa Hungarica ösztöndíj</t>
  </si>
  <si>
    <t>Ösztöndíj</t>
  </si>
  <si>
    <t>Dr. Mester György Ált.Iskola pályázati támogatás visszafizetése</t>
  </si>
  <si>
    <t>Helyi védettségű épületek felújítás támogatása</t>
  </si>
  <si>
    <t>Szennnyvíz rákötés ösztönzés</t>
  </si>
  <si>
    <t>Eu választás napidíj átadása</t>
  </si>
  <si>
    <t>Módosított támogatás összege</t>
  </si>
  <si>
    <t>A magyar-román határ menti térs. Köz. Infrastruk. Való hozzáj.</t>
  </si>
  <si>
    <t xml:space="preserve">  Békés Megyei Vállalkozásfejlesztési Alapítvány</t>
  </si>
  <si>
    <t>Tel. Önk. Választás napidíj átadása</t>
  </si>
  <si>
    <t>Első magyar pékpont-rendszer kft.</t>
  </si>
  <si>
    <t>Gyulai Kist. Egys. Szoc. És Gyj. Int.</t>
  </si>
  <si>
    <t>Gyulai Tankerületi Központ</t>
  </si>
  <si>
    <t>OTP Bank Nyrt.</t>
  </si>
  <si>
    <t>E) EGYÉB SAJÁTOS  ELSZÁMOLÁSOK</t>
  </si>
  <si>
    <t>Eleki Hulladékgazdálkodási Nonprofit Kft</t>
  </si>
  <si>
    <t>Alföldvíz Zrt.</t>
  </si>
  <si>
    <t>Naplemente Idősek Otthona építésének energetikai megtakarítást célzó projekt                                                                               TOP-3.2.1-16-BS1-2017-00029</t>
  </si>
  <si>
    <t>Elek város csapadékvízelvezető rendszer fejlesztése                      TOP-2.1.3-16-BS1-2017-00013</t>
  </si>
  <si>
    <t>Kulturális intézmények a köznevelés eredményességéért Tanórán kívüli kulturális foglalkozások támogatása Eleken és Lőkösházán  a köznevelés eredményességéért                      EFOP-3.2.2-16-2016-00184</t>
  </si>
  <si>
    <t>Humán Szolgáltatások Fejlesztése Térségi szemléletben                      EFOP-1.5.2.16-2017-00021</t>
  </si>
  <si>
    <t>ROHU181</t>
  </si>
  <si>
    <t>Egyéb forrás visszafizetése</t>
  </si>
  <si>
    <t>Talajterhelési díj mentesség</t>
  </si>
  <si>
    <t>Többéves kihatással járó döntésekből származó kötelezettségek célok szerinti, évenkénti bontásban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</si>
  <si>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</si>
  <si>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</si>
  <si>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</si>
  <si>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</si>
  <si>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</si>
  <si>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</si>
  <si>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</si>
  <si>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</si>
  <si>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</si>
  <si>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</si>
  <si>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</si>
  <si>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</si>
  <si>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</si>
  <si>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</si>
  <si>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</si>
  <si>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</si>
  <si>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</si>
  <si>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</si>
  <si>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</si>
  <si>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</si>
  <si>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</si>
  <si>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</si>
  <si>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</si>
  <si>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</si>
  <si>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</si>
  <si>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</si>
  <si>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</si>
  <si>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</si>
  <si>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</si>
  <si>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</si>
  <si>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</si>
  <si>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</si>
  <si>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</si>
  <si>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</si>
  <si>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</si>
  <si>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</si>
  <si>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</si>
  <si>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</si>
  <si>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</si>
  <si>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</si>
  <si>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</si>
  <si>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</si>
  <si>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</si>
  <si>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</si>
  <si>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</si>
  <si>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</si>
  <si>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</si>
  <si>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</si>
  <si>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</si>
  <si>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</si>
  <si>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</si>
  <si>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</si>
  <si>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</si>
  <si>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</si>
  <si>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</si>
  <si>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</si>
  <si>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</si>
  <si>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</si>
  <si>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</si>
  <si>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</si>
  <si>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</si>
  <si>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</si>
  <si>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</si>
  <si>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</si>
  <si>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</si>
  <si>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</si>
  <si>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</si>
  <si>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</si>
  <si>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</si>
  <si>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</si>
  <si>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</si>
  <si>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</si>
  <si>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</si>
  <si>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</si>
  <si>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</si>
  <si>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</si>
  <si>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</si>
  <si>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</si>
  <si>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</si>
  <si>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</si>
  <si>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</si>
  <si>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</si>
  <si>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</si>
  <si>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</si>
  <si>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</si>
  <si>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</si>
  <si>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</si>
  <si>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</si>
  <si>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</si>
  <si>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</si>
  <si>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</si>
  <si>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</si>
  <si>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</si>
  <si>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</si>
  <si>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</si>
  <si>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</si>
  <si>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</si>
  <si>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</si>
  <si>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</si>
  <si>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</si>
  <si>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</si>
  <si>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</si>
  <si>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</si>
  <si>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</si>
  <si>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</si>
  <si>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</si>
  <si>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</si>
  <si>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</si>
  <si>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</si>
  <si>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</si>
  <si>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</si>
  <si>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</si>
  <si>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</si>
  <si>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</si>
  <si>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</si>
  <si>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</si>
  <si>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</si>
  <si>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</si>
  <si>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</si>
  <si>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</si>
  <si>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</si>
  <si>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</si>
  <si>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</si>
  <si>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</si>
  <si>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</si>
  <si>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</si>
  <si>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</si>
  <si>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</si>
  <si>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</si>
  <si>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</si>
  <si>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</si>
  <si>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</si>
  <si>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</si>
  <si>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</si>
  <si>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</si>
  <si>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</si>
  <si>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</si>
  <si>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</si>
  <si>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</si>
  <si>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</si>
  <si>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</si>
  <si>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</si>
  <si>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</si>
  <si>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</si>
  <si>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</si>
  <si>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</si>
  <si>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</si>
  <si>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</si>
  <si>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</si>
  <si>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</si>
  <si>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</si>
  <si>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</si>
  <si>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</si>
  <si>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</si>
  <si>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</si>
  <si>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</si>
  <si>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</si>
  <si>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</si>
  <si>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</si>
  <si>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</si>
  <si>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</si>
  <si>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</si>
  <si>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</si>
  <si>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</si>
  <si>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</si>
  <si>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</si>
  <si>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</si>
  <si>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</si>
  <si>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</si>
  <si>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</si>
  <si>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</si>
  <si>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</si>
  <si>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</si>
  <si>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</si>
  <si>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</si>
  <si>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</si>
  <si>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</si>
  <si>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</si>
  <si>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</si>
  <si>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</si>
  <si>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</si>
  <si>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</si>
  <si>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</si>
  <si>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</si>
  <si>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</si>
  <si>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</si>
  <si>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</si>
  <si>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</si>
  <si>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</si>
  <si>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</si>
  <si>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</si>
  <si>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</si>
  <si>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</si>
  <si>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</si>
  <si>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</si>
  <si>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</si>
  <si>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</si>
  <si>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</si>
  <si>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</si>
  <si>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</si>
  <si>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</si>
  <si>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</si>
  <si>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</si>
  <si>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</si>
  <si>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</si>
  <si>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</si>
  <si>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</si>
  <si>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</si>
  <si>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</si>
  <si>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</si>
  <si>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</si>
  <si>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</si>
  <si>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</si>
  <si>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</si>
  <si>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</si>
  <si>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</si>
  <si>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</si>
  <si>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</si>
  <si>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</si>
  <si>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</si>
  <si>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</si>
  <si>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</si>
  <si>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</si>
  <si>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</si>
  <si>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</si>
  <si>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</si>
  <si>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</si>
  <si>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</si>
  <si>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</si>
  <si>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</si>
  <si>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</si>
  <si>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</si>
  <si>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</si>
  <si>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</si>
  <si>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</si>
  <si>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</si>
  <si>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</si>
  <si>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</si>
  <si>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</si>
  <si>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</si>
  <si>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</si>
  <si>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</si>
  <si>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</si>
  <si>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</si>
  <si>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</si>
  <si>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</si>
  <si>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</si>
  <si>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</si>
  <si>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</si>
  <si>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</si>
  <si>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</si>
  <si>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</si>
  <si>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</si>
  <si>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</si>
  <si>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</si>
  <si>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</si>
  <si>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</si>
  <si>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</si>
  <si>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</si>
  <si>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</si>
  <si>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</si>
  <si>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</si>
  <si>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</si>
  <si>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</si>
  <si>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</si>
  <si>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</si>
  <si>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</si>
  <si>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</si>
  <si>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</si>
  <si>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</si>
  <si>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</si>
  <si>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</si>
  <si>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</si>
  <si>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</si>
  <si>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</si>
  <si>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</si>
  <si>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</si>
  <si>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</si>
  <si>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</si>
  <si>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</si>
  <si>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</si>
  <si>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</si>
  <si>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</si>
  <si>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</si>
  <si>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</si>
  <si>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</si>
  <si>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</si>
  <si>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</si>
  <si>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</si>
  <si>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</si>
  <si>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</si>
  <si>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</si>
  <si>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</si>
  <si>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</si>
  <si>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</si>
  <si>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</si>
  <si>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</si>
  <si>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</si>
  <si>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</si>
  <si>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</si>
  <si>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</si>
  <si>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</si>
  <si>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</si>
  <si>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</si>
  <si>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</si>
  <si>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</si>
  <si>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</si>
  <si>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</si>
  <si>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</si>
  <si>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</si>
  <si>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</si>
  <si>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</si>
  <si>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</si>
  <si>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</si>
  <si>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</si>
  <si>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</si>
  <si>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</si>
  <si>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</si>
  <si>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</si>
  <si>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</si>
  <si>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</si>
  <si>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</si>
  <si>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</si>
  <si>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</si>
  <si>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</si>
  <si>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</si>
  <si>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</si>
  <si>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</si>
  <si>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</si>
  <si>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</si>
  <si>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</si>
  <si>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</si>
  <si>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</si>
  <si>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</si>
  <si>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</si>
  <si>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</si>
  <si>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</si>
  <si>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</si>
  <si>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</si>
  <si>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</si>
  <si>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</si>
  <si>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</si>
  <si>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</si>
  <si>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</si>
  <si>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</si>
  <si>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</si>
  <si>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</si>
  <si>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</si>
  <si>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</si>
  <si>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</si>
  <si>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</si>
  <si>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</si>
  <si>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</si>
  <si>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</si>
  <si>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</si>
  <si>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</si>
  <si>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</si>
  <si>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</si>
  <si>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</si>
  <si>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</si>
  <si>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</si>
  <si>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</si>
  <si>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</si>
  <si>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</si>
  <si>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</si>
  <si>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</si>
  <si>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</si>
  <si>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</si>
  <si>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</si>
  <si>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</si>
  <si>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</si>
  <si>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</si>
  <si>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</si>
  <si>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</si>
  <si>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</si>
  <si>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</si>
  <si>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</si>
  <si>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</si>
  <si>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</si>
  <si>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</si>
  <si>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</si>
  <si>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</si>
  <si>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</si>
  <si>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</si>
  <si>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</si>
  <si>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</si>
  <si>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</si>
  <si>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</si>
  <si>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</si>
  <si>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</si>
  <si>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</si>
  <si>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</si>
  <si>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</si>
  <si>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</si>
  <si>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</si>
  <si>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</si>
  <si>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</si>
  <si>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</si>
  <si>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</si>
  <si>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</si>
  <si>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</si>
  <si>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</si>
  <si>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</si>
  <si>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</si>
  <si>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</si>
  <si>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</si>
  <si>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</si>
  <si>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</si>
  <si>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</si>
  <si>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</si>
  <si>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</si>
  <si>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</si>
  <si>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</si>
  <si>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</si>
  <si>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</si>
  <si>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</si>
  <si>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</si>
  <si>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</si>
  <si>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</si>
  <si>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</si>
  <si>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</si>
  <si>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</si>
  <si>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</si>
  <si>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</si>
  <si>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</si>
  <si>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</si>
  <si>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</si>
  <si>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</si>
  <si>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</si>
  <si>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</si>
  <si>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</si>
  <si>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</si>
  <si>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</si>
  <si>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</si>
  <si>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</si>
  <si>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</si>
  <si>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</si>
  <si>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</si>
  <si>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</si>
  <si>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</si>
  <si>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</si>
  <si>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</si>
  <si>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</si>
  <si>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</si>
  <si>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</si>
  <si>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</si>
  <si>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</si>
  <si>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</si>
  <si>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</si>
  <si>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</si>
  <si>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</si>
  <si>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</si>
  <si>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</si>
  <si>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</si>
  <si>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</si>
  <si>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</si>
  <si>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</si>
  <si>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</si>
  <si>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</si>
  <si>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</si>
  <si>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</si>
  <si>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</si>
  <si>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</si>
  <si>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</si>
  <si>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</si>
  <si>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</si>
  <si>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</si>
  <si>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</si>
  <si>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</si>
  <si>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</si>
  <si>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</si>
  <si>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</si>
  <si>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</si>
  <si>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</si>
  <si>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</si>
  <si>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</si>
  <si>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</si>
  <si>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</si>
  <si>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</si>
  <si>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</si>
  <si>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</si>
  <si>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</si>
  <si>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</si>
  <si>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</si>
  <si>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</si>
  <si>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</si>
  <si>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</si>
  <si>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</si>
  <si>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</si>
  <si>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</si>
  <si>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</si>
  <si>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</si>
  <si>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</si>
  <si>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</si>
  <si>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</si>
  <si>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</si>
  <si>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</si>
  <si>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</si>
  <si>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</si>
  <si>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</si>
  <si>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</si>
  <si>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</si>
  <si>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</si>
  <si>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</si>
  <si>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</si>
  <si>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</si>
  <si>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</si>
  <si>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</si>
  <si>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</si>
  <si>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</si>
  <si>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</si>
  <si>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</si>
  <si>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</si>
  <si>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</si>
  <si>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</si>
  <si>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</si>
  <si>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</si>
  <si>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</si>
  <si>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</si>
  <si>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</si>
  <si>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</si>
  <si>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</si>
  <si>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</si>
  <si>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</si>
  <si>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</si>
  <si>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</si>
  <si>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</si>
  <si>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</si>
  <si>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</si>
  <si>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</si>
  <si>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</si>
  <si>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</si>
  <si>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</si>
  <si>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</si>
  <si>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</si>
  <si>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</si>
  <si>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</si>
  <si>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</si>
  <si>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</si>
  <si>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</si>
  <si>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</si>
  <si>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</si>
  <si>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</si>
  <si>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</si>
  <si>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</si>
  <si>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</si>
  <si>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</si>
  <si>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</si>
  <si>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</si>
  <si>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</si>
  <si>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</si>
  <si>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</si>
  <si>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</si>
  <si>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</si>
  <si>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</si>
  <si>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</si>
  <si>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</si>
  <si>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</si>
  <si>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</si>
  <si>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</si>
  <si>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</si>
  <si>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</si>
  <si>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</si>
  <si>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</si>
  <si>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</si>
  <si>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</si>
  <si>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</si>
  <si>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</si>
  <si>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</si>
  <si>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</si>
  <si>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</si>
  <si>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</si>
  <si>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</si>
  <si>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</si>
  <si>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</si>
  <si>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</si>
  <si>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</si>
  <si>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</si>
  <si>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</si>
  <si>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</si>
  <si>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</si>
  <si>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</si>
  <si>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</si>
  <si>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</si>
  <si>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</si>
  <si>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</si>
  <si>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</si>
  <si>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</si>
  <si>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</si>
  <si>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</si>
  <si>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</si>
  <si>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</si>
  <si>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</si>
  <si>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</si>
  <si>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</si>
  <si>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</si>
  <si>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</si>
  <si>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</si>
  <si>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</si>
  <si>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</si>
  <si>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</si>
  <si>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</si>
  <si>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</si>
  <si>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</si>
  <si>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</si>
  <si>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</si>
  <si>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</si>
  <si>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</si>
  <si>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</si>
  <si>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</si>
  <si>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</si>
  <si>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</si>
  <si>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</si>
  <si>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</si>
  <si>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</si>
  <si>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</si>
  <si>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</si>
  <si>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</si>
  <si>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</si>
  <si>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</si>
  <si>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</si>
  <si>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</si>
  <si>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</si>
  <si>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</si>
  <si>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</si>
  <si>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</si>
  <si>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</si>
  <si>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</si>
  <si>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</si>
  <si>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</si>
  <si>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</si>
  <si>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</si>
  <si>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</si>
  <si>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</si>
  <si>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</si>
  <si>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</si>
  <si>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</si>
  <si>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</si>
  <si>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</si>
  <si>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</si>
  <si>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</si>
  <si>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</si>
  <si>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</si>
  <si>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</si>
  <si>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</si>
  <si>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</si>
  <si>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</si>
  <si>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</si>
  <si>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</si>
  <si>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</si>
  <si>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</si>
  <si>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</si>
  <si>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</si>
  <si>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</si>
  <si>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</si>
  <si>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</si>
  <si>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</si>
  <si>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</si>
  <si>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</si>
  <si>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</si>
  <si>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</si>
  <si>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</si>
  <si>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</si>
  <si>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</si>
  <si>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</si>
  <si>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</si>
  <si>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</si>
  <si>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</si>
  <si>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</si>
  <si>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</si>
  <si>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</si>
  <si>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</si>
  <si>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</si>
  <si>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</si>
  <si>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</si>
  <si>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</si>
  <si>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</si>
  <si>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</si>
  <si>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</si>
  <si>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</si>
  <si>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</si>
  <si>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</si>
  <si>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</si>
  <si>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</si>
  <si>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</si>
  <si>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</si>
  <si>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</si>
  <si>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</si>
  <si>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</si>
  <si>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</si>
  <si>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</si>
  <si>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</si>
  <si>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</si>
  <si>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</si>
  <si>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</si>
  <si>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</si>
  <si>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</si>
  <si>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</si>
  <si>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</si>
  <si>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</si>
  <si>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</si>
  <si>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</si>
  <si>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</si>
  <si>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</si>
  <si>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</si>
  <si>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</si>
  <si>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</si>
  <si>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</si>
  <si>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</si>
  <si>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</si>
  <si>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</si>
  <si>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</si>
  <si>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</si>
  <si>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</si>
  <si>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</si>
  <si>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</si>
  <si>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</si>
  <si>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</si>
  <si>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</si>
  <si>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</si>
  <si>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</si>
  <si>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</si>
  <si>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</si>
  <si>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</si>
  <si>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</si>
  <si>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</si>
  <si>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</si>
  <si>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</si>
  <si>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</si>
  <si>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</si>
  <si>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</si>
  <si>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</si>
  <si>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</si>
  <si>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</si>
  <si>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</si>
  <si>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</si>
  <si>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</si>
  <si>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</si>
  <si>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</si>
  <si>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</si>
  <si>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</si>
  <si>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</si>
  <si>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</si>
  <si>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</si>
  <si>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</si>
  <si>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</si>
  <si>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</si>
  <si>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</si>
  <si>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</si>
  <si>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</si>
  <si>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</si>
  <si>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</si>
  <si>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</si>
  <si>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</si>
  <si>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</si>
  <si>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</si>
  <si>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</si>
  <si>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</si>
  <si>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</si>
  <si>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</si>
  <si>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</si>
  <si>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</si>
  <si>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</si>
  <si>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</si>
  <si>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</si>
  <si>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</si>
  <si>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</si>
  <si>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</si>
  <si>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</si>
  <si>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</si>
  <si>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</si>
  <si>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</si>
  <si>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</si>
  <si>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</si>
  <si>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</si>
  <si>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</si>
  <si>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</si>
  <si>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</si>
  <si>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</si>
  <si>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</si>
  <si>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</si>
  <si>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</si>
  <si>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</si>
  <si>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</si>
  <si>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</si>
  <si>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</si>
  <si>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</si>
  <si>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</si>
  <si>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</si>
  <si>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</si>
  <si>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</si>
  <si>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</si>
  <si>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</si>
  <si>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</si>
  <si>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</si>
  <si>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</si>
  <si>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</si>
  <si>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</si>
  <si>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</si>
  <si>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</si>
  <si>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Jogcím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</si>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</sst>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[$¥€-2]\ #\ ##,000_);[Red]\([$€-2]\ #\ ##,000\)"/>
    <numFmt numFmtId="181" formatCode="_-* #,##0\ _F_t_-;\-* #,##0\ _F_t_-;_-* \-??\ _F_t_-;_-@_-"/>
  </numFmts>
  <fonts count="10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1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8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3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1" applyFont="1" applyFill="1" applyBorder="1" applyAlignment="1" applyProtection="1">
      <alignment horizontal="left" vertical="center" wrapText="1" indent="1"/>
      <protection/>
    </xf>
    <xf numFmtId="0" fontId="12" fillId="0" borderId="31" xfId="61" applyFont="1" applyFill="1" applyBorder="1" applyAlignment="1" applyProtection="1">
      <alignment vertical="center" wrapText="1"/>
      <protection/>
    </xf>
    <xf numFmtId="0" fontId="13" fillId="0" borderId="28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horizontal="center" vertical="center" wrapText="1"/>
      <protection/>
    </xf>
    <xf numFmtId="166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5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7" xfId="61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28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7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166" fontId="20" fillId="0" borderId="30" xfId="61" applyNumberFormat="1" applyFont="1" applyFill="1" applyBorder="1" applyAlignment="1" applyProtection="1">
      <alignment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8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166" fontId="6" fillId="0" borderId="61" xfId="0" applyNumberFormat="1" applyFont="1" applyFill="1" applyBorder="1" applyAlignment="1" applyProtection="1">
      <alignment horizontal="centerContinuous" vertical="center"/>
      <protection/>
    </xf>
    <xf numFmtId="166" fontId="6" fillId="0" borderId="62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63" xfId="0" applyNumberFormat="1" applyFont="1" applyFill="1" applyBorder="1" applyAlignment="1" applyProtection="1">
      <alignment horizontal="center" vertical="center"/>
      <protection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57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58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12" fillId="0" borderId="4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1" xfId="0" applyNumberFormat="1" applyFont="1" applyFill="1" applyBorder="1" applyAlignment="1" applyProtection="1">
      <alignment vertical="center" wrapText="1"/>
      <protection/>
    </xf>
    <xf numFmtId="166" fontId="12" fillId="0" borderId="65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8" xfId="0" applyNumberFormat="1" applyFont="1" applyFill="1" applyBorder="1" applyAlignment="1" applyProtection="1">
      <alignment vertical="center" wrapText="1"/>
      <protection locked="0"/>
    </xf>
    <xf numFmtId="166" fontId="13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8" xfId="0" applyNumberFormat="1" applyFont="1" applyFill="1" applyBorder="1" applyAlignment="1" applyProtection="1">
      <alignment vertical="center" wrapText="1"/>
      <protection/>
    </xf>
    <xf numFmtId="166" fontId="12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5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2" xfId="0" applyNumberFormat="1" applyFont="1" applyFill="1" applyBorder="1" applyAlignment="1" applyProtection="1">
      <alignment vertical="center" wrapText="1"/>
      <protection/>
    </xf>
    <xf numFmtId="166" fontId="12" fillId="0" borderId="42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2" xfId="0" applyNumberFormat="1" applyFont="1" applyFill="1" applyBorder="1" applyAlignment="1">
      <alignment horizontal="left" vertical="center" wrapText="1" indent="1"/>
    </xf>
    <xf numFmtId="166" fontId="0" fillId="33" borderId="42" xfId="0" applyNumberFormat="1" applyFont="1" applyFill="1" applyBorder="1" applyAlignment="1">
      <alignment horizontal="left" vertical="center" wrapText="1" indent="2"/>
    </xf>
    <xf numFmtId="166" fontId="0" fillId="33" borderId="32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7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2" xfId="0" applyNumberFormat="1" applyFont="1" applyFill="1" applyBorder="1" applyAlignment="1">
      <alignment horizontal="right" vertical="center" wrapText="1" indent="2"/>
    </xf>
    <xf numFmtId="166" fontId="0" fillId="33" borderId="32" xfId="0" applyNumberFormat="1" applyFont="1" applyFill="1" applyBorder="1" applyAlignment="1">
      <alignment horizontal="right" vertical="center" wrapText="1" indent="2"/>
    </xf>
    <xf numFmtId="166" fontId="13" fillId="0" borderId="38" xfId="0" applyNumberFormat="1" applyFont="1" applyFill="1" applyBorder="1" applyAlignment="1" applyProtection="1">
      <alignment vertical="center"/>
      <protection locked="0"/>
    </xf>
    <xf numFmtId="166" fontId="12" fillId="0" borderId="38" xfId="0" applyNumberFormat="1" applyFont="1" applyFill="1" applyBorder="1" applyAlignment="1" applyProtection="1">
      <alignment vertical="center"/>
      <protection/>
    </xf>
    <xf numFmtId="166" fontId="13" fillId="0" borderId="66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/>
      <protection locked="0"/>
    </xf>
    <xf numFmtId="166" fontId="13" fillId="0" borderId="64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57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29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8" xfId="0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17" xfId="0" applyFont="1" applyFill="1" applyBorder="1" applyAlignment="1">
      <alignment horizontal="right" vertical="center" indent="1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7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1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4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4" fillId="0" borderId="11" xfId="63" applyNumberFormat="1" applyFont="1" applyFill="1" applyBorder="1" applyAlignment="1" applyProtection="1">
      <alignment horizontal="right" vertical="center" wrapText="1"/>
      <protection/>
    </xf>
    <xf numFmtId="0" fontId="35" fillId="0" borderId="17" xfId="63" applyFont="1" applyFill="1" applyBorder="1" applyAlignment="1" applyProtection="1">
      <alignment horizontal="left" vertical="center" wrapText="1" indent="1"/>
      <protection/>
    </xf>
    <xf numFmtId="177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8" xfId="62" applyNumberFormat="1" applyFont="1" applyFill="1" applyBorder="1" applyAlignment="1" applyProtection="1">
      <alignment horizontal="center" vertical="center"/>
      <protection/>
    </xf>
    <xf numFmtId="177" fontId="34" fillId="0" borderId="28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67" xfId="62" applyNumberFormat="1" applyFont="1" applyFill="1" applyBorder="1" applyAlignment="1" applyProtection="1">
      <alignment vertical="center"/>
      <protection locked="0"/>
    </xf>
    <xf numFmtId="178" fontId="13" fillId="0" borderId="26" xfId="62" applyNumberFormat="1" applyFont="1" applyFill="1" applyBorder="1" applyAlignment="1" applyProtection="1">
      <alignment vertical="center"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178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57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68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67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69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8" fontId="12" fillId="0" borderId="27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0" xfId="63" applyNumberFormat="1" applyFont="1" applyFill="1" applyBorder="1">
      <alignment/>
      <protection/>
    </xf>
    <xf numFmtId="0" fontId="3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0" fillId="0" borderId="0" xfId="63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168" fontId="41" fillId="0" borderId="67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1" applyFont="1" applyBorder="1" applyAlignment="1" applyProtection="1">
      <alignment horizontal="center" vertical="center" wrapText="1"/>
      <protection locked="0"/>
    </xf>
    <xf numFmtId="168" fontId="41" fillId="0" borderId="11" xfId="42" applyNumberFormat="1" applyFont="1" applyBorder="1" applyAlignment="1" applyProtection="1">
      <alignment horizontal="center" vertical="center" wrapText="1"/>
      <protection locked="0"/>
    </xf>
    <xf numFmtId="168" fontId="41" fillId="0" borderId="26" xfId="42" applyNumberFormat="1" applyFont="1" applyBorder="1" applyAlignment="1" applyProtection="1">
      <alignment horizontal="center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9" fontId="41" fillId="0" borderId="15" xfId="71" applyFont="1" applyBorder="1" applyAlignment="1" applyProtection="1">
      <alignment horizontal="center" vertical="center" wrapText="1"/>
      <protection locked="0"/>
    </xf>
    <xf numFmtId="168" fontId="41" fillId="0" borderId="15" xfId="42" applyNumberFormat="1" applyFont="1" applyBorder="1" applyAlignment="1" applyProtection="1">
      <alignment horizontal="center" vertical="center" wrapText="1"/>
      <protection locked="0"/>
    </xf>
    <xf numFmtId="168" fontId="41" fillId="0" borderId="69" xfId="42" applyNumberFormat="1" applyFont="1" applyBorder="1" applyAlignment="1" applyProtection="1">
      <alignment horizontal="center" vertical="top" wrapText="1"/>
      <protection locked="0"/>
    </xf>
    <xf numFmtId="0" fontId="39" fillId="34" borderId="23" xfId="0" applyFont="1" applyFill="1" applyBorder="1" applyAlignment="1" applyProtection="1">
      <alignment horizontal="center" vertical="top" wrapText="1"/>
      <protection/>
    </xf>
    <xf numFmtId="168" fontId="41" fillId="0" borderId="23" xfId="42" applyNumberFormat="1" applyFont="1" applyBorder="1" applyAlignment="1" applyProtection="1">
      <alignment horizontal="center" vertical="center" wrapText="1"/>
      <protection/>
    </xf>
    <xf numFmtId="168" fontId="41" fillId="0" borderId="27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3" fillId="0" borderId="28" xfId="0" applyFont="1" applyFill="1" applyBorder="1" applyAlignment="1">
      <alignment horizontal="left" vertical="center" indent="5"/>
    </xf>
    <xf numFmtId="166" fontId="20" fillId="0" borderId="30" xfId="61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7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4" xfId="0" applyNumberFormat="1" applyFont="1" applyFill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  <protection locked="0"/>
    </xf>
    <xf numFmtId="166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1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8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62" applyNumberFormat="1" applyFont="1" applyFill="1" applyBorder="1" applyAlignment="1" applyProtection="1">
      <alignment horizontal="center" vertical="center"/>
      <protection locked="0"/>
    </xf>
    <xf numFmtId="49" fontId="12" fillId="0" borderId="57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4" fillId="0" borderId="18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/>
    </xf>
    <xf numFmtId="0" fontId="44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69" xfId="0" applyNumberFormat="1" applyFont="1" applyFill="1" applyBorder="1" applyAlignment="1" applyProtection="1">
      <alignment horizontal="right" vertical="center"/>
      <protection locked="0"/>
    </xf>
    <xf numFmtId="179" fontId="0" fillId="0" borderId="57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top" wrapText="1"/>
    </xf>
    <xf numFmtId="0" fontId="54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91" fillId="0" borderId="0" xfId="46" applyAlignment="1" applyProtection="1">
      <alignment/>
      <protection/>
    </xf>
    <xf numFmtId="166" fontId="55" fillId="0" borderId="0" xfId="0" applyNumberFormat="1" applyFont="1" applyFill="1" applyAlignment="1" applyProtection="1">
      <alignment horizontal="right" vertical="center" wrapText="1" indent="1"/>
      <protection/>
    </xf>
    <xf numFmtId="166" fontId="56" fillId="0" borderId="0" xfId="61" applyNumberFormat="1" applyFont="1" applyFill="1" applyProtection="1">
      <alignment/>
      <protection/>
    </xf>
    <xf numFmtId="166" fontId="56" fillId="0" borderId="0" xfId="61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69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2" xfId="60" applyNumberFormat="1" applyFont="1" applyBorder="1" applyAlignment="1">
      <alignment horizontal="center" vertical="center" wrapText="1"/>
      <protection/>
    </xf>
    <xf numFmtId="3" fontId="13" fillId="0" borderId="65" xfId="60" applyNumberFormat="1" applyFont="1" applyBorder="1" applyAlignment="1" applyProtection="1">
      <alignment horizontal="right" vertical="center" wrapText="1"/>
      <protection locked="0"/>
    </xf>
    <xf numFmtId="3" fontId="13" fillId="0" borderId="39" xfId="60" applyNumberFormat="1" applyFont="1" applyBorder="1" applyAlignment="1" applyProtection="1">
      <alignment horizontal="right" vertical="center" wrapText="1"/>
      <protection locked="0"/>
    </xf>
    <xf numFmtId="3" fontId="13" fillId="0" borderId="74" xfId="60" applyNumberFormat="1" applyFont="1" applyBorder="1" applyAlignment="1" applyProtection="1">
      <alignment horizontal="right" vertical="center" wrapText="1"/>
      <protection locked="0"/>
    </xf>
    <xf numFmtId="3" fontId="13" fillId="0" borderId="75" xfId="60" applyNumberFormat="1" applyFont="1" applyBorder="1" applyAlignment="1" applyProtection="1">
      <alignment horizontal="right" vertical="center" wrapText="1"/>
      <protection locked="0"/>
    </xf>
    <xf numFmtId="166" fontId="12" fillId="0" borderId="42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2" xfId="60" applyNumberFormat="1" applyFont="1" applyBorder="1" applyAlignment="1">
      <alignment horizontal="center" vertical="center" wrapText="1"/>
      <protection/>
    </xf>
    <xf numFmtId="166" fontId="6" fillId="0" borderId="42" xfId="60" applyNumberFormat="1" applyFont="1" applyBorder="1" applyAlignment="1">
      <alignment horizontal="center" vertical="center" wrapText="1"/>
      <protection/>
    </xf>
    <xf numFmtId="166" fontId="52" fillId="0" borderId="76" xfId="60" applyNumberFormat="1" applyFont="1" applyBorder="1" applyAlignment="1">
      <alignment horizontal="center" vertical="center"/>
      <protection/>
    </xf>
    <xf numFmtId="166" fontId="52" fillId="0" borderId="42" xfId="60" applyNumberFormat="1" applyFont="1" applyBorder="1" applyAlignment="1">
      <alignment horizontal="center" vertical="center"/>
      <protection/>
    </xf>
    <xf numFmtId="166" fontId="52" fillId="0" borderId="77" xfId="60" applyNumberFormat="1" applyFont="1" applyBorder="1" applyAlignment="1">
      <alignment horizontal="center" vertical="center"/>
      <protection/>
    </xf>
    <xf numFmtId="166" fontId="52" fillId="0" borderId="42" xfId="60" applyNumberFormat="1" applyFont="1" applyBorder="1" applyAlignment="1">
      <alignment horizontal="center" vertical="center" wrapText="1"/>
      <protection/>
    </xf>
    <xf numFmtId="166" fontId="52" fillId="0" borderId="77" xfId="60" applyNumberFormat="1" applyFont="1" applyBorder="1" applyAlignment="1">
      <alignment horizontal="center" vertical="center" wrapText="1"/>
      <protection/>
    </xf>
    <xf numFmtId="49" fontId="13" fillId="0" borderId="78" xfId="60" applyNumberFormat="1" applyFont="1" applyBorder="1" applyAlignment="1">
      <alignment horizontal="left" vertical="center"/>
      <protection/>
    </xf>
    <xf numFmtId="49" fontId="18" fillId="0" borderId="79" xfId="60" applyNumberFormat="1" applyFont="1" applyBorder="1" applyAlignment="1" quotePrefix="1">
      <alignment horizontal="left" vertical="center"/>
      <protection/>
    </xf>
    <xf numFmtId="49" fontId="13" fillId="0" borderId="79" xfId="60" applyNumberFormat="1" applyFont="1" applyBorder="1" applyAlignment="1">
      <alignment horizontal="left" vertical="center"/>
      <protection/>
    </xf>
    <xf numFmtId="49" fontId="12" fillId="0" borderId="58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2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57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73" xfId="60" applyNumberFormat="1" applyFont="1" applyBorder="1" applyAlignment="1" applyProtection="1">
      <alignment horizontal="right" vertical="center" indent="1"/>
      <protection locked="0"/>
    </xf>
    <xf numFmtId="166" fontId="13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5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5" xfId="60" applyNumberFormat="1" applyFont="1" applyBorder="1" applyAlignment="1">
      <alignment horizontal="right" vertical="center" wrapText="1" indent="1"/>
      <protection/>
    </xf>
    <xf numFmtId="166" fontId="18" fillId="0" borderId="40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0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0" xfId="60" applyNumberFormat="1" applyFont="1" applyBorder="1" applyAlignment="1">
      <alignment horizontal="right" vertical="center" wrapText="1" indent="1"/>
      <protection/>
    </xf>
    <xf numFmtId="166" fontId="12" fillId="0" borderId="42" xfId="60" applyNumberFormat="1" applyFont="1" applyBorder="1" applyAlignment="1">
      <alignment horizontal="right" vertical="center" indent="1"/>
      <protection/>
    </xf>
    <xf numFmtId="166" fontId="12" fillId="0" borderId="42" xfId="60" applyNumberFormat="1" applyFont="1" applyBorder="1" applyAlignment="1">
      <alignment horizontal="right" vertical="center" wrapText="1" indent="1"/>
      <protection/>
    </xf>
    <xf numFmtId="166" fontId="13" fillId="0" borderId="75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4" xfId="60" applyNumberFormat="1" applyFont="1" applyBorder="1" applyAlignment="1">
      <alignment horizontal="right" vertical="center" wrapText="1" indent="1"/>
      <protection/>
    </xf>
    <xf numFmtId="166" fontId="12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42" fillId="0" borderId="40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0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3" xfId="60" applyNumberFormat="1" applyFont="1" applyBorder="1" applyAlignment="1" applyProtection="1">
      <alignment horizontal="right" vertical="center" indent="1"/>
      <protection/>
    </xf>
    <xf numFmtId="166" fontId="18" fillId="0" borderId="40" xfId="60" applyNumberFormat="1" applyFont="1" applyBorder="1" applyAlignment="1" applyProtection="1">
      <alignment horizontal="right" vertical="center" indent="1"/>
      <protection/>
    </xf>
    <xf numFmtId="166" fontId="13" fillId="0" borderId="40" xfId="60" applyNumberFormat="1" applyFont="1" applyBorder="1" applyAlignment="1" applyProtection="1">
      <alignment horizontal="right" vertical="center" indent="1"/>
      <protection/>
    </xf>
    <xf numFmtId="166" fontId="12" fillId="0" borderId="42" xfId="60" applyNumberFormat="1" applyFont="1" applyBorder="1" applyAlignment="1" applyProtection="1">
      <alignment horizontal="right" vertical="center" indent="1"/>
      <protection/>
    </xf>
    <xf numFmtId="166" fontId="13" fillId="0" borderId="75" xfId="60" applyNumberFormat="1" applyFont="1" applyBorder="1" applyAlignment="1" applyProtection="1">
      <alignment horizontal="right" vertical="center" indent="1"/>
      <protection/>
    </xf>
    <xf numFmtId="3" fontId="16" fillId="0" borderId="70" xfId="63" applyNumberFormat="1" applyFont="1" applyFill="1" applyBorder="1" applyProtection="1">
      <alignment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5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166" fontId="13" fillId="0" borderId="81" xfId="0" applyNumberFormat="1" applyFont="1" applyBorder="1" applyAlignment="1" applyProtection="1">
      <alignment horizontal="left" vertical="center" wrapText="1"/>
      <protection locked="0"/>
    </xf>
    <xf numFmtId="166" fontId="13" fillId="0" borderId="82" xfId="0" applyNumberFormat="1" applyFont="1" applyBorder="1" applyAlignment="1" applyProtection="1">
      <alignment vertical="center" wrapText="1"/>
      <protection locked="0"/>
    </xf>
    <xf numFmtId="49" fontId="13" fillId="0" borderId="82" xfId="0" applyNumberFormat="1" applyFont="1" applyBorder="1" applyAlignment="1" applyProtection="1">
      <alignment horizontal="center" vertical="center" wrapText="1"/>
      <protection locked="0"/>
    </xf>
    <xf numFmtId="166" fontId="13" fillId="0" borderId="83" xfId="0" applyNumberFormat="1" applyFont="1" applyBorder="1" applyAlignment="1" applyProtection="1">
      <alignment horizontal="left" vertical="center" wrapText="1"/>
      <protection locked="0"/>
    </xf>
    <xf numFmtId="166" fontId="13" fillId="0" borderId="84" xfId="0" applyNumberFormat="1" applyFont="1" applyBorder="1" applyAlignment="1" applyProtection="1">
      <alignment horizontal="left" vertical="center" wrapText="1"/>
      <protection locked="0"/>
    </xf>
    <xf numFmtId="166" fontId="13" fillId="0" borderId="85" xfId="0" applyNumberFormat="1" applyFont="1" applyBorder="1" applyAlignment="1" applyProtection="1">
      <alignment vertical="center" wrapText="1"/>
      <protection locked="0"/>
    </xf>
    <xf numFmtId="166" fontId="13" fillId="0" borderId="86" xfId="0" applyNumberFormat="1" applyFont="1" applyBorder="1" applyAlignment="1" applyProtection="1">
      <alignment horizontal="left" vertical="center" wrapText="1"/>
      <protection locked="0"/>
    </xf>
    <xf numFmtId="166" fontId="13" fillId="0" borderId="87" xfId="0" applyNumberFormat="1" applyFont="1" applyBorder="1" applyAlignment="1" applyProtection="1">
      <alignment vertical="center" wrapText="1"/>
      <protection locked="0"/>
    </xf>
    <xf numFmtId="49" fontId="11" fillId="0" borderId="82" xfId="0" applyNumberFormat="1" applyFont="1" applyBorder="1" applyAlignment="1" applyProtection="1">
      <alignment horizontal="center" vertical="center" wrapText="1"/>
      <protection locked="0"/>
    </xf>
    <xf numFmtId="166" fontId="0" fillId="0" borderId="83" xfId="0" applyNumberFormat="1" applyBorder="1" applyAlignment="1" applyProtection="1">
      <alignment horizontal="left" vertical="center" wrapText="1"/>
      <protection locked="0"/>
    </xf>
    <xf numFmtId="166" fontId="11" fillId="0" borderId="81" xfId="0" applyNumberFormat="1" applyFont="1" applyBorder="1" applyAlignment="1" applyProtection="1">
      <alignment horizontal="left" vertical="center" wrapText="1"/>
      <protection locked="0"/>
    </xf>
    <xf numFmtId="166" fontId="11" fillId="0" borderId="82" xfId="0" applyNumberFormat="1" applyFont="1" applyBorder="1" applyAlignment="1" applyProtection="1">
      <alignment vertical="center" wrapText="1"/>
      <protection locked="0"/>
    </xf>
    <xf numFmtId="166" fontId="13" fillId="38" borderId="81" xfId="0" applyNumberFormat="1" applyFont="1" applyFill="1" applyBorder="1" applyAlignment="1" applyProtection="1">
      <alignment horizontal="left" vertical="center" wrapText="1"/>
      <protection locked="0"/>
    </xf>
    <xf numFmtId="166" fontId="13" fillId="37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37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8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6" xfId="0" applyFont="1" applyBorder="1" applyAlignment="1" applyProtection="1">
      <alignment horizontal="left" wrapText="1" indent="1"/>
      <protection/>
    </xf>
    <xf numFmtId="166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61" applyFont="1" applyFill="1" applyBorder="1" applyAlignment="1" applyProtection="1">
      <alignment horizontal="left" vertical="center" wrapText="1" indent="1"/>
      <protection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61" applyFont="1" applyFill="1" applyBorder="1" applyAlignment="1" applyProtection="1">
      <alignment horizontal="left" vertical="center" wrapText="1" indent="1"/>
      <protection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31" xfId="61" applyFont="1" applyFill="1" applyBorder="1" applyAlignment="1" applyProtection="1">
      <alignment horizontal="left" vertical="center" wrapText="1" indent="1"/>
      <protection/>
    </xf>
    <xf numFmtId="0" fontId="16" fillId="0" borderId="13" xfId="0" applyFont="1" applyBorder="1" applyAlignment="1" applyProtection="1">
      <alignment horizontal="left" wrapText="1" indent="1"/>
      <protection/>
    </xf>
    <xf numFmtId="166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8" xfId="0" applyFont="1" applyBorder="1" applyAlignment="1" applyProtection="1">
      <alignment horizontal="left" wrapText="1" indent="1"/>
      <protection/>
    </xf>
    <xf numFmtId="166" fontId="13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8" xfId="0" applyFont="1" applyBorder="1" applyAlignment="1" applyProtection="1">
      <alignment horizontal="left" vertical="center" wrapText="1" indent="1"/>
      <protection/>
    </xf>
    <xf numFmtId="166" fontId="13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3" xfId="0" applyFont="1" applyFill="1" applyBorder="1" applyAlignment="1">
      <alignment horizontal="center" vertical="center"/>
    </xf>
    <xf numFmtId="0" fontId="17" fillId="0" borderId="72" xfId="0" applyFont="1" applyFill="1" applyBorder="1" applyAlignment="1" applyProtection="1">
      <alignment horizontal="center" vertical="center" wrapText="1"/>
      <protection/>
    </xf>
    <xf numFmtId="0" fontId="17" fillId="0" borderId="73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6" fillId="38" borderId="11" xfId="0" applyFont="1" applyFill="1" applyBorder="1" applyAlignment="1" applyProtection="1">
      <alignment horizontal="left" vertical="center" wrapText="1"/>
      <protection locked="0"/>
    </xf>
    <xf numFmtId="166" fontId="16" fillId="0" borderId="11" xfId="0" applyNumberFormat="1" applyFont="1" applyBorder="1" applyAlignment="1" applyProtection="1">
      <alignment horizontal="right" vertical="center" wrapText="1"/>
      <protection locked="0"/>
    </xf>
    <xf numFmtId="0" fontId="13" fillId="38" borderId="11" xfId="0" applyFont="1" applyFill="1" applyBorder="1" applyAlignment="1" applyProtection="1">
      <alignment/>
      <protection locked="0"/>
    </xf>
    <xf numFmtId="0" fontId="13" fillId="0" borderId="11" xfId="0" applyFont="1" applyBorder="1" applyAlignment="1">
      <alignment horizontal="left" vertical="center"/>
    </xf>
    <xf numFmtId="0" fontId="0" fillId="38" borderId="20" xfId="0" applyFill="1" applyBorder="1" applyAlignment="1">
      <alignment/>
    </xf>
    <xf numFmtId="0" fontId="16" fillId="38" borderId="13" xfId="0" applyFont="1" applyFill="1" applyBorder="1" applyAlignment="1" applyProtection="1">
      <alignment horizontal="left" vertical="center" wrapText="1"/>
      <protection locked="0"/>
    </xf>
    <xf numFmtId="166" fontId="16" fillId="0" borderId="13" xfId="0" applyNumberFormat="1" applyFont="1" applyBorder="1" applyAlignment="1" applyProtection="1">
      <alignment horizontal="right" vertical="center" wrapText="1"/>
      <protection locked="0"/>
    </xf>
    <xf numFmtId="0" fontId="0" fillId="38" borderId="17" xfId="0" applyFill="1" applyBorder="1" applyAlignment="1">
      <alignment/>
    </xf>
    <xf numFmtId="0" fontId="0" fillId="38" borderId="21" xfId="0" applyFill="1" applyBorder="1" applyAlignment="1">
      <alignment/>
    </xf>
    <xf numFmtId="0" fontId="16" fillId="38" borderId="28" xfId="0" applyFont="1" applyFill="1" applyBorder="1" applyAlignment="1" applyProtection="1">
      <alignment horizontal="left" vertical="center" wrapText="1"/>
      <protection locked="0"/>
    </xf>
    <xf numFmtId="166" fontId="16" fillId="0" borderId="28" xfId="0" applyNumberFormat="1" applyFon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7" fillId="0" borderId="23" xfId="0" applyNumberFormat="1" applyFont="1" applyBorder="1" applyAlignment="1">
      <alignment horizontal="right" vertical="center" wrapText="1"/>
    </xf>
    <xf numFmtId="166" fontId="16" fillId="0" borderId="44" xfId="0" applyNumberFormat="1" applyFont="1" applyBorder="1" applyAlignment="1" applyProtection="1">
      <alignment horizontal="right" vertical="center" wrapText="1"/>
      <protection locked="0"/>
    </xf>
    <xf numFmtId="166" fontId="16" fillId="0" borderId="26" xfId="0" applyNumberFormat="1" applyFont="1" applyBorder="1" applyAlignment="1" applyProtection="1">
      <alignment horizontal="right" vertical="center" wrapText="1"/>
      <protection locked="0"/>
    </xf>
    <xf numFmtId="166" fontId="16" fillId="0" borderId="57" xfId="0" applyNumberFormat="1" applyFont="1" applyBorder="1" applyAlignment="1" applyProtection="1">
      <alignment horizontal="right" vertical="center" wrapText="1"/>
      <protection locked="0"/>
    </xf>
    <xf numFmtId="166" fontId="12" fillId="0" borderId="33" xfId="61" applyNumberFormat="1" applyFont="1" applyBorder="1" applyAlignment="1">
      <alignment horizontal="right" vertical="center" wrapText="1" indent="1"/>
      <protection/>
    </xf>
    <xf numFmtId="166" fontId="13" fillId="0" borderId="12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Border="1" applyAlignment="1">
      <alignment horizontal="right" vertical="center" wrapText="1" indent="1"/>
      <protection/>
    </xf>
    <xf numFmtId="166" fontId="13" fillId="0" borderId="11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Border="1" applyAlignment="1" applyProtection="1">
      <alignment horizontal="right" vertical="center" wrapText="1" indent="1"/>
      <protection locked="0"/>
    </xf>
    <xf numFmtId="166" fontId="12" fillId="0" borderId="46" xfId="61" applyNumberFormat="1" applyFont="1" applyBorder="1" applyAlignment="1">
      <alignment horizontal="right" vertical="center" wrapText="1" indent="1"/>
      <protection/>
    </xf>
    <xf numFmtId="49" fontId="13" fillId="0" borderId="37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31" xfId="61" applyFont="1" applyFill="1" applyBorder="1" applyAlignment="1" applyProtection="1">
      <alignment horizontal="left" vertical="center" wrapText="1"/>
      <protection/>
    </xf>
    <xf numFmtId="166" fontId="13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61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0" fillId="37" borderId="0" xfId="0" applyFill="1" applyAlignment="1">
      <alignment horizontal="left" vertical="center"/>
    </xf>
    <xf numFmtId="166" fontId="0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0" fillId="37" borderId="42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 indent="1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Fill="1" applyBorder="1" applyAlignment="1">
      <alignment horizontal="right" vertical="center" indent="1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3" fontId="0" fillId="0" borderId="44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0" fontId="45" fillId="0" borderId="0" xfId="63" applyFont="1" applyFill="1" applyAlignment="1" applyProtection="1">
      <alignment vertical="center"/>
      <protection/>
    </xf>
    <xf numFmtId="0" fontId="41" fillId="0" borderId="89" xfId="0" applyFont="1" applyBorder="1" applyAlignment="1" applyProtection="1">
      <alignment horizontal="left" vertical="top" wrapText="1"/>
      <protection locked="0"/>
    </xf>
    <xf numFmtId="9" fontId="41" fillId="0" borderId="89" xfId="71" applyFont="1" applyFill="1" applyBorder="1" applyAlignment="1" applyProtection="1">
      <alignment horizontal="center" vertical="center" wrapText="1"/>
      <protection locked="0"/>
    </xf>
    <xf numFmtId="181" fontId="41" fillId="0" borderId="89" xfId="42" applyNumberFormat="1" applyFont="1" applyFill="1" applyBorder="1" applyAlignment="1" applyProtection="1">
      <alignment horizontal="center" vertical="center" wrapText="1"/>
      <protection locked="0"/>
    </xf>
    <xf numFmtId="0" fontId="41" fillId="0" borderId="82" xfId="0" applyFont="1" applyBorder="1" applyAlignment="1" applyProtection="1">
      <alignment horizontal="left" vertical="top" wrapText="1"/>
      <protection locked="0"/>
    </xf>
    <xf numFmtId="9" fontId="41" fillId="0" borderId="82" xfId="71" applyFont="1" applyFill="1" applyBorder="1" applyAlignment="1" applyProtection="1">
      <alignment horizontal="center" vertical="center" wrapText="1"/>
      <protection locked="0"/>
    </xf>
    <xf numFmtId="181" fontId="41" fillId="0" borderId="82" xfId="42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60" applyNumberFormat="1" applyAlignment="1" applyProtection="1">
      <alignment vertical="center" wrapText="1"/>
      <protection locked="0"/>
    </xf>
    <xf numFmtId="0" fontId="3" fillId="38" borderId="0" xfId="0" applyFont="1" applyFill="1" applyAlignment="1" applyProtection="1">
      <alignment wrapText="1"/>
      <protection locked="0"/>
    </xf>
    <xf numFmtId="3" fontId="13" fillId="0" borderId="40" xfId="0" applyNumberFormat="1" applyFont="1" applyBorder="1" applyAlignment="1" applyProtection="1">
      <alignment horizontal="right" vertical="center" wrapText="1"/>
      <protection locked="0"/>
    </xf>
    <xf numFmtId="3" fontId="13" fillId="0" borderId="90" xfId="0" applyNumberFormat="1" applyFont="1" applyBorder="1" applyAlignment="1" applyProtection="1">
      <alignment vertical="center"/>
      <protection locked="0"/>
    </xf>
    <xf numFmtId="3" fontId="13" fillId="0" borderId="82" xfId="0" applyNumberFormat="1" applyFont="1" applyBorder="1" applyAlignment="1" applyProtection="1">
      <alignment vertical="center"/>
      <protection locked="0"/>
    </xf>
    <xf numFmtId="3" fontId="13" fillId="0" borderId="73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3" fontId="13" fillId="37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0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7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/>
    </xf>
    <xf numFmtId="0" fontId="6" fillId="0" borderId="91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4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0" xfId="61" applyNumberFormat="1" applyFont="1" applyFill="1" applyBorder="1" applyAlignment="1" applyProtection="1">
      <alignment horizontal="left" vertical="center"/>
      <protection locked="0"/>
    </xf>
    <xf numFmtId="166" fontId="20" fillId="0" borderId="30" xfId="61" applyNumberFormat="1" applyFont="1" applyFill="1" applyBorder="1" applyAlignment="1" applyProtection="1">
      <alignment horizontal="left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59" fillId="0" borderId="6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50" fillId="0" borderId="0" xfId="60" applyFont="1" applyAlignment="1">
      <alignment horizontal="center" textRotation="180"/>
      <protection/>
    </xf>
    <xf numFmtId="166" fontId="4" fillId="0" borderId="30" xfId="60" applyNumberFormat="1" applyFont="1" applyBorder="1" applyAlignment="1" applyProtection="1">
      <alignment horizontal="right" vertical="center"/>
      <protection locked="0"/>
    </xf>
    <xf numFmtId="166" fontId="6" fillId="0" borderId="58" xfId="60" applyNumberFormat="1" applyFont="1" applyBorder="1" applyAlignment="1">
      <alignment horizontal="center" vertical="center" wrapText="1"/>
      <protection/>
    </xf>
    <xf numFmtId="0" fontId="0" fillId="0" borderId="55" xfId="60" applyBorder="1" applyAlignment="1">
      <alignment horizontal="center" vertical="center" wrapText="1"/>
      <protection/>
    </xf>
    <xf numFmtId="0" fontId="0" fillId="0" borderId="33" xfId="60" applyBorder="1" applyAlignment="1">
      <alignment horizontal="center" vertical="center" wrapText="1"/>
      <protection/>
    </xf>
    <xf numFmtId="166" fontId="6" fillId="0" borderId="73" xfId="60" applyNumberFormat="1" applyFont="1" applyBorder="1" applyAlignment="1">
      <alignment horizontal="center" vertical="center" wrapText="1"/>
      <protection/>
    </xf>
    <xf numFmtId="0" fontId="60" fillId="0" borderId="77" xfId="0" applyFont="1" applyBorder="1" applyAlignment="1">
      <alignment horizontal="center" vertical="center" wrapText="1"/>
    </xf>
    <xf numFmtId="166" fontId="12" fillId="0" borderId="58" xfId="60" applyNumberFormat="1" applyFont="1" applyBorder="1" applyAlignment="1" applyProtection="1">
      <alignment horizontal="center" vertical="center" wrapText="1"/>
      <protection/>
    </xf>
    <xf numFmtId="166" fontId="12" fillId="0" borderId="55" xfId="60" applyNumberFormat="1" applyFont="1" applyBorder="1" applyAlignment="1" applyProtection="1">
      <alignment horizontal="center" vertical="center" wrapText="1"/>
      <protection/>
    </xf>
    <xf numFmtId="0" fontId="0" fillId="0" borderId="33" xfId="60" applyBorder="1" applyAlignment="1" applyProtection="1">
      <alignment horizontal="center" vertical="center"/>
      <protection/>
    </xf>
    <xf numFmtId="0" fontId="0" fillId="0" borderId="55" xfId="60" applyBorder="1" applyAlignment="1" applyProtection="1">
      <alignment horizontal="center" vertical="center"/>
      <protection/>
    </xf>
    <xf numFmtId="166" fontId="6" fillId="0" borderId="72" xfId="60" applyNumberFormat="1" applyFont="1" applyBorder="1" applyAlignment="1">
      <alignment horizontal="center" vertical="center"/>
      <protection/>
    </xf>
    <xf numFmtId="166" fontId="6" fillId="0" borderId="41" xfId="60" applyNumberFormat="1" applyFont="1" applyBorder="1" applyAlignment="1">
      <alignment horizontal="center" vertical="center"/>
      <protection/>
    </xf>
    <xf numFmtId="166" fontId="6" fillId="0" borderId="76" xfId="60" applyNumberFormat="1" applyFont="1" applyBorder="1" applyAlignment="1">
      <alignment horizontal="center" vertical="center"/>
      <protection/>
    </xf>
    <xf numFmtId="166" fontId="6" fillId="0" borderId="72" xfId="60" applyNumberFormat="1" applyFont="1" applyBorder="1" applyAlignment="1">
      <alignment horizontal="center" vertical="center" wrapText="1"/>
      <protection/>
    </xf>
    <xf numFmtId="166" fontId="6" fillId="0" borderId="60" xfId="60" applyNumberFormat="1" applyFont="1" applyBorder="1" applyAlignment="1">
      <alignment horizontal="center" vertical="center" wrapText="1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 wrapText="1"/>
      <protection/>
    </xf>
    <xf numFmtId="166" fontId="3" fillId="0" borderId="73" xfId="60" applyNumberFormat="1" applyFont="1" applyBorder="1" applyAlignment="1">
      <alignment horizontal="center" vertical="center" wrapText="1"/>
      <protection/>
    </xf>
    <xf numFmtId="166" fontId="3" fillId="0" borderId="43" xfId="60" applyNumberFormat="1" applyFont="1" applyBorder="1" applyAlignment="1">
      <alignment horizontal="center" vertical="center"/>
      <protection/>
    </xf>
    <xf numFmtId="0" fontId="61" fillId="0" borderId="77" xfId="0" applyFont="1" applyBorder="1" applyAlignment="1">
      <alignment horizontal="center" vertical="center"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0" fontId="3" fillId="38" borderId="0" xfId="0" applyFont="1" applyFill="1" applyAlignment="1" applyProtection="1">
      <alignment horizontal="center" wrapText="1"/>
      <protection locked="0"/>
    </xf>
    <xf numFmtId="175" fontId="26" fillId="0" borderId="60" xfId="60" applyNumberFormat="1" applyFont="1" applyBorder="1" applyAlignment="1" applyProtection="1">
      <alignment horizontal="left" vertical="center" wrapText="1"/>
      <protection locked="0"/>
    </xf>
    <xf numFmtId="166" fontId="0" fillId="0" borderId="92" xfId="60" applyNumberFormat="1" applyBorder="1" applyAlignment="1" applyProtection="1">
      <alignment horizontal="left" vertical="center" wrapText="1"/>
      <protection locked="0"/>
    </xf>
    <xf numFmtId="166" fontId="0" fillId="0" borderId="93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3" fillId="0" borderId="58" xfId="60" applyNumberFormat="1" applyFont="1" applyBorder="1" applyAlignment="1">
      <alignment horizontal="left" vertical="center" wrapText="1"/>
      <protection/>
    </xf>
    <xf numFmtId="166" fontId="3" fillId="0" borderId="55" xfId="60" applyNumberFormat="1" applyFont="1" applyBorder="1" applyAlignment="1">
      <alignment horizontal="left" vertical="center" wrapText="1"/>
      <protection/>
    </xf>
    <xf numFmtId="166" fontId="3" fillId="0" borderId="33" xfId="60" applyNumberFormat="1" applyFont="1" applyBorder="1" applyAlignment="1">
      <alignment horizontal="left" vertical="center" wrapText="1"/>
      <protection/>
    </xf>
    <xf numFmtId="2" fontId="3" fillId="38" borderId="0" xfId="0" applyNumberFormat="1" applyFont="1" applyFill="1" applyAlignment="1" applyProtection="1">
      <alignment horizont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0" xfId="60" applyNumberFormat="1" applyFont="1" applyBorder="1" applyAlignment="1">
      <alignment horizontal="right" vertical="center"/>
      <protection/>
    </xf>
    <xf numFmtId="166" fontId="3" fillId="0" borderId="58" xfId="60" applyNumberFormat="1" applyFont="1" applyBorder="1" applyAlignment="1">
      <alignment horizontal="center" vertical="center" wrapText="1"/>
      <protection/>
    </xf>
    <xf numFmtId="166" fontId="3" fillId="0" borderId="55" xfId="60" applyNumberFormat="1" applyFont="1" applyBorder="1" applyAlignment="1">
      <alignment horizontal="center" vertical="center" wrapText="1"/>
      <protection/>
    </xf>
    <xf numFmtId="166" fontId="3" fillId="0" borderId="33" xfId="60" applyNumberFormat="1" applyFont="1" applyBorder="1" applyAlignment="1">
      <alignment horizontal="center" vertical="center" wrapText="1"/>
      <protection/>
    </xf>
    <xf numFmtId="166" fontId="0" fillId="0" borderId="78" xfId="60" applyNumberFormat="1" applyBorder="1" applyAlignment="1" applyProtection="1">
      <alignment horizontal="left" vertical="center" wrapText="1"/>
      <protection locked="0"/>
    </xf>
    <xf numFmtId="166" fontId="0" fillId="0" borderId="62" xfId="60" applyNumberFormat="1" applyBorder="1" applyAlignment="1" applyProtection="1">
      <alignment horizontal="left" vertical="center" wrapText="1"/>
      <protection locked="0"/>
    </xf>
    <xf numFmtId="166" fontId="0" fillId="0" borderId="47" xfId="60" applyNumberFormat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19" fillId="0" borderId="94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0" xfId="0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1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44" xfId="61" applyNumberFormat="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44" xfId="6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7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1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166" fontId="6" fillId="0" borderId="77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77" xfId="0" applyNumberFormat="1" applyFont="1" applyFill="1" applyBorder="1" applyAlignment="1" applyProtection="1">
      <alignment horizontal="center" vertical="center"/>
      <protection locked="0"/>
    </xf>
    <xf numFmtId="166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9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3" fillId="0" borderId="58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0" borderId="60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>
      <alignment horizontal="left" vertical="center" indent="2"/>
    </xf>
    <xf numFmtId="0" fontId="6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2" fillId="0" borderId="30" xfId="63" applyFont="1" applyFill="1" applyBorder="1" applyAlignment="1" applyProtection="1">
      <alignment horizontal="right"/>
      <protection locked="0"/>
    </xf>
    <xf numFmtId="0" fontId="32" fillId="0" borderId="1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33" fillId="0" borderId="24" xfId="63" applyFont="1" applyFill="1" applyBorder="1" applyAlignment="1" applyProtection="1">
      <alignment horizontal="center" vertical="center" wrapText="1"/>
      <protection locked="0"/>
    </xf>
    <xf numFmtId="0" fontId="33" fillId="0" borderId="16" xfId="63" applyFont="1" applyFill="1" applyBorder="1" applyAlignment="1" applyProtection="1">
      <alignment horizontal="center" vertical="center" wrapText="1"/>
      <protection locked="0"/>
    </xf>
    <xf numFmtId="0" fontId="33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2" fillId="0" borderId="38" xfId="63" applyFont="1" applyFill="1" applyBorder="1" applyAlignment="1" applyProtection="1">
      <alignment horizontal="center" wrapText="1"/>
      <protection locked="0"/>
    </xf>
    <xf numFmtId="0" fontId="32" fillId="0" borderId="14" xfId="63" applyFont="1" applyFill="1" applyBorder="1" applyAlignment="1" applyProtection="1">
      <alignment horizontal="center" wrapText="1"/>
      <protection locked="0"/>
    </xf>
    <xf numFmtId="0" fontId="28" fillId="0" borderId="0" xfId="63" applyFont="1" applyFill="1" applyAlignment="1" applyProtection="1">
      <alignment horizontal="right"/>
      <protection locked="0"/>
    </xf>
    <xf numFmtId="0" fontId="30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3" applyFont="1" applyFill="1" applyAlignment="1" applyProtection="1">
      <alignment horizontal="center" vertical="center" wrapText="1"/>
      <protection locked="0"/>
    </xf>
    <xf numFmtId="0" fontId="30" fillId="0" borderId="0" xfId="63" applyFont="1" applyFill="1" applyAlignment="1" applyProtection="1">
      <alignment horizontal="center" vertical="center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4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center" vertical="center"/>
      <protection/>
    </xf>
    <xf numFmtId="0" fontId="15" fillId="0" borderId="58" xfId="63" applyFont="1" applyFill="1" applyBorder="1" applyAlignment="1">
      <alignment horizontal="left"/>
      <protection/>
    </xf>
    <xf numFmtId="0" fontId="15" fillId="0" borderId="32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28" fillId="0" borderId="0" xfId="63" applyFont="1" applyFill="1" applyAlignment="1">
      <alignment horizontal="right"/>
      <protection/>
    </xf>
    <xf numFmtId="0" fontId="30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="120" zoomScaleNormal="120" zoomScalePageLayoutView="0" workbookViewId="0" topLeftCell="A16">
      <selection activeCell="A27" sqref="A27:C33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684">
        <v>2019</v>
      </c>
    </row>
    <row r="2" spans="1:3" ht="18.75">
      <c r="A2" s="850" t="s">
        <v>940</v>
      </c>
      <c r="B2" s="850"/>
      <c r="C2" s="850"/>
    </row>
    <row r="3" spans="1:3" ht="15">
      <c r="A3" s="621"/>
      <c r="B3" s="622"/>
      <c r="C3" s="621"/>
    </row>
    <row r="4" spans="1:3" ht="14.25">
      <c r="A4" s="623" t="s">
        <v>941</v>
      </c>
      <c r="B4" s="624" t="s">
        <v>942</v>
      </c>
      <c r="C4" s="623" t="s">
        <v>943</v>
      </c>
    </row>
    <row r="5" spans="1:3" ht="12.75">
      <c r="A5" s="625"/>
      <c r="B5" s="625"/>
      <c r="C5" s="625"/>
    </row>
    <row r="6" spans="1:3" ht="18.75">
      <c r="A6" s="851" t="s">
        <v>968</v>
      </c>
      <c r="B6" s="851"/>
      <c r="C6" s="851"/>
    </row>
    <row r="7" spans="1:3" ht="12.75">
      <c r="A7" s="625" t="s">
        <v>944</v>
      </c>
      <c r="B7" s="625" t="s">
        <v>945</v>
      </c>
      <c r="C7" s="62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25" t="s">
        <v>946</v>
      </c>
      <c r="B8" s="625" t="s">
        <v>977</v>
      </c>
      <c r="C8" s="62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25" t="s">
        <v>947</v>
      </c>
      <c r="B9" s="625" t="str">
        <f>CONCATENATE(LOWER('Z_1.1.sz.mell.'!A3))</f>
        <v>2019. évi zárszámadásának pénzügyi mérlege</v>
      </c>
      <c r="C9" s="62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25" t="s">
        <v>948</v>
      </c>
      <c r="B10" s="625" t="str">
        <f>'Z_1.2.sz.mell.'!A3</f>
        <v>2019. ÉVI ZÁRSZÁMADÁS</v>
      </c>
      <c r="C10" s="62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25" t="s">
        <v>949</v>
      </c>
      <c r="B11" s="625" t="str">
        <f>'Z_1.3.sz.mell.'!A3</f>
        <v>2019. ÉVI ZÁRSZÁMADÁS</v>
      </c>
      <c r="C11" s="62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25" t="s">
        <v>950</v>
      </c>
      <c r="B12" s="625" t="str">
        <f>'Z_1.4.sz.mell.'!A3</f>
        <v>2019. ÉVI ZÁRSZÁMADÁS</v>
      </c>
      <c r="C12" s="62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625" t="s">
        <v>677</v>
      </c>
      <c r="B13" s="625" t="s">
        <v>951</v>
      </c>
      <c r="C13" s="62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25" t="s">
        <v>604</v>
      </c>
      <c r="B14" s="625" t="s">
        <v>952</v>
      </c>
      <c r="C14" s="62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25" t="s">
        <v>953</v>
      </c>
      <c r="B15" s="625" t="s">
        <v>954</v>
      </c>
      <c r="C15" s="62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25" t="s">
        <v>955</v>
      </c>
      <c r="B16" s="625" t="s">
        <v>956</v>
      </c>
      <c r="C16" s="62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25" t="s">
        <v>957</v>
      </c>
      <c r="B17" s="625" t="s">
        <v>958</v>
      </c>
      <c r="C17" s="62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25" t="s">
        <v>959</v>
      </c>
      <c r="B18" s="625" t="str">
        <f>'Z_5.sz.mell.'!A9</f>
        <v>Európai uniós támogatással megvalósuló projektek</v>
      </c>
      <c r="C18" s="62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625" t="s">
        <v>685</v>
      </c>
      <c r="B19" s="625" t="s">
        <v>960</v>
      </c>
      <c r="C19" s="62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25" t="s">
        <v>631</v>
      </c>
      <c r="B20" s="625" t="s">
        <v>961</v>
      </c>
      <c r="C20" s="62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25" t="s">
        <v>632</v>
      </c>
      <c r="B21" s="625" t="s">
        <v>503</v>
      </c>
      <c r="C21" s="62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25" t="s">
        <v>962</v>
      </c>
      <c r="B22" s="625" t="s">
        <v>963</v>
      </c>
      <c r="C22" s="62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625" t="s">
        <v>964</v>
      </c>
      <c r="B23" s="625" t="str">
        <f>Z_ALAPADATOK!A11</f>
        <v>Eleki Közös Önkormányzati Hivatal</v>
      </c>
      <c r="C23" s="62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25" t="s">
        <v>965</v>
      </c>
      <c r="B24" t="str">
        <f>Z_ALAPADATOK!B13</f>
        <v>Elek Város Óvoda-Bölcsőde</v>
      </c>
      <c r="C24" s="62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625" t="s">
        <v>966</v>
      </c>
      <c r="B25" t="str">
        <f>Z_ALAPADATOK!B15</f>
        <v>Reibel Mihály Városi Művelődési Központ és Könyvtár</v>
      </c>
      <c r="C25" s="626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625" t="s">
        <v>967</v>
      </c>
      <c r="B26" t="str">
        <f>Z_ALAPADATOK!B17</f>
        <v>Naplemente Idősek Otthona</v>
      </c>
      <c r="C26" s="626" t="str">
        <f ca="1">HYPERLINK(SUBSTITUTE(CELL("address",'Z_6.5.sz.mell'!A1),"'",""),SUBSTITUTE(MID(CELL("address",'Z_6.5.sz.mell'!A1),SEARCH("]",CELL("address",'Z_6.5.sz.mell'!A1),1)+1,LEN(CELL("address",'Z_6.5.sz.mell'!A1))-SEARCH("]",CELL("address",'Z_6.5.sz.mell'!A1),1)),"'",""))</f>
        <v>Z_6.5.sz.mell!$A$1</v>
      </c>
    </row>
    <row r="27" spans="1:3" ht="12.75">
      <c r="A27" s="625" t="s">
        <v>4</v>
      </c>
      <c r="B27" t="str">
        <f>PROPER('Z_7.sz.mell'!A3)</f>
        <v>Költségvetési Szervek Maradványának Alakulása</v>
      </c>
      <c r="C27" s="62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28" spans="1:3" ht="12.75">
      <c r="A28" s="625" t="s">
        <v>5</v>
      </c>
      <c r="B28" t="str">
        <f>'Z_8.sz.mell'!B1</f>
        <v>2019. évi általános működés és ágazati feladatok támogatásának alakulása jogcímenként</v>
      </c>
      <c r="C28" s="62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29" spans="1:3" ht="12.75">
      <c r="A29" s="625" t="s">
        <v>923</v>
      </c>
      <c r="B29" t="str">
        <f>CONCATENATE(PROPER('Z_1.tájékoztató_t.'!A2)," ",LOWER('Z_1.tájékoztató_t.'!A3))</f>
        <v>Elek Város Önkormányzata 2019. évi zárszámadásának pénzügyi mérlege</v>
      </c>
      <c r="C29" s="626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0" spans="1:3" ht="12.75">
      <c r="A30" s="625" t="s">
        <v>924</v>
      </c>
      <c r="B30" t="str">
        <f>'Z_2.tájékoztató_t.'!A1</f>
        <v>Többéves kihatással járó döntésekből származó kötelezettségek célok szerinti, évenkénti bontásban</v>
      </c>
      <c r="C30" s="626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1" spans="1:3" ht="12.75">
      <c r="A31" s="625" t="s">
        <v>925</v>
      </c>
      <c r="B31" t="str">
        <f>'Z_3.tájékoztató_t.'!A1</f>
        <v>Az önkormányzat által nyújtott hitel és kölcsön alakulása lejárat és eszközök szerinti bontásban</v>
      </c>
      <c r="C31" s="626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2" spans="1:3" ht="12.75">
      <c r="A32" s="625" t="s">
        <v>926</v>
      </c>
      <c r="B32" t="str">
        <f>'Z_4.tájékoztató_t.'!A1</f>
        <v>Adósság állomány alakulása lejárat, eszközök, bel- és külföldi hitelezők szerinti bontásban
2019. december 31-én</v>
      </c>
      <c r="C32" s="626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33" spans="1:3" ht="12.75">
      <c r="A33" s="625" t="s">
        <v>927</v>
      </c>
      <c r="B33" t="str">
        <f>'Z_5.tájékoztató_t.'!A3</f>
        <v>Az önkormányzat által adott közvetett támogatások</v>
      </c>
      <c r="C33" s="626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34" spans="1:3" ht="12.75">
      <c r="A34" s="625" t="s">
        <v>931</v>
      </c>
      <c r="B34" t="str">
        <f>CONCATENATE(PROPER('Z_6.tájékoztató_t.'!A3)," ",LOWER('Z_6.tájékoztató_t.'!A4))</f>
        <v>K I M U T A T Á S a 2019. évi céljelleggel juttatott támogatások felhasználásáról</v>
      </c>
      <c r="C34" s="626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35" spans="1:3" ht="12.75">
      <c r="A35" s="625" t="s">
        <v>932</v>
      </c>
      <c r="B35" t="str">
        <f>CONCATENATE(PROPER('Z_7.1.tájékoztató_t.'!A2)," ",'Z_7.1.tájékoztató_t.'!A3)</f>
        <v>Vagyonkimutatás a könyvviteli mérlegben értékkel szerplő eszközökről</v>
      </c>
      <c r="C35" s="626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36" spans="1:3" ht="12.75">
      <c r="A36" s="625" t="s">
        <v>935</v>
      </c>
      <c r="B36" t="str">
        <f>CONCATENATE(PROPER('Z_7.2.tájékoztató_t.'!A3)," ",'Z_7.2.tájékoztató_t.'!A4)</f>
        <v>Vagyonkimutatás a könyvviteli mérlegben értékkel szereplő forrásokról</v>
      </c>
      <c r="C36" s="626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37" spans="1:3" ht="12.75">
      <c r="A37" s="625" t="s">
        <v>936</v>
      </c>
      <c r="B37" t="str">
        <f>CONCATENATE(PROPER('Z_7.3.tájékoztató_t.'!A3)," ",'Z_7.3.tájékoztató_t.'!A4)</f>
        <v>Vagyonkimutatás az érték nélkül nyilvántartott eszkzözkről</v>
      </c>
      <c r="C37" s="626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38" spans="1:3" ht="12.75">
      <c r="A38" s="625" t="s">
        <v>938</v>
      </c>
      <c r="B38" t="str">
        <f>CONCATENATE('Z_8.tájékoztató_t.'!A2,'Z_8.tájékoztató_t.'!A3)</f>
        <v>Elek Város Önkormányzata tulajdonában álló gazdálkodó szervezetek működéséből származókötelezettségek és részesedések alakulása 2019. évben</v>
      </c>
      <c r="C38" s="626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39" spans="1:3" ht="12.75">
      <c r="A39" s="625" t="s">
        <v>939</v>
      </c>
      <c r="B39" t="s">
        <v>969</v>
      </c>
      <c r="C39" s="626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9" t="s">
        <v>681</v>
      </c>
      <c r="B1" s="77"/>
      <c r="C1" s="77"/>
      <c r="D1" s="77"/>
      <c r="E1" s="270" t="s">
        <v>283</v>
      </c>
    </row>
    <row r="2" spans="1:5" ht="12.75">
      <c r="A2" s="77"/>
      <c r="B2" s="77"/>
      <c r="C2" s="77"/>
      <c r="D2" s="77"/>
      <c r="E2" s="77"/>
    </row>
    <row r="3" spans="1:5" ht="12.75">
      <c r="A3" s="271"/>
      <c r="B3" s="272"/>
      <c r="C3" s="271"/>
      <c r="D3" s="273"/>
      <c r="E3" s="272"/>
    </row>
    <row r="4" spans="1:5" ht="15.75">
      <c r="A4" s="79" t="str">
        <f>+Z_ÖSSZEFÜGGÉSEK!A6</f>
        <v>2019. évi eredeti előirányzat BEVÉTELEK</v>
      </c>
      <c r="B4" s="274"/>
      <c r="C4" s="275"/>
      <c r="D4" s="273"/>
      <c r="E4" s="272"/>
    </row>
    <row r="5" spans="1:5" ht="12.75">
      <c r="A5" s="271"/>
      <c r="B5" s="272"/>
      <c r="C5" s="271"/>
      <c r="D5" s="273"/>
      <c r="E5" s="272"/>
    </row>
    <row r="6" spans="1:5" ht="12.75">
      <c r="A6" s="271" t="s">
        <v>636</v>
      </c>
      <c r="B6" s="272">
        <f>+'Z_1.1.sz.mell.'!C68</f>
        <v>619061781</v>
      </c>
      <c r="C6" s="271" t="s">
        <v>605</v>
      </c>
      <c r="D6" s="273">
        <f>+'Z_2.1.sz.mell'!C18+'Z_2.2.sz.mell'!C17</f>
        <v>619061781</v>
      </c>
      <c r="E6" s="272">
        <f>+B6-D6</f>
        <v>0</v>
      </c>
    </row>
    <row r="7" spans="1:5" ht="12.75">
      <c r="A7" s="271" t="s">
        <v>652</v>
      </c>
      <c r="B7" s="272">
        <f>+'Z_1.1.sz.mell.'!C92</f>
        <v>253118762</v>
      </c>
      <c r="C7" s="271" t="s">
        <v>611</v>
      </c>
      <c r="D7" s="273">
        <f>+'Z_2.1.sz.mell'!C29+'Z_2.2.sz.mell'!C30</f>
        <v>253118762</v>
      </c>
      <c r="E7" s="272">
        <f>+B7-D7</f>
        <v>0</v>
      </c>
    </row>
    <row r="8" spans="1:5" ht="12.75">
      <c r="A8" s="271" t="s">
        <v>653</v>
      </c>
      <c r="B8" s="272">
        <f>+'Z_1.1.sz.mell.'!C93</f>
        <v>872180543</v>
      </c>
      <c r="C8" s="271" t="s">
        <v>612</v>
      </c>
      <c r="D8" s="273">
        <f>+'Z_2.1.sz.mell'!C30+'Z_2.2.sz.mell'!C31</f>
        <v>872180543</v>
      </c>
      <c r="E8" s="272">
        <f>+B8-D8</f>
        <v>0</v>
      </c>
    </row>
    <row r="9" spans="1:5" ht="12.75">
      <c r="A9" s="271"/>
      <c r="B9" s="272"/>
      <c r="C9" s="271"/>
      <c r="D9" s="273"/>
      <c r="E9" s="272"/>
    </row>
    <row r="10" spans="1:5" ht="15.75">
      <c r="A10" s="79" t="str">
        <f>+Z_ÖSSZEFÜGGÉSEK!A13</f>
        <v>2019. évi módosított előirányzat BEVÉTELEK</v>
      </c>
      <c r="B10" s="274"/>
      <c r="C10" s="275"/>
      <c r="D10" s="273"/>
      <c r="E10" s="272"/>
    </row>
    <row r="11" spans="1:5" ht="12.75">
      <c r="A11" s="271"/>
      <c r="B11" s="272"/>
      <c r="C11" s="271"/>
      <c r="D11" s="273"/>
      <c r="E11" s="272"/>
    </row>
    <row r="12" spans="1:5" ht="12.75">
      <c r="A12" s="271" t="s">
        <v>637</v>
      </c>
      <c r="B12" s="272">
        <f>+'Z_1.1.sz.mell.'!D68</f>
        <v>956011624</v>
      </c>
      <c r="C12" s="271" t="s">
        <v>606</v>
      </c>
      <c r="D12" s="273">
        <f>+'Z_2.1.sz.mell'!D18+'Z_2.2.sz.mell'!D17</f>
        <v>956011624</v>
      </c>
      <c r="E12" s="272">
        <f>+B12-D12</f>
        <v>0</v>
      </c>
    </row>
    <row r="13" spans="1:5" ht="12.75">
      <c r="A13" s="271" t="s">
        <v>638</v>
      </c>
      <c r="B13" s="272">
        <f>+'Z_1.1.sz.mell.'!D92</f>
        <v>446607927</v>
      </c>
      <c r="C13" s="271" t="s">
        <v>613</v>
      </c>
      <c r="D13" s="273">
        <f>+'Z_2.1.sz.mell'!D29+'Z_2.2.sz.mell'!D30</f>
        <v>446607927</v>
      </c>
      <c r="E13" s="272">
        <f>+B13-D13</f>
        <v>0</v>
      </c>
    </row>
    <row r="14" spans="1:5" ht="12.75">
      <c r="A14" s="271" t="s">
        <v>639</v>
      </c>
      <c r="B14" s="272">
        <f>+'Z_1.1.sz.mell.'!D93</f>
        <v>1402619551</v>
      </c>
      <c r="C14" s="271" t="s">
        <v>614</v>
      </c>
      <c r="D14" s="273">
        <f>+'Z_2.1.sz.mell'!D30+'Z_2.2.sz.mell'!D31</f>
        <v>1402619551</v>
      </c>
      <c r="E14" s="272">
        <f>+B14-D14</f>
        <v>0</v>
      </c>
    </row>
    <row r="15" spans="1:5" ht="12.75">
      <c r="A15" s="271"/>
      <c r="B15" s="272"/>
      <c r="C15" s="271"/>
      <c r="D15" s="273"/>
      <c r="E15" s="272"/>
    </row>
    <row r="16" spans="1:5" ht="14.25">
      <c r="A16" s="276" t="str">
        <f>+Z_ÖSSZEFÜGGÉSEK!A19</f>
        <v>2019.évi teljesített BEVÉTELEK</v>
      </c>
      <c r="B16" s="78"/>
      <c r="C16" s="275"/>
      <c r="D16" s="273"/>
      <c r="E16" s="272"/>
    </row>
    <row r="17" spans="1:5" ht="12.75">
      <c r="A17" s="271"/>
      <c r="B17" s="272"/>
      <c r="C17" s="271"/>
      <c r="D17" s="273"/>
      <c r="E17" s="272"/>
    </row>
    <row r="18" spans="1:5" ht="12.75">
      <c r="A18" s="271" t="s">
        <v>640</v>
      </c>
      <c r="B18" s="272">
        <f>+'Z_1.1.sz.mell.'!E68</f>
        <v>956011626</v>
      </c>
      <c r="C18" s="271" t="s">
        <v>607</v>
      </c>
      <c r="D18" s="273">
        <f>+'Z_2.1.sz.mell'!E18+'Z_2.2.sz.mell'!E17</f>
        <v>956011626</v>
      </c>
      <c r="E18" s="272">
        <f>+B18-D18</f>
        <v>0</v>
      </c>
    </row>
    <row r="19" spans="1:5" ht="12.75">
      <c r="A19" s="271" t="s">
        <v>641</v>
      </c>
      <c r="B19" s="272">
        <f>+'Z_1.1.sz.mell.'!E92</f>
        <v>446607927</v>
      </c>
      <c r="C19" s="271" t="s">
        <v>615</v>
      </c>
      <c r="D19" s="273">
        <f>+'Z_2.1.sz.mell'!E29+'Z_2.2.sz.mell'!E30</f>
        <v>446607927</v>
      </c>
      <c r="E19" s="272">
        <f>+B19-D19</f>
        <v>0</v>
      </c>
    </row>
    <row r="20" spans="1:5" ht="12.75">
      <c r="A20" s="271" t="s">
        <v>642</v>
      </c>
      <c r="B20" s="272">
        <f>+'Z_1.1.sz.mell.'!E93</f>
        <v>1402619553</v>
      </c>
      <c r="C20" s="271" t="s">
        <v>616</v>
      </c>
      <c r="D20" s="273">
        <f>+'Z_2.1.sz.mell'!E30+'Z_2.2.sz.mell'!E31</f>
        <v>1402619553</v>
      </c>
      <c r="E20" s="272">
        <f>+B20-D20</f>
        <v>0</v>
      </c>
    </row>
    <row r="21" spans="1:5" ht="12.75">
      <c r="A21" s="271"/>
      <c r="B21" s="272"/>
      <c r="C21" s="271"/>
      <c r="D21" s="273"/>
      <c r="E21" s="272"/>
    </row>
    <row r="22" spans="1:5" ht="15.75">
      <c r="A22" s="79" t="str">
        <f>+Z_ÖSSZEFÜGGÉSEK!A25</f>
        <v>2019. évi eredeti előirányzat KIADÁSOK</v>
      </c>
      <c r="B22" s="274"/>
      <c r="C22" s="275"/>
      <c r="D22" s="273"/>
      <c r="E22" s="272"/>
    </row>
    <row r="23" spans="1:5" ht="12.75">
      <c r="A23" s="271"/>
      <c r="B23" s="272"/>
      <c r="C23" s="271"/>
      <c r="D23" s="273"/>
      <c r="E23" s="272"/>
    </row>
    <row r="24" spans="1:5" ht="12.75">
      <c r="A24" s="271" t="s">
        <v>654</v>
      </c>
      <c r="B24" s="272">
        <f>+'Z_1.1.sz.mell.'!C135</f>
        <v>856790512</v>
      </c>
      <c r="C24" s="271" t="s">
        <v>608</v>
      </c>
      <c r="D24" s="273">
        <f>+'Z_2.1.sz.mell'!G18+'Z_2.2.sz.mell'!G17</f>
        <v>856790512</v>
      </c>
      <c r="E24" s="272">
        <f>+B24-D24</f>
        <v>0</v>
      </c>
    </row>
    <row r="25" spans="1:5" ht="12.75">
      <c r="A25" s="271" t="s">
        <v>644</v>
      </c>
      <c r="B25" s="272">
        <f>+'Z_1.1.sz.mell.'!C160</f>
        <v>15390031</v>
      </c>
      <c r="C25" s="271" t="s">
        <v>617</v>
      </c>
      <c r="D25" s="273">
        <f>+'Z_2.1.sz.mell'!G29+'Z_2.2.sz.mell'!G30</f>
        <v>15390031</v>
      </c>
      <c r="E25" s="272">
        <f>+B25-D25</f>
        <v>0</v>
      </c>
    </row>
    <row r="26" spans="1:5" ht="12.75">
      <c r="A26" s="271" t="s">
        <v>645</v>
      </c>
      <c r="B26" s="272">
        <f>+'Z_1.1.sz.mell.'!C161</f>
        <v>872180543</v>
      </c>
      <c r="C26" s="271" t="s">
        <v>618</v>
      </c>
      <c r="D26" s="273">
        <f>+'Z_2.1.sz.mell'!G30+'Z_2.2.sz.mell'!G31</f>
        <v>872180543</v>
      </c>
      <c r="E26" s="272">
        <f>+B26-D26</f>
        <v>0</v>
      </c>
    </row>
    <row r="27" spans="1:5" ht="12.75">
      <c r="A27" s="271"/>
      <c r="B27" s="272"/>
      <c r="C27" s="271"/>
      <c r="D27" s="273"/>
      <c r="E27" s="272"/>
    </row>
    <row r="28" spans="1:5" ht="15.75">
      <c r="A28" s="79" t="str">
        <f>+Z_ÖSSZEFÜGGÉSEK!A31</f>
        <v>2019. évi módosított előirányzat KIADÁSOK</v>
      </c>
      <c r="B28" s="274"/>
      <c r="C28" s="275"/>
      <c r="D28" s="273"/>
      <c r="E28" s="272"/>
    </row>
    <row r="29" spans="1:5" ht="12.75">
      <c r="A29" s="271"/>
      <c r="B29" s="272"/>
      <c r="C29" s="271"/>
      <c r="D29" s="273"/>
      <c r="E29" s="272"/>
    </row>
    <row r="30" spans="1:5" ht="12.75">
      <c r="A30" s="271" t="s">
        <v>646</v>
      </c>
      <c r="B30" s="272">
        <f>+'Z_1.1.sz.mell.'!D135</f>
        <v>1387229520</v>
      </c>
      <c r="C30" s="271" t="s">
        <v>609</v>
      </c>
      <c r="D30" s="273">
        <f>+'Z_2.1.sz.mell'!H18+'Z_2.2.sz.mell'!H17</f>
        <v>1387229520</v>
      </c>
      <c r="E30" s="272">
        <f>+B30-D30</f>
        <v>0</v>
      </c>
    </row>
    <row r="31" spans="1:5" ht="12.75">
      <c r="A31" s="271" t="s">
        <v>647</v>
      </c>
      <c r="B31" s="272">
        <f>+'Z_1.1.sz.mell.'!D160</f>
        <v>15390031</v>
      </c>
      <c r="C31" s="271" t="s">
        <v>619</v>
      </c>
      <c r="D31" s="273">
        <f>+'Z_2.1.sz.mell'!H29+'Z_2.2.sz.mell'!H30</f>
        <v>15390031</v>
      </c>
      <c r="E31" s="272">
        <f>+B31-D31</f>
        <v>0</v>
      </c>
    </row>
    <row r="32" spans="1:5" ht="12.75">
      <c r="A32" s="271" t="s">
        <v>648</v>
      </c>
      <c r="B32" s="272">
        <f>+'Z_1.1.sz.mell.'!D161</f>
        <v>1402619551</v>
      </c>
      <c r="C32" s="271" t="s">
        <v>620</v>
      </c>
      <c r="D32" s="273">
        <f>+'Z_2.1.sz.mell'!H30+'Z_2.2.sz.mell'!H31</f>
        <v>1402619551</v>
      </c>
      <c r="E32" s="272">
        <f>+B32-D32</f>
        <v>0</v>
      </c>
    </row>
    <row r="33" spans="1:5" ht="12.75">
      <c r="A33" s="271"/>
      <c r="B33" s="272"/>
      <c r="C33" s="271"/>
      <c r="D33" s="273"/>
      <c r="E33" s="272"/>
    </row>
    <row r="34" spans="1:5" ht="15.75">
      <c r="A34" s="277" t="str">
        <f>+Z_ÖSSZEFÜGGÉSEK!A37</f>
        <v>2019.évi teljesített KIADÁSOK</v>
      </c>
      <c r="B34" s="274"/>
      <c r="C34" s="275"/>
      <c r="D34" s="273"/>
      <c r="E34" s="272"/>
    </row>
    <row r="35" spans="1:5" ht="12.75">
      <c r="A35" s="271"/>
      <c r="B35" s="272"/>
      <c r="C35" s="271"/>
      <c r="D35" s="273"/>
      <c r="E35" s="272"/>
    </row>
    <row r="36" spans="1:5" ht="12.75">
      <c r="A36" s="271" t="s">
        <v>649</v>
      </c>
      <c r="B36" s="272">
        <f>+'Z_1.1.sz.mell.'!E135</f>
        <v>1131760674</v>
      </c>
      <c r="C36" s="271" t="s">
        <v>610</v>
      </c>
      <c r="D36" s="273">
        <f>+'Z_2.1.sz.mell'!I18+'Z_2.2.sz.mell'!I17</f>
        <v>1131760674</v>
      </c>
      <c r="E36" s="272">
        <f>+B36-D36</f>
        <v>0</v>
      </c>
    </row>
    <row r="37" spans="1:5" ht="12.75">
      <c r="A37" s="271" t="s">
        <v>650</v>
      </c>
      <c r="B37" s="272">
        <f>+'Z_1.1.sz.mell.'!E160</f>
        <v>15390031</v>
      </c>
      <c r="C37" s="271" t="s">
        <v>621</v>
      </c>
      <c r="D37" s="273">
        <f>+'Z_2.1.sz.mell'!I29+'Z_2.2.sz.mell'!I30</f>
        <v>15390031</v>
      </c>
      <c r="E37" s="272">
        <f>+B37-D37</f>
        <v>0</v>
      </c>
    </row>
    <row r="38" spans="1:5" ht="12.75">
      <c r="A38" s="271" t="s">
        <v>655</v>
      </c>
      <c r="B38" s="272">
        <f>+'Z_1.1.sz.mell.'!E161</f>
        <v>1147150705</v>
      </c>
      <c r="C38" s="271" t="s">
        <v>622</v>
      </c>
      <c r="D38" s="273">
        <f>+'Z_2.1.sz.mell'!I30+'Z_2.2.sz.mell'!I31</f>
        <v>1147150705</v>
      </c>
      <c r="E38" s="272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120" zoomScaleNormal="120" workbookViewId="0" topLeftCell="A13">
      <selection activeCell="G30" sqref="G3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3"/>
      <c r="B1" s="883" t="str">
        <f>CONCATENATE("3. melléklet ",Z_ALAPADATOK!A7," ",Z_ALAPADATOK!B7," ",Z_ALAPADATOK!C7," ",Z_ALAPADATOK!D7," ",Z_ALAPADATOK!E7," ",Z_ALAPADATOK!F7," ",Z_ALAPADATOK!G7," ",Z_ALAPADATOK!H7)</f>
        <v>3. melléklet a … / 2020. ( … ) önkormányzati rendelethez</v>
      </c>
      <c r="C1" s="884"/>
      <c r="D1" s="884"/>
      <c r="E1" s="884"/>
      <c r="F1" s="884"/>
      <c r="G1" s="884"/>
    </row>
    <row r="2" spans="1:7" ht="12.75">
      <c r="A2" s="333"/>
      <c r="B2" s="334"/>
      <c r="C2" s="334"/>
      <c r="D2" s="334"/>
      <c r="E2" s="334"/>
      <c r="F2" s="334"/>
      <c r="G2" s="334"/>
    </row>
    <row r="3" spans="1:7" ht="25.5" customHeight="1">
      <c r="A3" s="882" t="s">
        <v>682</v>
      </c>
      <c r="B3" s="882"/>
      <c r="C3" s="882"/>
      <c r="D3" s="882"/>
      <c r="E3" s="882"/>
      <c r="F3" s="882"/>
      <c r="G3" s="882"/>
    </row>
    <row r="4" spans="1:7" ht="22.5" customHeight="1" thickBot="1">
      <c r="A4" s="333"/>
      <c r="B4" s="334"/>
      <c r="C4" s="334"/>
      <c r="D4" s="334"/>
      <c r="E4" s="334"/>
      <c r="F4" s="334"/>
      <c r="G4" s="335" t="str">
        <f>'Z_2.2.sz.mell'!I2</f>
        <v> Forintban!</v>
      </c>
    </row>
    <row r="5" spans="1:7" s="29" customFormat="1" ht="44.25" customHeight="1" thickBot="1">
      <c r="A5" s="336" t="s">
        <v>227</v>
      </c>
      <c r="B5" s="306" t="s">
        <v>228</v>
      </c>
      <c r="C5" s="306" t="s">
        <v>229</v>
      </c>
      <c r="D5" s="306" t="str">
        <f>+CONCATENATE("Felhasználás   ",LEFT(Z_ÖSSZEFÜGGÉSEK!A6,4)-1,". XII. 31-ig")</f>
        <v>Felhasználás   2018. XII. 31-ig</v>
      </c>
      <c r="E5" s="306" t="str">
        <f>+CONCATENATE(LEFT(Z_ÖSSZEFÜGGÉSEK!A6,4),". évi",CHAR(10),"módosított előirányzat")</f>
        <v>2019. évi
módosított előirányzat</v>
      </c>
      <c r="F5" s="306" t="str">
        <f>+CONCATENATE("Teljesítés",CHAR(10),LEFT(Z_ÖSSZEFÜGGÉSEK!A6,4),". I. 1-től XII.31-ig")</f>
        <v>Teljesítés
2019. I. 1-től XII.31-ig</v>
      </c>
      <c r="G5" s="307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37" t="s">
        <v>565</v>
      </c>
      <c r="B6" s="338" t="s">
        <v>566</v>
      </c>
      <c r="C6" s="338" t="s">
        <v>567</v>
      </c>
      <c r="D6" s="338" t="s">
        <v>569</v>
      </c>
      <c r="E6" s="338" t="s">
        <v>568</v>
      </c>
      <c r="F6" s="338" t="s">
        <v>570</v>
      </c>
      <c r="G6" s="339" t="s">
        <v>623</v>
      </c>
    </row>
    <row r="7" spans="1:7" ht="15.75" customHeight="1">
      <c r="A7" s="724" t="s">
        <v>45</v>
      </c>
      <c r="B7" s="725">
        <v>0</v>
      </c>
      <c r="C7" s="726"/>
      <c r="D7" s="21"/>
      <c r="E7" s="21"/>
      <c r="F7" s="21"/>
      <c r="G7" s="34">
        <f>D7+F7</f>
        <v>0</v>
      </c>
    </row>
    <row r="8" spans="1:7" ht="15.75" customHeight="1">
      <c r="A8" s="724" t="s">
        <v>47</v>
      </c>
      <c r="B8" s="725">
        <v>10318115</v>
      </c>
      <c r="C8" s="726" t="s">
        <v>46</v>
      </c>
      <c r="D8" s="21"/>
      <c r="E8" s="21">
        <v>10318115</v>
      </c>
      <c r="F8" s="21">
        <v>10318115</v>
      </c>
      <c r="G8" s="34">
        <f aca="true" t="shared" si="0" ref="G8:G29">D8+F8</f>
        <v>10318115</v>
      </c>
    </row>
    <row r="9" spans="1:7" ht="15.75" customHeight="1">
      <c r="A9" s="724" t="s">
        <v>48</v>
      </c>
      <c r="B9" s="725">
        <v>5989875</v>
      </c>
      <c r="C9" s="726" t="s">
        <v>46</v>
      </c>
      <c r="D9" s="21"/>
      <c r="E9" s="21">
        <v>5989875</v>
      </c>
      <c r="F9" s="21">
        <v>5989875</v>
      </c>
      <c r="G9" s="34">
        <f t="shared" si="0"/>
        <v>5989875</v>
      </c>
    </row>
    <row r="10" spans="1:7" ht="15.75" customHeight="1">
      <c r="A10" s="727" t="s">
        <v>49</v>
      </c>
      <c r="B10" s="725">
        <v>1969580</v>
      </c>
      <c r="C10" s="726" t="s">
        <v>46</v>
      </c>
      <c r="D10" s="21"/>
      <c r="E10" s="21">
        <v>1969580</v>
      </c>
      <c r="F10" s="21">
        <v>1969580</v>
      </c>
      <c r="G10" s="34">
        <f t="shared" si="0"/>
        <v>1969580</v>
      </c>
    </row>
    <row r="11" spans="1:7" ht="15.75" customHeight="1">
      <c r="A11" s="724" t="s">
        <v>50</v>
      </c>
      <c r="B11" s="725">
        <v>104150</v>
      </c>
      <c r="C11" s="726" t="s">
        <v>46</v>
      </c>
      <c r="D11" s="21"/>
      <c r="E11" s="21">
        <v>104150</v>
      </c>
      <c r="F11" s="21">
        <v>104150</v>
      </c>
      <c r="G11" s="34">
        <f t="shared" si="0"/>
        <v>104150</v>
      </c>
    </row>
    <row r="12" spans="1:7" ht="15.75" customHeight="1">
      <c r="A12" s="727" t="s">
        <v>51</v>
      </c>
      <c r="B12" s="725">
        <v>19027934</v>
      </c>
      <c r="C12" s="726" t="s">
        <v>46</v>
      </c>
      <c r="D12" s="21"/>
      <c r="E12" s="21">
        <v>19027934</v>
      </c>
      <c r="F12" s="21">
        <v>19027934</v>
      </c>
      <c r="G12" s="34">
        <f t="shared" si="0"/>
        <v>19027934</v>
      </c>
    </row>
    <row r="13" spans="1:7" ht="15.75" customHeight="1">
      <c r="A13" s="724" t="s">
        <v>52</v>
      </c>
      <c r="B13" s="725">
        <v>740448</v>
      </c>
      <c r="C13" s="726" t="s">
        <v>46</v>
      </c>
      <c r="D13" s="21"/>
      <c r="E13" s="21">
        <v>740448</v>
      </c>
      <c r="F13" s="21">
        <v>740448</v>
      </c>
      <c r="G13" s="34">
        <f t="shared" si="0"/>
        <v>740448</v>
      </c>
    </row>
    <row r="14" spans="1:7" ht="15.75" customHeight="1">
      <c r="A14" s="724" t="s">
        <v>53</v>
      </c>
      <c r="B14" s="725">
        <v>350000</v>
      </c>
      <c r="C14" s="726" t="s">
        <v>46</v>
      </c>
      <c r="D14" s="21"/>
      <c r="E14" s="21">
        <v>350000</v>
      </c>
      <c r="F14" s="21">
        <v>350000</v>
      </c>
      <c r="G14" s="34">
        <f t="shared" si="0"/>
        <v>350000</v>
      </c>
    </row>
    <row r="15" spans="1:7" ht="15.75" customHeight="1">
      <c r="A15" s="724" t="s">
        <v>54</v>
      </c>
      <c r="B15" s="725">
        <v>450000</v>
      </c>
      <c r="C15" s="726" t="s">
        <v>46</v>
      </c>
      <c r="D15" s="21"/>
      <c r="E15" s="21">
        <v>450000</v>
      </c>
      <c r="F15" s="21">
        <v>450000</v>
      </c>
      <c r="G15" s="34">
        <f t="shared" si="0"/>
        <v>450000</v>
      </c>
    </row>
    <row r="16" spans="1:7" ht="15.75" customHeight="1">
      <c r="A16" s="724" t="s">
        <v>55</v>
      </c>
      <c r="B16" s="725">
        <v>44352</v>
      </c>
      <c r="C16" s="726" t="s">
        <v>46</v>
      </c>
      <c r="D16" s="21"/>
      <c r="E16" s="21">
        <v>44352</v>
      </c>
      <c r="F16" s="21">
        <v>44352</v>
      </c>
      <c r="G16" s="34">
        <f t="shared" si="0"/>
        <v>44352</v>
      </c>
    </row>
    <row r="17" spans="1:7" ht="15.75" customHeight="1">
      <c r="A17" s="724" t="s">
        <v>56</v>
      </c>
      <c r="B17" s="725">
        <v>69300</v>
      </c>
      <c r="C17" s="726" t="s">
        <v>46</v>
      </c>
      <c r="D17" s="21"/>
      <c r="E17" s="21">
        <v>69300</v>
      </c>
      <c r="F17" s="21">
        <v>69300</v>
      </c>
      <c r="G17" s="34">
        <f t="shared" si="0"/>
        <v>69300</v>
      </c>
    </row>
    <row r="18" spans="1:7" ht="15.75" customHeight="1">
      <c r="A18" s="728" t="s">
        <v>57</v>
      </c>
      <c r="B18" s="725">
        <v>12700</v>
      </c>
      <c r="C18" s="726" t="s">
        <v>46</v>
      </c>
      <c r="D18" s="21"/>
      <c r="E18" s="21">
        <v>12700</v>
      </c>
      <c r="F18" s="21">
        <v>12700</v>
      </c>
      <c r="G18" s="34">
        <f t="shared" si="0"/>
        <v>12700</v>
      </c>
    </row>
    <row r="19" spans="1:7" ht="15.75" customHeight="1">
      <c r="A19" s="724" t="s">
        <v>58</v>
      </c>
      <c r="B19" s="729">
        <v>2794000</v>
      </c>
      <c r="C19" s="726" t="s">
        <v>46</v>
      </c>
      <c r="D19" s="21"/>
      <c r="E19" s="21">
        <v>2794000</v>
      </c>
      <c r="F19" s="21">
        <v>2794000</v>
      </c>
      <c r="G19" s="34">
        <f t="shared" si="0"/>
        <v>2794000</v>
      </c>
    </row>
    <row r="20" spans="1:7" ht="15.75" customHeight="1">
      <c r="A20" s="724" t="s">
        <v>59</v>
      </c>
      <c r="B20" s="729">
        <v>99891</v>
      </c>
      <c r="C20" s="726" t="s">
        <v>46</v>
      </c>
      <c r="D20" s="21"/>
      <c r="E20" s="21">
        <v>99891</v>
      </c>
      <c r="F20" s="21">
        <v>99891</v>
      </c>
      <c r="G20" s="34">
        <f t="shared" si="0"/>
        <v>99891</v>
      </c>
    </row>
    <row r="21" spans="1:7" ht="15.75" customHeight="1">
      <c r="A21" s="724" t="s">
        <v>60</v>
      </c>
      <c r="B21" s="729">
        <v>2531646</v>
      </c>
      <c r="C21" s="726" t="s">
        <v>46</v>
      </c>
      <c r="D21" s="21"/>
      <c r="E21" s="21">
        <v>2531646</v>
      </c>
      <c r="F21" s="21">
        <v>2531646</v>
      </c>
      <c r="G21" s="34">
        <v>1293058</v>
      </c>
    </row>
    <row r="22" spans="1:7" ht="15.75" customHeight="1">
      <c r="A22" s="724" t="s">
        <v>61</v>
      </c>
      <c r="B22" s="729">
        <v>1153115</v>
      </c>
      <c r="C22" s="726" t="s">
        <v>46</v>
      </c>
      <c r="D22" s="21"/>
      <c r="E22" s="21">
        <v>1153115</v>
      </c>
      <c r="F22" s="21">
        <v>1153115</v>
      </c>
      <c r="G22" s="34">
        <f t="shared" si="0"/>
        <v>1153115</v>
      </c>
    </row>
    <row r="23" spans="1:7" ht="15.75" customHeight="1">
      <c r="A23" s="724" t="s">
        <v>62</v>
      </c>
      <c r="B23" s="729">
        <v>302010</v>
      </c>
      <c r="C23" s="726" t="s">
        <v>46</v>
      </c>
      <c r="D23" s="21"/>
      <c r="E23" s="21">
        <v>302010</v>
      </c>
      <c r="F23" s="21">
        <v>302010</v>
      </c>
      <c r="G23" s="34">
        <f t="shared" si="0"/>
        <v>302010</v>
      </c>
    </row>
    <row r="24" spans="1:7" ht="20.25" customHeight="1">
      <c r="A24" s="724" t="s">
        <v>63</v>
      </c>
      <c r="B24" s="729">
        <v>552275</v>
      </c>
      <c r="C24" s="726" t="s">
        <v>46</v>
      </c>
      <c r="D24" s="21"/>
      <c r="E24" s="21">
        <v>552275</v>
      </c>
      <c r="F24" s="21">
        <v>552275</v>
      </c>
      <c r="G24" s="34">
        <f t="shared" si="0"/>
        <v>552275</v>
      </c>
    </row>
    <row r="25" spans="1:7" ht="15.75" customHeight="1">
      <c r="A25" s="730" t="s">
        <v>64</v>
      </c>
      <c r="B25" s="725">
        <v>7517035</v>
      </c>
      <c r="C25" s="726" t="s">
        <v>46</v>
      </c>
      <c r="D25" s="21"/>
      <c r="E25" s="21">
        <v>7517035</v>
      </c>
      <c r="F25" s="21">
        <v>7517035</v>
      </c>
      <c r="G25" s="34">
        <f t="shared" si="0"/>
        <v>7517035</v>
      </c>
    </row>
    <row r="26" spans="1:7" ht="15.75" customHeight="1">
      <c r="A26" s="724" t="s">
        <v>65</v>
      </c>
      <c r="B26" s="725">
        <v>63149</v>
      </c>
      <c r="C26" s="726" t="s">
        <v>46</v>
      </c>
      <c r="D26" s="21"/>
      <c r="E26" s="21">
        <v>63149</v>
      </c>
      <c r="F26" s="21">
        <v>63149</v>
      </c>
      <c r="G26" s="34">
        <f t="shared" si="0"/>
        <v>63149</v>
      </c>
    </row>
    <row r="27" spans="1:7" ht="15.75" customHeight="1">
      <c r="A27" s="724" t="s">
        <v>66</v>
      </c>
      <c r="B27" s="725">
        <v>348150</v>
      </c>
      <c r="C27" s="726" t="s">
        <v>46</v>
      </c>
      <c r="D27" s="21"/>
      <c r="E27" s="21">
        <v>348150</v>
      </c>
      <c r="F27" s="21">
        <v>348150</v>
      </c>
      <c r="G27" s="34">
        <f t="shared" si="0"/>
        <v>348150</v>
      </c>
    </row>
    <row r="28" spans="1:7" ht="15.75" customHeight="1">
      <c r="A28" s="728" t="s">
        <v>67</v>
      </c>
      <c r="B28" s="731">
        <v>388512</v>
      </c>
      <c r="C28" s="726" t="s">
        <v>46</v>
      </c>
      <c r="D28" s="21"/>
      <c r="E28" s="21">
        <v>388512</v>
      </c>
      <c r="F28" s="21">
        <v>388512</v>
      </c>
      <c r="G28" s="34">
        <f t="shared" si="0"/>
        <v>388512</v>
      </c>
    </row>
    <row r="29" spans="1:7" ht="15.75" customHeight="1" thickBot="1">
      <c r="A29" s="728" t="s">
        <v>68</v>
      </c>
      <c r="B29" s="731">
        <v>300000</v>
      </c>
      <c r="C29" s="726" t="s">
        <v>46</v>
      </c>
      <c r="D29" s="21"/>
      <c r="E29" s="21">
        <v>300000</v>
      </c>
      <c r="F29" s="21">
        <v>300000</v>
      </c>
      <c r="G29" s="34">
        <f t="shared" si="0"/>
        <v>300000</v>
      </c>
    </row>
    <row r="30" spans="1:7" s="38" customFormat="1" ht="18" customHeight="1" thickBot="1">
      <c r="A30" s="70" t="s">
        <v>226</v>
      </c>
      <c r="B30" s="36">
        <f>SUM(B7:B29)</f>
        <v>55126237</v>
      </c>
      <c r="C30" s="51"/>
      <c r="D30" s="36">
        <f>SUM(D7:D29)</f>
        <v>0</v>
      </c>
      <c r="E30" s="36">
        <f>SUM(E7:E29)</f>
        <v>55126237</v>
      </c>
      <c r="F30" s="36">
        <f>SUM(F7:F29)</f>
        <v>55126237</v>
      </c>
      <c r="G30" s="36">
        <f>SUM(G7:G29)</f>
        <v>53887649</v>
      </c>
    </row>
  </sheetData>
  <sheetProtection/>
  <mergeCells count="2">
    <mergeCell ref="A3:G3"/>
    <mergeCell ref="B1:G1"/>
  </mergeCells>
  <printOptions horizontalCentered="1"/>
  <pageMargins left="0.2362204724409449" right="0.2362204724409449" top="0.35433070866141736" bottom="0.15748031496062992" header="0.31496062992125984" footer="0.31496062992125984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zoomScale="120" zoomScaleNormal="120" workbookViewId="0" topLeftCell="A19">
      <selection activeCell="E28" sqref="E28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3"/>
      <c r="B1" s="883" t="str">
        <f>CONCATENATE("4. melléklet ",Z_ALAPADATOK!A7," ",Z_ALAPADATOK!B7," ",Z_ALAPADATOK!C7," ",Z_ALAPADATOK!D7," ",Z_ALAPADATOK!E7," ",Z_ALAPADATOK!F7," ",Z_ALAPADATOK!G7," ",Z_ALAPADATOK!H7)</f>
        <v>4. melléklet a … / 2020. ( … ) önkormányzati rendelethez</v>
      </c>
      <c r="C1" s="883"/>
      <c r="D1" s="883"/>
      <c r="E1" s="883"/>
      <c r="F1" s="883"/>
      <c r="G1" s="883"/>
    </row>
    <row r="2" spans="1:7" ht="12.75">
      <c r="A2" s="333"/>
      <c r="B2" s="334"/>
      <c r="C2" s="334"/>
      <c r="D2" s="334"/>
      <c r="E2" s="334"/>
      <c r="F2" s="334"/>
      <c r="G2" s="334"/>
    </row>
    <row r="3" spans="1:7" ht="24.75" customHeight="1">
      <c r="A3" s="882" t="s">
        <v>683</v>
      </c>
      <c r="B3" s="882"/>
      <c r="C3" s="882"/>
      <c r="D3" s="882"/>
      <c r="E3" s="882"/>
      <c r="F3" s="882"/>
      <c r="G3" s="882"/>
    </row>
    <row r="4" spans="1:7" ht="23.25" customHeight="1" thickBot="1">
      <c r="A4" s="333"/>
      <c r="B4" s="334"/>
      <c r="C4" s="334"/>
      <c r="D4" s="334"/>
      <c r="E4" s="334"/>
      <c r="F4" s="334"/>
      <c r="G4" s="335" t="str">
        <f>'Z_3.sz.mell.'!G4</f>
        <v> Forintban!</v>
      </c>
    </row>
    <row r="5" spans="1:7" s="29" customFormat="1" ht="48.75" customHeight="1" thickBot="1">
      <c r="A5" s="336" t="s">
        <v>230</v>
      </c>
      <c r="B5" s="306" t="s">
        <v>228</v>
      </c>
      <c r="C5" s="306" t="s">
        <v>229</v>
      </c>
      <c r="D5" s="306" t="str">
        <f>+'Z_3.sz.mell.'!D5</f>
        <v>Felhasználás   2018. XII. 31-ig</v>
      </c>
      <c r="E5" s="306" t="str">
        <f>+CONCATENATE(LEFT(Z_ÖSSZEFÜGGÉSEK!A6,4),". évi",CHAR(10),"módosított előirányzat")</f>
        <v>2019. évi
módosított előirányzat</v>
      </c>
      <c r="F5" s="306" t="str">
        <f>+CONCATENATE("Teljesítés",CHAR(10),LEFT(Z_ÖSSZEFÜGGÉSEK!A6,4),". I. 1-től XII. 31-ig")</f>
        <v>Teljesítés
2019. I. 1-től XII. 31-ig</v>
      </c>
      <c r="G5" s="307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37" t="s">
        <v>565</v>
      </c>
      <c r="B6" s="338" t="s">
        <v>566</v>
      </c>
      <c r="C6" s="338" t="s">
        <v>567</v>
      </c>
      <c r="D6" s="338" t="s">
        <v>569</v>
      </c>
      <c r="E6" s="338" t="s">
        <v>568</v>
      </c>
      <c r="F6" s="338" t="s">
        <v>570</v>
      </c>
      <c r="G6" s="339" t="s">
        <v>623</v>
      </c>
    </row>
    <row r="7" spans="1:7" ht="15.75" customHeight="1">
      <c r="A7" s="724" t="s">
        <v>69</v>
      </c>
      <c r="B7" s="725">
        <v>13000000</v>
      </c>
      <c r="C7" s="732" t="s">
        <v>46</v>
      </c>
      <c r="D7" s="39"/>
      <c r="E7" s="39">
        <v>26000000</v>
      </c>
      <c r="F7" s="39">
        <v>26000000</v>
      </c>
      <c r="G7" s="40">
        <f>D7+F7</f>
        <v>26000000</v>
      </c>
    </row>
    <row r="8" spans="1:7" ht="15.75" customHeight="1">
      <c r="A8" s="724" t="s">
        <v>70</v>
      </c>
      <c r="B8" s="725">
        <v>5000000</v>
      </c>
      <c r="C8" s="732" t="s">
        <v>46</v>
      </c>
      <c r="D8" s="39"/>
      <c r="E8" s="39">
        <v>7813128</v>
      </c>
      <c r="F8" s="39">
        <v>7813128</v>
      </c>
      <c r="G8" s="40">
        <f aca="true" t="shared" si="0" ref="G8:G23">D8+F8</f>
        <v>7813128</v>
      </c>
    </row>
    <row r="9" spans="1:7" ht="15.75" customHeight="1">
      <c r="A9" s="724" t="s">
        <v>71</v>
      </c>
      <c r="B9" s="725">
        <v>5000000</v>
      </c>
      <c r="C9" s="732" t="s">
        <v>46</v>
      </c>
      <c r="D9" s="39"/>
      <c r="E9" s="39">
        <v>4017999</v>
      </c>
      <c r="F9" s="39">
        <v>3403088</v>
      </c>
      <c r="G9" s="40">
        <f t="shared" si="0"/>
        <v>3403088</v>
      </c>
    </row>
    <row r="10" spans="1:7" ht="15.75" customHeight="1">
      <c r="A10" s="733" t="s">
        <v>72</v>
      </c>
      <c r="B10" s="725">
        <v>7000000</v>
      </c>
      <c r="C10" s="732" t="s">
        <v>46</v>
      </c>
      <c r="D10" s="39"/>
      <c r="E10" s="39">
        <v>7000000</v>
      </c>
      <c r="F10" s="39">
        <v>2268250</v>
      </c>
      <c r="G10" s="40">
        <f t="shared" si="0"/>
        <v>2268250</v>
      </c>
    </row>
    <row r="11" spans="1:7" ht="15.75" customHeight="1">
      <c r="A11" s="724" t="s">
        <v>73</v>
      </c>
      <c r="B11" s="725">
        <v>5672620</v>
      </c>
      <c r="C11" s="732" t="s">
        <v>46</v>
      </c>
      <c r="D11" s="39"/>
      <c r="E11" s="39">
        <v>5672620</v>
      </c>
      <c r="F11" s="39">
        <v>5672620</v>
      </c>
      <c r="G11" s="40">
        <f t="shared" si="0"/>
        <v>5672620</v>
      </c>
    </row>
    <row r="12" spans="1:7" ht="15.75" customHeight="1">
      <c r="A12" s="724" t="s">
        <v>74</v>
      </c>
      <c r="B12" s="725">
        <v>2175612</v>
      </c>
      <c r="C12" s="732" t="s">
        <v>46</v>
      </c>
      <c r="D12" s="39"/>
      <c r="E12" s="39">
        <v>2175612</v>
      </c>
      <c r="F12" s="39">
        <v>2175612</v>
      </c>
      <c r="G12" s="40">
        <f t="shared" si="0"/>
        <v>2175612</v>
      </c>
    </row>
    <row r="13" spans="1:7" ht="15.75" customHeight="1">
      <c r="A13" s="724" t="s">
        <v>75</v>
      </c>
      <c r="B13" s="725">
        <v>212000</v>
      </c>
      <c r="C13" s="732" t="s">
        <v>46</v>
      </c>
      <c r="D13" s="39"/>
      <c r="E13" s="39">
        <v>212000</v>
      </c>
      <c r="F13" s="39">
        <v>212000</v>
      </c>
      <c r="G13" s="40">
        <f t="shared" si="0"/>
        <v>212000</v>
      </c>
    </row>
    <row r="14" spans="1:7" ht="15.75" customHeight="1">
      <c r="A14" s="734" t="s">
        <v>76</v>
      </c>
      <c r="B14" s="735">
        <v>56839146</v>
      </c>
      <c r="C14" s="732" t="s">
        <v>77</v>
      </c>
      <c r="D14" s="39">
        <v>1270000</v>
      </c>
      <c r="E14" s="39">
        <v>55569146</v>
      </c>
      <c r="F14" s="39">
        <v>47527242</v>
      </c>
      <c r="G14" s="40">
        <f t="shared" si="0"/>
        <v>48797242</v>
      </c>
    </row>
    <row r="15" spans="1:7" ht="23.25" customHeight="1">
      <c r="A15" s="734" t="s">
        <v>78</v>
      </c>
      <c r="B15" s="735">
        <v>64522066</v>
      </c>
      <c r="C15" s="732" t="s">
        <v>77</v>
      </c>
      <c r="D15" s="39"/>
      <c r="E15" s="39">
        <v>64766401</v>
      </c>
      <c r="F15" s="39">
        <v>64766401</v>
      </c>
      <c r="G15" s="40">
        <f t="shared" si="0"/>
        <v>64766401</v>
      </c>
    </row>
    <row r="16" spans="1:7" ht="15.75" customHeight="1">
      <c r="A16" s="724" t="s">
        <v>79</v>
      </c>
      <c r="B16" s="725"/>
      <c r="C16" s="732" t="s">
        <v>46</v>
      </c>
      <c r="D16" s="39"/>
      <c r="E16" s="39">
        <v>9010125</v>
      </c>
      <c r="F16" s="39">
        <v>9010125</v>
      </c>
      <c r="G16" s="40">
        <f t="shared" si="0"/>
        <v>9010125</v>
      </c>
    </row>
    <row r="17" spans="1:7" ht="15.75" customHeight="1">
      <c r="A17" s="724" t="s">
        <v>80</v>
      </c>
      <c r="B17" s="725"/>
      <c r="C17" s="732" t="s">
        <v>46</v>
      </c>
      <c r="D17" s="39"/>
      <c r="E17" s="39">
        <v>1020201</v>
      </c>
      <c r="F17" s="39">
        <v>1020201</v>
      </c>
      <c r="G17" s="40">
        <f t="shared" si="0"/>
        <v>1020201</v>
      </c>
    </row>
    <row r="18" spans="1:7" ht="15.75" customHeight="1">
      <c r="A18" s="724" t="s">
        <v>81</v>
      </c>
      <c r="B18" s="725"/>
      <c r="C18" s="732" t="s">
        <v>46</v>
      </c>
      <c r="D18" s="39"/>
      <c r="E18" s="39">
        <v>8107680</v>
      </c>
      <c r="F18" s="39">
        <v>8107680</v>
      </c>
      <c r="G18" s="40">
        <f t="shared" si="0"/>
        <v>8107680</v>
      </c>
    </row>
    <row r="19" spans="1:7" ht="15.75" customHeight="1">
      <c r="A19" s="724" t="s">
        <v>82</v>
      </c>
      <c r="B19" s="725"/>
      <c r="C19" s="732" t="s">
        <v>46</v>
      </c>
      <c r="D19" s="39"/>
      <c r="E19" s="39">
        <v>662001</v>
      </c>
      <c r="F19" s="39">
        <v>662001</v>
      </c>
      <c r="G19" s="40">
        <f t="shared" si="0"/>
        <v>662001</v>
      </c>
    </row>
    <row r="20" spans="1:7" ht="15.75" customHeight="1">
      <c r="A20" s="724" t="s">
        <v>83</v>
      </c>
      <c r="B20" s="725"/>
      <c r="C20" s="726" t="s">
        <v>46</v>
      </c>
      <c r="D20" s="39"/>
      <c r="E20" s="39">
        <v>750000</v>
      </c>
      <c r="F20" s="39"/>
      <c r="G20" s="40">
        <f t="shared" si="0"/>
        <v>0</v>
      </c>
    </row>
    <row r="21" spans="1:7" ht="15.75" customHeight="1">
      <c r="A21" s="730" t="s">
        <v>84</v>
      </c>
      <c r="B21" s="725"/>
      <c r="C21" s="726" t="s">
        <v>46</v>
      </c>
      <c r="D21" s="39"/>
      <c r="E21" s="39">
        <v>328000</v>
      </c>
      <c r="F21" s="39">
        <v>328000</v>
      </c>
      <c r="G21" s="40">
        <f t="shared" si="0"/>
        <v>328000</v>
      </c>
    </row>
    <row r="22" spans="1:7" ht="15.75" customHeight="1">
      <c r="A22" s="736" t="s">
        <v>85</v>
      </c>
      <c r="B22" s="725"/>
      <c r="C22" s="726" t="s">
        <v>77</v>
      </c>
      <c r="D22" s="39"/>
      <c r="E22" s="39">
        <v>170000</v>
      </c>
      <c r="F22" s="39">
        <v>170000</v>
      </c>
      <c r="G22" s="40">
        <f t="shared" si="0"/>
        <v>170000</v>
      </c>
    </row>
    <row r="23" spans="1:7" ht="15.75" customHeight="1" thickBot="1">
      <c r="A23" s="724" t="s">
        <v>86</v>
      </c>
      <c r="B23" s="725"/>
      <c r="C23" s="726" t="s">
        <v>87</v>
      </c>
      <c r="D23" s="39"/>
      <c r="E23" s="39">
        <v>500000</v>
      </c>
      <c r="F23" s="39">
        <v>500000</v>
      </c>
      <c r="G23" s="40">
        <f t="shared" si="0"/>
        <v>500000</v>
      </c>
    </row>
    <row r="24" spans="1:7" s="38" customFormat="1" ht="18" customHeight="1" thickBot="1">
      <c r="A24" s="70" t="s">
        <v>226</v>
      </c>
      <c r="B24" s="71">
        <f>SUM(B7:B23)</f>
        <v>159421444</v>
      </c>
      <c r="C24" s="52"/>
      <c r="D24" s="71">
        <f>SUM(D7:D23)</f>
        <v>1270000</v>
      </c>
      <c r="E24" s="71">
        <f>SUM(E7:E23)</f>
        <v>193774913</v>
      </c>
      <c r="F24" s="71">
        <f>SUM(F7:F23)</f>
        <v>179636348</v>
      </c>
      <c r="G24" s="41">
        <f>SUM(G7:G23)</f>
        <v>180906348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1"/>
  <sheetViews>
    <sheetView zoomScale="120" zoomScaleNormal="120" zoomScaleSheetLayoutView="100" workbookViewId="0" topLeftCell="A1">
      <selection activeCell="A126" sqref="A126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918"/>
      <c r="B1" s="918"/>
      <c r="C1" s="918"/>
      <c r="D1" s="918"/>
      <c r="E1" s="918"/>
      <c r="F1" s="918"/>
      <c r="G1" s="918"/>
      <c r="H1" s="918"/>
      <c r="I1" s="918"/>
      <c r="J1" s="885" t="str">
        <f>CONCATENATE("5. melléklet ",Z_ALAPADATOK!A7," ",Z_ALAPADATOK!B7," ",Z_ALAPADATOK!C7," ",Z_ALAPADATOK!D7," ",Z_ALAPADATOK!E7," ",Z_ALAPADATOK!F7," ",Z_ALAPADATOK!G7," ",Z_ALAPADATOK!H7)</f>
        <v>5. melléklet a … / 2020. ( … ) önkormányzati rendelethez</v>
      </c>
    </row>
    <row r="2" spans="1:10" ht="15.75">
      <c r="A2" s="921" t="s">
        <v>23</v>
      </c>
      <c r="B2" s="921"/>
      <c r="C2" s="921"/>
      <c r="D2" s="921"/>
      <c r="E2" s="921"/>
      <c r="F2" s="921"/>
      <c r="G2" s="921"/>
      <c r="H2" s="921"/>
      <c r="I2" s="921"/>
      <c r="J2" s="885"/>
    </row>
    <row r="3" spans="1:10" ht="14.25" thickBot="1">
      <c r="A3" s="660"/>
      <c r="B3" s="660"/>
      <c r="C3" s="660"/>
      <c r="D3" s="660"/>
      <c r="E3" s="660"/>
      <c r="F3" s="660"/>
      <c r="G3" s="660"/>
      <c r="H3" s="922" t="str">
        <f>H13</f>
        <v>Forintban!</v>
      </c>
      <c r="I3" s="922"/>
      <c r="J3" s="885"/>
    </row>
    <row r="4" spans="1:10" ht="42.75" thickBot="1">
      <c r="A4" s="923" t="s">
        <v>269</v>
      </c>
      <c r="B4" s="924"/>
      <c r="C4" s="924"/>
      <c r="D4" s="924"/>
      <c r="E4" s="924"/>
      <c r="F4" s="925"/>
      <c r="G4" s="661" t="s">
        <v>628</v>
      </c>
      <c r="H4" s="661" t="s">
        <v>627</v>
      </c>
      <c r="I4" s="661" t="str">
        <f>CONCATENATE("Összes teljesítés ",Z_TARTALOMJEGYZÉK!A1,". XII.31 -ig")</f>
        <v>Összes teljesítés 2019. XII.31 -ig</v>
      </c>
      <c r="J4" s="885"/>
    </row>
    <row r="5" spans="1:10" ht="12.75">
      <c r="A5" s="926"/>
      <c r="B5" s="927"/>
      <c r="C5" s="927"/>
      <c r="D5" s="927"/>
      <c r="E5" s="927"/>
      <c r="F5" s="928"/>
      <c r="G5" s="662"/>
      <c r="H5" s="663"/>
      <c r="I5" s="663"/>
      <c r="J5" s="885"/>
    </row>
    <row r="6" spans="1:10" ht="13.5" thickBot="1">
      <c r="A6" s="911"/>
      <c r="B6" s="912"/>
      <c r="C6" s="912"/>
      <c r="D6" s="912"/>
      <c r="E6" s="912"/>
      <c r="F6" s="913"/>
      <c r="G6" s="664"/>
      <c r="H6" s="665"/>
      <c r="I6" s="665"/>
      <c r="J6" s="885"/>
    </row>
    <row r="7" spans="1:10" ht="13.5" thickBot="1">
      <c r="A7" s="914" t="s">
        <v>678</v>
      </c>
      <c r="B7" s="915"/>
      <c r="C7" s="915"/>
      <c r="D7" s="915"/>
      <c r="E7" s="915"/>
      <c r="F7" s="916"/>
      <c r="G7" s="666">
        <f>SUM(G5:G6)</f>
        <v>0</v>
      </c>
      <c r="H7" s="666">
        <f>SUM(H5:H6)</f>
        <v>0</v>
      </c>
      <c r="I7" s="666">
        <f>SUM(I5:I6)</f>
        <v>0</v>
      </c>
      <c r="J7" s="885"/>
    </row>
    <row r="8" spans="1:10" ht="12.75">
      <c r="A8" s="685"/>
      <c r="B8" s="685"/>
      <c r="C8" s="685"/>
      <c r="D8" s="685"/>
      <c r="E8" s="685"/>
      <c r="F8" s="685"/>
      <c r="G8" s="686"/>
      <c r="H8" s="686"/>
      <c r="I8" s="686"/>
      <c r="J8" s="885"/>
    </row>
    <row r="9" spans="1:10" ht="15.75">
      <c r="A9" s="919" t="s">
        <v>684</v>
      </c>
      <c r="B9" s="919"/>
      <c r="C9" s="919"/>
      <c r="D9" s="919"/>
      <c r="E9" s="919"/>
      <c r="F9" s="919"/>
      <c r="G9" s="919"/>
      <c r="H9" s="919"/>
      <c r="I9" s="919"/>
      <c r="J9" s="885"/>
    </row>
    <row r="10" spans="1:10" ht="15.75">
      <c r="A10" s="920" t="s">
        <v>20</v>
      </c>
      <c r="B10" s="919"/>
      <c r="C10" s="919"/>
      <c r="D10" s="919"/>
      <c r="E10" s="919"/>
      <c r="F10" s="919"/>
      <c r="G10" s="919"/>
      <c r="H10" s="919"/>
      <c r="I10" s="919"/>
      <c r="J10" s="885"/>
    </row>
    <row r="11" spans="1:10" ht="15.75">
      <c r="A11" s="659"/>
      <c r="B11" s="658"/>
      <c r="C11" s="658"/>
      <c r="D11" s="658"/>
      <c r="E11" s="658"/>
      <c r="F11" s="658"/>
      <c r="G11" s="658"/>
      <c r="H11" s="658"/>
      <c r="I11" s="658"/>
      <c r="J11" s="885"/>
    </row>
    <row r="12" spans="1:10" ht="42.75" customHeight="1">
      <c r="A12" s="906" t="s">
        <v>21</v>
      </c>
      <c r="B12" s="906"/>
      <c r="C12" s="917" t="s">
        <v>172</v>
      </c>
      <c r="D12" s="917"/>
      <c r="E12" s="917"/>
      <c r="F12" s="917"/>
      <c r="G12" s="838"/>
      <c r="H12" s="838"/>
      <c r="I12" s="838"/>
      <c r="J12" s="885"/>
    </row>
    <row r="13" spans="1:10" ht="15.75" thickBot="1">
      <c r="A13" s="667"/>
      <c r="B13" s="667"/>
      <c r="C13" s="667"/>
      <c r="D13" s="667"/>
      <c r="E13" s="667"/>
      <c r="F13" s="667"/>
      <c r="G13" s="667"/>
      <c r="H13" s="886" t="s">
        <v>7</v>
      </c>
      <c r="I13" s="886"/>
      <c r="J13" s="885"/>
    </row>
    <row r="14" spans="1:10" ht="13.5" thickBot="1">
      <c r="A14" s="896" t="s">
        <v>263</v>
      </c>
      <c r="B14" s="899" t="s">
        <v>624</v>
      </c>
      <c r="C14" s="900"/>
      <c r="D14" s="900"/>
      <c r="E14" s="900"/>
      <c r="F14" s="901"/>
      <c r="G14" s="901"/>
      <c r="H14" s="901"/>
      <c r="I14" s="902"/>
      <c r="J14" s="885"/>
    </row>
    <row r="15" spans="1:10" ht="13.5" thickBot="1">
      <c r="A15" s="897"/>
      <c r="B15" s="903" t="s">
        <v>28</v>
      </c>
      <c r="C15" s="887" t="s">
        <v>22</v>
      </c>
      <c r="D15" s="888"/>
      <c r="E15" s="888"/>
      <c r="F15" s="888"/>
      <c r="G15" s="888"/>
      <c r="H15" s="888"/>
      <c r="I15" s="889"/>
      <c r="J15" s="885"/>
    </row>
    <row r="16" spans="1:10" ht="48.75" thickBot="1">
      <c r="A16" s="897"/>
      <c r="B16" s="904"/>
      <c r="C16" s="890" t="str">
        <f>CONCATENATE(Z_TARTALOMJEGYZÉK!$A$1,".  előtti forrás, kiadás")</f>
        <v>2019.  előtti forrás, kiadás</v>
      </c>
      <c r="D16" s="668" t="s">
        <v>626</v>
      </c>
      <c r="E16" s="668" t="s">
        <v>627</v>
      </c>
      <c r="F16" s="669" t="str">
        <f>CONCATENATE("Összes teljesítés ",Z_TARTALOMJEGYZÉK!$A$1,". XII.31 -ig")</f>
        <v>Összes teljesítés 2019. XII.31 -ig</v>
      </c>
      <c r="G16" s="669" t="s">
        <v>626</v>
      </c>
      <c r="H16" s="669" t="s">
        <v>627</v>
      </c>
      <c r="I16" s="669" t="str">
        <f>CONCATENATE("Összes teljesítés ",Z_TARTALOMJEGYZÉK!$A$1,". XII.31 -ig")</f>
        <v>Összes teljesítés 2019. XII.31 -ig</v>
      </c>
      <c r="J16" s="885"/>
    </row>
    <row r="17" spans="1:10" ht="11.25" customHeight="1" thickBot="1">
      <c r="A17" s="898"/>
      <c r="B17" s="905"/>
      <c r="C17" s="891"/>
      <c r="D17" s="892" t="str">
        <f>CONCATENATE(Z_TARTALOMJEGYZÉK!$A$1,". évi")</f>
        <v>2019. évi</v>
      </c>
      <c r="E17" s="893"/>
      <c r="F17" s="894"/>
      <c r="G17" s="892" t="str">
        <f>CONCATENATE(Z_TARTALOMJEGYZÉK!$A$1,". után")</f>
        <v>2019. után</v>
      </c>
      <c r="H17" s="895"/>
      <c r="I17" s="894"/>
      <c r="J17" s="885"/>
    </row>
    <row r="18" spans="1:10" ht="13.5" thickBot="1">
      <c r="A18" s="670" t="s">
        <v>565</v>
      </c>
      <c r="B18" s="671" t="s">
        <v>27</v>
      </c>
      <c r="C18" s="672" t="s">
        <v>567</v>
      </c>
      <c r="D18" s="673" t="s">
        <v>569</v>
      </c>
      <c r="E18" s="673" t="s">
        <v>568</v>
      </c>
      <c r="F18" s="672" t="s">
        <v>570</v>
      </c>
      <c r="G18" s="672" t="s">
        <v>571</v>
      </c>
      <c r="H18" s="672" t="s">
        <v>572</v>
      </c>
      <c r="I18" s="674" t="s">
        <v>26</v>
      </c>
      <c r="J18" s="885"/>
    </row>
    <row r="19" spans="1:10" ht="12.75">
      <c r="A19" s="675" t="s">
        <v>264</v>
      </c>
      <c r="B19" s="701">
        <v>6000000</v>
      </c>
      <c r="C19" s="687"/>
      <c r="D19" s="688">
        <v>6000000</v>
      </c>
      <c r="E19" s="688">
        <v>5390550</v>
      </c>
      <c r="F19" s="688">
        <v>6315117</v>
      </c>
      <c r="G19" s="688"/>
      <c r="H19" s="689"/>
      <c r="I19" s="690">
        <v>6315117</v>
      </c>
      <c r="J19" s="885"/>
    </row>
    <row r="20" spans="1:10" ht="12.75">
      <c r="A20" s="676" t="s">
        <v>275</v>
      </c>
      <c r="B20" s="702">
        <f>C20+E20+H20</f>
        <v>0</v>
      </c>
      <c r="C20" s="691"/>
      <c r="D20" s="691"/>
      <c r="E20" s="692"/>
      <c r="F20" s="699"/>
      <c r="G20" s="691"/>
      <c r="H20" s="692"/>
      <c r="I20" s="693">
        <f>C20+F20</f>
        <v>0</v>
      </c>
      <c r="J20" s="885"/>
    </row>
    <row r="21" spans="1:10" ht="12.75">
      <c r="A21" s="677" t="s">
        <v>265</v>
      </c>
      <c r="B21" s="703">
        <f>C21+E21+H21</f>
        <v>49712766</v>
      </c>
      <c r="C21" s="692">
        <v>49712766</v>
      </c>
      <c r="D21" s="692"/>
      <c r="E21" s="692"/>
      <c r="F21" s="700"/>
      <c r="G21" s="692"/>
      <c r="H21" s="692"/>
      <c r="I21" s="693">
        <f>C21+F21</f>
        <v>49712766</v>
      </c>
      <c r="J21" s="885"/>
    </row>
    <row r="22" spans="1:10" ht="12.75">
      <c r="A22" s="677" t="s">
        <v>276</v>
      </c>
      <c r="B22" s="703">
        <f>C22+E22+H22</f>
        <v>0</v>
      </c>
      <c r="C22" s="692"/>
      <c r="D22" s="692"/>
      <c r="E22" s="692"/>
      <c r="F22" s="700"/>
      <c r="G22" s="692"/>
      <c r="H22" s="692"/>
      <c r="I22" s="693">
        <f>C22+F22</f>
        <v>0</v>
      </c>
      <c r="J22" s="885"/>
    </row>
    <row r="23" spans="1:10" ht="12.75">
      <c r="A23" s="677" t="s">
        <v>266</v>
      </c>
      <c r="B23" s="703">
        <f>C23+E23+H23</f>
        <v>0</v>
      </c>
      <c r="C23" s="692"/>
      <c r="D23" s="692"/>
      <c r="E23" s="692"/>
      <c r="F23" s="700"/>
      <c r="G23" s="692"/>
      <c r="H23" s="692"/>
      <c r="I23" s="693">
        <f>C23+F23</f>
        <v>0</v>
      </c>
      <c r="J23" s="885"/>
    </row>
    <row r="24" spans="1:10" ht="13.5" thickBot="1">
      <c r="A24" s="677" t="s">
        <v>267</v>
      </c>
      <c r="B24" s="703">
        <v>13000000</v>
      </c>
      <c r="C24" s="692"/>
      <c r="D24" s="692">
        <v>13000000</v>
      </c>
      <c r="E24" s="692">
        <v>13000000</v>
      </c>
      <c r="F24" s="692">
        <v>13000000</v>
      </c>
      <c r="G24" s="692"/>
      <c r="H24" s="692"/>
      <c r="I24" s="693">
        <f>C24+F24</f>
        <v>13000000</v>
      </c>
      <c r="J24" s="885"/>
    </row>
    <row r="25" spans="1:10" ht="13.5" thickBot="1">
      <c r="A25" s="678" t="s">
        <v>268</v>
      </c>
      <c r="B25" s="704">
        <f aca="true" t="shared" si="0" ref="B25:I25">B19+SUM(B21:B24)</f>
        <v>68712766</v>
      </c>
      <c r="C25" s="694">
        <f t="shared" si="0"/>
        <v>49712766</v>
      </c>
      <c r="D25" s="694">
        <f t="shared" si="0"/>
        <v>19000000</v>
      </c>
      <c r="E25" s="694">
        <f t="shared" si="0"/>
        <v>18390550</v>
      </c>
      <c r="F25" s="694">
        <f t="shared" si="0"/>
        <v>19315117</v>
      </c>
      <c r="G25" s="694">
        <f t="shared" si="0"/>
        <v>0</v>
      </c>
      <c r="H25" s="694">
        <f t="shared" si="0"/>
        <v>0</v>
      </c>
      <c r="I25" s="695">
        <f t="shared" si="0"/>
        <v>69027883</v>
      </c>
      <c r="J25" s="885"/>
    </row>
    <row r="26" spans="1:10" ht="12.75">
      <c r="A26" s="679" t="s">
        <v>271</v>
      </c>
      <c r="B26" s="701">
        <f>C26+E26+H26</f>
        <v>1218900</v>
      </c>
      <c r="C26" s="688">
        <v>609450</v>
      </c>
      <c r="D26" s="688">
        <v>609450</v>
      </c>
      <c r="E26" s="688">
        <v>609450</v>
      </c>
      <c r="F26" s="688">
        <v>609450</v>
      </c>
      <c r="G26" s="688"/>
      <c r="H26" s="688"/>
      <c r="I26" s="690">
        <f>C26+F26</f>
        <v>1218900</v>
      </c>
      <c r="J26" s="885"/>
    </row>
    <row r="27" spans="1:10" ht="12.75">
      <c r="A27" s="680" t="s">
        <v>272</v>
      </c>
      <c r="B27" s="703">
        <f>C27+E27+H27</f>
        <v>66998566</v>
      </c>
      <c r="C27" s="692">
        <v>2476500</v>
      </c>
      <c r="D27" s="692">
        <v>64522066</v>
      </c>
      <c r="E27" s="692">
        <v>64522066</v>
      </c>
      <c r="F27" s="692">
        <v>64766401</v>
      </c>
      <c r="G27" s="692"/>
      <c r="H27" s="692"/>
      <c r="I27" s="693">
        <f>C27+F27</f>
        <v>67242901</v>
      </c>
      <c r="J27" s="885"/>
    </row>
    <row r="28" spans="1:10" ht="12.75">
      <c r="A28" s="680" t="s">
        <v>273</v>
      </c>
      <c r="B28" s="703">
        <f>C28+E28+H28</f>
        <v>495300</v>
      </c>
      <c r="C28" s="692">
        <v>495300</v>
      </c>
      <c r="D28" s="692"/>
      <c r="E28" s="692"/>
      <c r="F28" s="692">
        <v>70782</v>
      </c>
      <c r="G28" s="692"/>
      <c r="H28" s="692"/>
      <c r="I28" s="693">
        <f>C28+F28</f>
        <v>566082</v>
      </c>
      <c r="J28" s="885"/>
    </row>
    <row r="29" spans="1:10" ht="12.75">
      <c r="A29" s="680" t="s">
        <v>274</v>
      </c>
      <c r="B29" s="703">
        <f>C29+E29+H29</f>
        <v>0</v>
      </c>
      <c r="C29" s="692"/>
      <c r="D29" s="692"/>
      <c r="E29" s="692"/>
      <c r="F29" s="692"/>
      <c r="G29" s="692"/>
      <c r="H29" s="692"/>
      <c r="I29" s="693">
        <f>C29+F29</f>
        <v>0</v>
      </c>
      <c r="J29" s="885"/>
    </row>
    <row r="30" spans="1:10" ht="13.5" thickBot="1">
      <c r="A30" s="681"/>
      <c r="B30" s="705">
        <f>C30+E30+H30</f>
        <v>0</v>
      </c>
      <c r="C30" s="696"/>
      <c r="D30" s="696"/>
      <c r="E30" s="692"/>
      <c r="F30" s="696"/>
      <c r="G30" s="696"/>
      <c r="H30" s="692"/>
      <c r="I30" s="697">
        <f>C30+F30</f>
        <v>0</v>
      </c>
      <c r="J30" s="885"/>
    </row>
    <row r="31" spans="1:10" ht="13.5" thickBot="1">
      <c r="A31" s="682" t="s">
        <v>254</v>
      </c>
      <c r="B31" s="704">
        <f aca="true" t="shared" si="1" ref="B31:I31">SUM(B26:B30)</f>
        <v>68712766</v>
      </c>
      <c r="C31" s="694">
        <f t="shared" si="1"/>
        <v>3581250</v>
      </c>
      <c r="D31" s="694">
        <f t="shared" si="1"/>
        <v>65131516</v>
      </c>
      <c r="E31" s="694">
        <f t="shared" si="1"/>
        <v>65131516</v>
      </c>
      <c r="F31" s="694">
        <f t="shared" si="1"/>
        <v>65446633</v>
      </c>
      <c r="G31" s="694">
        <f t="shared" si="1"/>
        <v>0</v>
      </c>
      <c r="H31" s="694">
        <f t="shared" si="1"/>
        <v>0</v>
      </c>
      <c r="I31" s="695">
        <f t="shared" si="1"/>
        <v>69027883</v>
      </c>
      <c r="J31" s="885"/>
    </row>
    <row r="32" spans="1:10" ht="12.75">
      <c r="A32" s="910" t="s">
        <v>679</v>
      </c>
      <c r="B32" s="910"/>
      <c r="C32" s="910"/>
      <c r="D32" s="910"/>
      <c r="E32" s="910"/>
      <c r="F32" s="910"/>
      <c r="G32" s="910"/>
      <c r="H32" s="910"/>
      <c r="I32" s="910"/>
      <c r="J32" s="885"/>
    </row>
    <row r="33" spans="1:10" ht="12.75">
      <c r="A33" s="683"/>
      <c r="B33" s="683"/>
      <c r="C33" s="683"/>
      <c r="D33" s="683"/>
      <c r="E33" s="683"/>
      <c r="F33" s="683"/>
      <c r="G33" s="683"/>
      <c r="H33" s="683"/>
      <c r="I33" s="683"/>
      <c r="J33" s="885"/>
    </row>
    <row r="34" spans="1:10" ht="31.5" customHeight="1">
      <c r="A34" s="906" t="s">
        <v>24</v>
      </c>
      <c r="B34" s="906"/>
      <c r="C34" s="909" t="s">
        <v>173</v>
      </c>
      <c r="D34" s="909"/>
      <c r="E34" s="909"/>
      <c r="F34" s="909"/>
      <c r="G34" s="838"/>
      <c r="H34" s="838"/>
      <c r="I34" s="838"/>
      <c r="J34" s="885"/>
    </row>
    <row r="35" spans="1:10" ht="15.75" thickBot="1">
      <c r="A35" s="667"/>
      <c r="B35" s="667"/>
      <c r="C35" s="667"/>
      <c r="D35" s="667"/>
      <c r="E35" s="667"/>
      <c r="F35" s="667"/>
      <c r="G35" s="667"/>
      <c r="H35" s="886" t="s">
        <v>7</v>
      </c>
      <c r="I35" s="886"/>
      <c r="J35" s="885"/>
    </row>
    <row r="36" spans="1:10" ht="13.5" customHeight="1" thickBot="1">
      <c r="A36" s="896" t="s">
        <v>263</v>
      </c>
      <c r="B36" s="899" t="s">
        <v>624</v>
      </c>
      <c r="C36" s="900"/>
      <c r="D36" s="900"/>
      <c r="E36" s="900"/>
      <c r="F36" s="901"/>
      <c r="G36" s="901"/>
      <c r="H36" s="901"/>
      <c r="I36" s="902"/>
      <c r="J36" s="885"/>
    </row>
    <row r="37" spans="1:10" ht="13.5" customHeight="1" thickBot="1">
      <c r="A37" s="897"/>
      <c r="B37" s="903" t="str">
        <f>B15</f>
        <v>Módosítás utáni összes forrás, kiadás</v>
      </c>
      <c r="C37" s="887" t="s">
        <v>22</v>
      </c>
      <c r="D37" s="888"/>
      <c r="E37" s="888"/>
      <c r="F37" s="888"/>
      <c r="G37" s="888"/>
      <c r="H37" s="888"/>
      <c r="I37" s="889"/>
      <c r="J37" s="885"/>
    </row>
    <row r="38" spans="1:10" ht="48.75" thickBot="1">
      <c r="A38" s="897"/>
      <c r="B38" s="904"/>
      <c r="C38" s="890" t="str">
        <f>CONCATENATE(Z_TARTALOMJEGYZÉK!$A$1,".  előtti forrás, kiadás")</f>
        <v>2019.  előtti forrás, kiadás</v>
      </c>
      <c r="D38" s="668" t="s">
        <v>626</v>
      </c>
      <c r="E38" s="668" t="s">
        <v>627</v>
      </c>
      <c r="F38" s="669" t="str">
        <f>CONCATENATE("Összes teljesítés ",Z_TARTALOMJEGYZÉK!$A$1,". XII.31 -ig")</f>
        <v>Összes teljesítés 2019. XII.31 -ig</v>
      </c>
      <c r="G38" s="669" t="s">
        <v>626</v>
      </c>
      <c r="H38" s="669" t="s">
        <v>627</v>
      </c>
      <c r="I38" s="669" t="str">
        <f>CONCATENATE("Összes teljesítés ",Z_TARTALOMJEGYZÉK!$A$1,". XII.31 -ig")</f>
        <v>Összes teljesítés 2019. XII.31 -ig</v>
      </c>
      <c r="J38" s="885"/>
    </row>
    <row r="39" spans="1:10" ht="13.5" thickBot="1">
      <c r="A39" s="898"/>
      <c r="B39" s="905"/>
      <c r="C39" s="891"/>
      <c r="D39" s="892" t="str">
        <f>CONCATENATE(Z_TARTALOMJEGYZÉK!$A$1,". évi")</f>
        <v>2019. évi</v>
      </c>
      <c r="E39" s="893"/>
      <c r="F39" s="894"/>
      <c r="G39" s="892" t="str">
        <f>CONCATENATE(Z_TARTALOMJEGYZÉK!$A$1,". után")</f>
        <v>2019. után</v>
      </c>
      <c r="H39" s="895"/>
      <c r="I39" s="894"/>
      <c r="J39" s="885"/>
    </row>
    <row r="40" spans="1:10" ht="13.5" thickBot="1">
      <c r="A40" s="670" t="s">
        <v>565</v>
      </c>
      <c r="B40" s="671" t="s">
        <v>27</v>
      </c>
      <c r="C40" s="672" t="s">
        <v>567</v>
      </c>
      <c r="D40" s="673" t="s">
        <v>569</v>
      </c>
      <c r="E40" s="673" t="s">
        <v>568</v>
      </c>
      <c r="F40" s="672" t="s">
        <v>570</v>
      </c>
      <c r="G40" s="672" t="s">
        <v>571</v>
      </c>
      <c r="H40" s="672" t="s">
        <v>572</v>
      </c>
      <c r="I40" s="674" t="s">
        <v>26</v>
      </c>
      <c r="J40" s="885"/>
    </row>
    <row r="41" spans="1:10" ht="12.75">
      <c r="A41" s="675" t="s">
        <v>264</v>
      </c>
      <c r="B41" s="701">
        <f aca="true" t="shared" si="2" ref="B41:B46">C41+E41+H41</f>
        <v>0</v>
      </c>
      <c r="C41" s="687"/>
      <c r="D41" s="688"/>
      <c r="E41" s="688"/>
      <c r="F41" s="698"/>
      <c r="G41" s="688"/>
      <c r="H41" s="689"/>
      <c r="I41" s="690">
        <f aca="true" t="shared" si="3" ref="I41:I46">C41+F41</f>
        <v>0</v>
      </c>
      <c r="J41" s="885"/>
    </row>
    <row r="42" spans="1:10" ht="12.75">
      <c r="A42" s="676" t="s">
        <v>275</v>
      </c>
      <c r="B42" s="702">
        <f t="shared" si="2"/>
        <v>0</v>
      </c>
      <c r="C42" s="691"/>
      <c r="D42" s="691"/>
      <c r="E42" s="692"/>
      <c r="F42" s="699"/>
      <c r="G42" s="691"/>
      <c r="H42" s="692"/>
      <c r="I42" s="693">
        <f t="shared" si="3"/>
        <v>0</v>
      </c>
      <c r="J42" s="885"/>
    </row>
    <row r="43" spans="1:10" ht="12.75">
      <c r="A43" s="677" t="s">
        <v>265</v>
      </c>
      <c r="B43" s="703">
        <f t="shared" si="2"/>
        <v>59006510</v>
      </c>
      <c r="C43" s="840">
        <v>59006510</v>
      </c>
      <c r="D43" s="692"/>
      <c r="E43" s="692"/>
      <c r="F43" s="700"/>
      <c r="G43" s="692"/>
      <c r="H43" s="692"/>
      <c r="I43" s="693">
        <f t="shared" si="3"/>
        <v>59006510</v>
      </c>
      <c r="J43" s="885"/>
    </row>
    <row r="44" spans="1:10" ht="12.75">
      <c r="A44" s="677" t="s">
        <v>276</v>
      </c>
      <c r="B44" s="703">
        <f t="shared" si="2"/>
        <v>0</v>
      </c>
      <c r="C44" s="692"/>
      <c r="D44" s="692"/>
      <c r="E44" s="692"/>
      <c r="F44" s="700"/>
      <c r="G44" s="692"/>
      <c r="H44" s="692"/>
      <c r="I44" s="693">
        <f t="shared" si="3"/>
        <v>0</v>
      </c>
      <c r="J44" s="885"/>
    </row>
    <row r="45" spans="1:10" ht="12.75">
      <c r="A45" s="677" t="s">
        <v>266</v>
      </c>
      <c r="B45" s="703">
        <f t="shared" si="2"/>
        <v>0</v>
      </c>
      <c r="C45" s="692"/>
      <c r="D45" s="692"/>
      <c r="E45" s="692"/>
      <c r="F45" s="700"/>
      <c r="G45" s="692"/>
      <c r="H45" s="692"/>
      <c r="I45" s="693">
        <f t="shared" si="3"/>
        <v>0</v>
      </c>
      <c r="J45" s="885"/>
    </row>
    <row r="46" spans="1:10" ht="13.5" thickBot="1">
      <c r="A46" s="677" t="s">
        <v>267</v>
      </c>
      <c r="B46" s="703">
        <f t="shared" si="2"/>
        <v>0</v>
      </c>
      <c r="C46" s="692"/>
      <c r="D46" s="692"/>
      <c r="E46" s="692"/>
      <c r="F46" s="700"/>
      <c r="G46" s="692"/>
      <c r="H46" s="692"/>
      <c r="I46" s="693">
        <f t="shared" si="3"/>
        <v>0</v>
      </c>
      <c r="J46" s="885"/>
    </row>
    <row r="47" spans="1:10" ht="13.5" thickBot="1">
      <c r="A47" s="678" t="s">
        <v>268</v>
      </c>
      <c r="B47" s="704">
        <f aca="true" t="shared" si="4" ref="B47:I47">B41+SUM(B43:B46)</f>
        <v>59006510</v>
      </c>
      <c r="C47" s="694">
        <f t="shared" si="4"/>
        <v>59006510</v>
      </c>
      <c r="D47" s="694">
        <f t="shared" si="4"/>
        <v>0</v>
      </c>
      <c r="E47" s="694">
        <f t="shared" si="4"/>
        <v>0</v>
      </c>
      <c r="F47" s="694">
        <f t="shared" si="4"/>
        <v>0</v>
      </c>
      <c r="G47" s="694">
        <f t="shared" si="4"/>
        <v>0</v>
      </c>
      <c r="H47" s="694">
        <f t="shared" si="4"/>
        <v>0</v>
      </c>
      <c r="I47" s="695">
        <f t="shared" si="4"/>
        <v>59006510</v>
      </c>
      <c r="J47" s="885"/>
    </row>
    <row r="48" spans="1:10" ht="12.75">
      <c r="A48" s="679" t="s">
        <v>271</v>
      </c>
      <c r="B48" s="701">
        <f>C48+E48+H48</f>
        <v>1441170</v>
      </c>
      <c r="C48" s="688">
        <v>480390</v>
      </c>
      <c r="D48" s="688"/>
      <c r="E48" s="841">
        <v>960780</v>
      </c>
      <c r="F48" s="688">
        <v>953811</v>
      </c>
      <c r="G48" s="688">
        <v>6969</v>
      </c>
      <c r="H48" s="688"/>
      <c r="I48" s="690">
        <f>C48+F48</f>
        <v>1434201</v>
      </c>
      <c r="J48" s="885"/>
    </row>
    <row r="49" spans="1:10" ht="12.75">
      <c r="A49" s="680" t="s">
        <v>272</v>
      </c>
      <c r="B49" s="703">
        <f>C49+E49+H49</f>
        <v>56839130</v>
      </c>
      <c r="C49" s="692">
        <v>1270000</v>
      </c>
      <c r="D49" s="692"/>
      <c r="E49" s="842">
        <v>55569130</v>
      </c>
      <c r="F49" s="692">
        <v>47527242</v>
      </c>
      <c r="G49" s="692">
        <v>8041888</v>
      </c>
      <c r="H49" s="692"/>
      <c r="I49" s="693">
        <f>C49+F49</f>
        <v>48797242</v>
      </c>
      <c r="J49" s="885"/>
    </row>
    <row r="50" spans="1:10" ht="12.75">
      <c r="A50" s="680" t="s">
        <v>273</v>
      </c>
      <c r="B50" s="703">
        <f>C50+E50+H50</f>
        <v>726210</v>
      </c>
      <c r="C50" s="692"/>
      <c r="D50" s="692"/>
      <c r="E50" s="842">
        <v>726210</v>
      </c>
      <c r="F50" s="692">
        <v>620877</v>
      </c>
      <c r="G50" s="692">
        <v>105333</v>
      </c>
      <c r="H50" s="692"/>
      <c r="I50" s="693">
        <f>C50+F50</f>
        <v>620877</v>
      </c>
      <c r="J50" s="885"/>
    </row>
    <row r="51" spans="1:10" ht="12.75">
      <c r="A51" s="680" t="s">
        <v>274</v>
      </c>
      <c r="B51" s="703">
        <f>C51+E51+H51</f>
        <v>0</v>
      </c>
      <c r="C51" s="692"/>
      <c r="D51" s="692"/>
      <c r="E51" s="692"/>
      <c r="F51" s="692"/>
      <c r="G51" s="692"/>
      <c r="H51" s="692"/>
      <c r="I51" s="693">
        <f>C51+F51</f>
        <v>0</v>
      </c>
      <c r="J51" s="885"/>
    </row>
    <row r="52" spans="1:10" ht="13.5" thickBot="1">
      <c r="A52" s="681"/>
      <c r="B52" s="705">
        <f>C52+E52+H52</f>
        <v>0</v>
      </c>
      <c r="C52" s="696"/>
      <c r="D52" s="696"/>
      <c r="E52" s="692"/>
      <c r="F52" s="696"/>
      <c r="G52" s="696"/>
      <c r="H52" s="692"/>
      <c r="I52" s="697">
        <f>C52+F52</f>
        <v>0</v>
      </c>
      <c r="J52" s="885"/>
    </row>
    <row r="53" spans="1:10" ht="13.5" thickBot="1">
      <c r="A53" s="682" t="s">
        <v>254</v>
      </c>
      <c r="B53" s="704">
        <f aca="true" t="shared" si="5" ref="B53:I53">SUM(B48:B52)</f>
        <v>59006510</v>
      </c>
      <c r="C53" s="694">
        <f t="shared" si="5"/>
        <v>1750390</v>
      </c>
      <c r="D53" s="694">
        <f t="shared" si="5"/>
        <v>0</v>
      </c>
      <c r="E53" s="694">
        <f t="shared" si="5"/>
        <v>57256120</v>
      </c>
      <c r="F53" s="694">
        <f t="shared" si="5"/>
        <v>49101930</v>
      </c>
      <c r="G53" s="694">
        <f t="shared" si="5"/>
        <v>8154190</v>
      </c>
      <c r="H53" s="694">
        <f t="shared" si="5"/>
        <v>0</v>
      </c>
      <c r="I53" s="695">
        <f t="shared" si="5"/>
        <v>50852320</v>
      </c>
      <c r="J53" s="885"/>
    </row>
    <row r="54" ht="12.75">
      <c r="J54" s="885"/>
    </row>
    <row r="55" ht="12.75">
      <c r="J55" s="885"/>
    </row>
    <row r="56" spans="1:10" ht="51" customHeight="1">
      <c r="A56" s="906" t="s">
        <v>24</v>
      </c>
      <c r="B56" s="906"/>
      <c r="C56" s="909" t="s">
        <v>174</v>
      </c>
      <c r="D56" s="909"/>
      <c r="E56" s="909"/>
      <c r="F56" s="909"/>
      <c r="G56" s="839"/>
      <c r="H56" s="839"/>
      <c r="I56" s="839"/>
      <c r="J56" s="885"/>
    </row>
    <row r="57" spans="1:10" ht="15.75" thickBot="1">
      <c r="A57" s="667"/>
      <c r="B57" s="667"/>
      <c r="C57" s="667"/>
      <c r="D57" s="667"/>
      <c r="E57" s="667"/>
      <c r="F57" s="667"/>
      <c r="G57" s="667"/>
      <c r="H57" s="886" t="s">
        <v>7</v>
      </c>
      <c r="I57" s="886"/>
      <c r="J57" s="885"/>
    </row>
    <row r="58" spans="1:10" ht="13.5" customHeight="1" thickBot="1">
      <c r="A58" s="896" t="s">
        <v>263</v>
      </c>
      <c r="B58" s="899" t="s">
        <v>624</v>
      </c>
      <c r="C58" s="900"/>
      <c r="D58" s="900"/>
      <c r="E58" s="900"/>
      <c r="F58" s="901"/>
      <c r="G58" s="901"/>
      <c r="H58" s="901"/>
      <c r="I58" s="902"/>
      <c r="J58" s="885"/>
    </row>
    <row r="59" spans="1:10" ht="13.5" customHeight="1" thickBot="1">
      <c r="A59" s="897"/>
      <c r="B59" s="903" t="str">
        <f>B37</f>
        <v>Módosítás utáni összes forrás, kiadás</v>
      </c>
      <c r="C59" s="887" t="s">
        <v>22</v>
      </c>
      <c r="D59" s="888"/>
      <c r="E59" s="888"/>
      <c r="F59" s="888"/>
      <c r="G59" s="888"/>
      <c r="H59" s="888"/>
      <c r="I59" s="889"/>
      <c r="J59" s="885"/>
    </row>
    <row r="60" spans="1:10" ht="48.75" customHeight="1" thickBot="1">
      <c r="A60" s="897"/>
      <c r="B60" s="904"/>
      <c r="C60" s="890" t="str">
        <f>CONCATENATE(Z_TARTALOMJEGYZÉK!$A$1,".  előtti forrás, kiadás")</f>
        <v>2019.  előtti forrás, kiadás</v>
      </c>
      <c r="D60" s="668" t="s">
        <v>626</v>
      </c>
      <c r="E60" s="668" t="s">
        <v>627</v>
      </c>
      <c r="F60" s="669" t="str">
        <f>CONCATENATE("Összes teljesítés ",Z_TARTALOMJEGYZÉK!$A$1,". XII.31 -ig")</f>
        <v>Összes teljesítés 2019. XII.31 -ig</v>
      </c>
      <c r="G60" s="669" t="s">
        <v>626</v>
      </c>
      <c r="H60" s="669" t="s">
        <v>627</v>
      </c>
      <c r="I60" s="669" t="str">
        <f>CONCATENATE("Összes teljesítés ",Z_TARTALOMJEGYZÉK!$A$1,". XII.31 -ig")</f>
        <v>Összes teljesítés 2019. XII.31 -ig</v>
      </c>
      <c r="J60" s="885"/>
    </row>
    <row r="61" spans="1:10" ht="13.5" thickBot="1">
      <c r="A61" s="898"/>
      <c r="B61" s="905"/>
      <c r="C61" s="891"/>
      <c r="D61" s="892" t="str">
        <f>CONCATENATE(Z_TARTALOMJEGYZÉK!$A$1,". évi")</f>
        <v>2019. évi</v>
      </c>
      <c r="E61" s="893"/>
      <c r="F61" s="894"/>
      <c r="G61" s="892" t="str">
        <f>CONCATENATE(Z_TARTALOMJEGYZÉK!$A$1,". után")</f>
        <v>2019. után</v>
      </c>
      <c r="H61" s="895"/>
      <c r="I61" s="894"/>
      <c r="J61" s="885"/>
    </row>
    <row r="62" spans="1:10" ht="13.5" thickBot="1">
      <c r="A62" s="670" t="s">
        <v>565</v>
      </c>
      <c r="B62" s="671" t="s">
        <v>27</v>
      </c>
      <c r="C62" s="672" t="s">
        <v>567</v>
      </c>
      <c r="D62" s="673" t="s">
        <v>569</v>
      </c>
      <c r="E62" s="673" t="s">
        <v>568</v>
      </c>
      <c r="F62" s="672" t="s">
        <v>570</v>
      </c>
      <c r="G62" s="672" t="s">
        <v>571</v>
      </c>
      <c r="H62" s="672" t="s">
        <v>572</v>
      </c>
      <c r="I62" s="674" t="s">
        <v>26</v>
      </c>
      <c r="J62" s="885"/>
    </row>
    <row r="63" spans="1:10" ht="12.75">
      <c r="A63" s="675" t="s">
        <v>264</v>
      </c>
      <c r="B63" s="701">
        <f aca="true" t="shared" si="6" ref="B63:B68">C63+E63+H63</f>
        <v>0</v>
      </c>
      <c r="C63" s="687"/>
      <c r="D63" s="688"/>
      <c r="E63" s="688"/>
      <c r="F63" s="698"/>
      <c r="G63" s="688"/>
      <c r="H63" s="689"/>
      <c r="I63" s="690">
        <f aca="true" t="shared" si="7" ref="I63:I68">C63+F63</f>
        <v>0</v>
      </c>
      <c r="J63" s="885"/>
    </row>
    <row r="64" spans="1:10" ht="12.75">
      <c r="A64" s="676" t="s">
        <v>275</v>
      </c>
      <c r="B64" s="702">
        <f t="shared" si="6"/>
        <v>0</v>
      </c>
      <c r="C64" s="691"/>
      <c r="D64" s="691"/>
      <c r="E64" s="692"/>
      <c r="F64" s="699"/>
      <c r="G64" s="691"/>
      <c r="H64" s="692"/>
      <c r="I64" s="693">
        <f t="shared" si="7"/>
        <v>0</v>
      </c>
      <c r="J64" s="885"/>
    </row>
    <row r="65" spans="1:10" ht="12.75">
      <c r="A65" s="677" t="s">
        <v>265</v>
      </c>
      <c r="B65" s="703">
        <f t="shared" si="6"/>
        <v>25000000</v>
      </c>
      <c r="C65" s="840">
        <v>25000000</v>
      </c>
      <c r="D65" s="692"/>
      <c r="E65" s="692"/>
      <c r="F65" s="700"/>
      <c r="G65" s="692"/>
      <c r="H65" s="692"/>
      <c r="I65" s="693">
        <f t="shared" si="7"/>
        <v>25000000</v>
      </c>
      <c r="J65" s="885"/>
    </row>
    <row r="66" spans="1:10" ht="12.75">
      <c r="A66" s="677" t="s">
        <v>276</v>
      </c>
      <c r="B66" s="703">
        <f t="shared" si="6"/>
        <v>0</v>
      </c>
      <c r="C66" s="692"/>
      <c r="D66" s="692"/>
      <c r="E66" s="692"/>
      <c r="F66" s="700"/>
      <c r="G66" s="692"/>
      <c r="H66" s="692"/>
      <c r="I66" s="693">
        <f t="shared" si="7"/>
        <v>0</v>
      </c>
      <c r="J66" s="885"/>
    </row>
    <row r="67" spans="1:10" ht="12.75">
      <c r="A67" s="677" t="s">
        <v>266</v>
      </c>
      <c r="B67" s="703">
        <f t="shared" si="6"/>
        <v>0</v>
      </c>
      <c r="C67" s="692"/>
      <c r="D67" s="692"/>
      <c r="E67" s="692"/>
      <c r="F67" s="700"/>
      <c r="G67" s="692"/>
      <c r="H67" s="692"/>
      <c r="I67" s="693">
        <f t="shared" si="7"/>
        <v>0</v>
      </c>
      <c r="J67" s="885"/>
    </row>
    <row r="68" spans="1:10" ht="13.5" thickBot="1">
      <c r="A68" s="677" t="s">
        <v>267</v>
      </c>
      <c r="B68" s="703">
        <f t="shared" si="6"/>
        <v>0</v>
      </c>
      <c r="C68" s="692"/>
      <c r="D68" s="692"/>
      <c r="E68" s="692"/>
      <c r="F68" s="700"/>
      <c r="G68" s="692"/>
      <c r="H68" s="692"/>
      <c r="I68" s="693">
        <f t="shared" si="7"/>
        <v>0</v>
      </c>
      <c r="J68" s="885"/>
    </row>
    <row r="69" spans="1:10" ht="13.5" thickBot="1">
      <c r="A69" s="678" t="s">
        <v>268</v>
      </c>
      <c r="B69" s="704">
        <f aca="true" t="shared" si="8" ref="B69:I69">B63+SUM(B65:B68)</f>
        <v>25000000</v>
      </c>
      <c r="C69" s="694">
        <f t="shared" si="8"/>
        <v>25000000</v>
      </c>
      <c r="D69" s="694">
        <f t="shared" si="8"/>
        <v>0</v>
      </c>
      <c r="E69" s="694">
        <f t="shared" si="8"/>
        <v>0</v>
      </c>
      <c r="F69" s="694">
        <f t="shared" si="8"/>
        <v>0</v>
      </c>
      <c r="G69" s="694">
        <f t="shared" si="8"/>
        <v>0</v>
      </c>
      <c r="H69" s="694">
        <f t="shared" si="8"/>
        <v>0</v>
      </c>
      <c r="I69" s="695">
        <f t="shared" si="8"/>
        <v>25000000</v>
      </c>
      <c r="J69" s="885"/>
    </row>
    <row r="70" spans="1:10" ht="12.75">
      <c r="A70" s="679" t="s">
        <v>271</v>
      </c>
      <c r="B70" s="701">
        <f>C70+E70+H70</f>
        <v>4707789</v>
      </c>
      <c r="C70" s="843">
        <v>1808862</v>
      </c>
      <c r="D70" s="688">
        <v>2898927</v>
      </c>
      <c r="E70" s="688">
        <v>2898927</v>
      </c>
      <c r="F70" s="688">
        <v>2836856</v>
      </c>
      <c r="G70" s="688">
        <v>14011</v>
      </c>
      <c r="H70" s="688"/>
      <c r="I70" s="690">
        <f>C70+F70</f>
        <v>4645718</v>
      </c>
      <c r="J70" s="885"/>
    </row>
    <row r="71" spans="1:10" ht="12.75">
      <c r="A71" s="680" t="s">
        <v>272</v>
      </c>
      <c r="B71" s="703">
        <f>C71+E71+H71</f>
        <v>1938160</v>
      </c>
      <c r="C71" s="840">
        <v>1938160</v>
      </c>
      <c r="D71" s="692"/>
      <c r="E71" s="692"/>
      <c r="F71" s="692">
        <v>89800</v>
      </c>
      <c r="G71" s="692"/>
      <c r="H71" s="692"/>
      <c r="I71" s="693">
        <f>C71+F71</f>
        <v>2027960</v>
      </c>
      <c r="J71" s="885"/>
    </row>
    <row r="72" spans="1:10" ht="12.75">
      <c r="A72" s="680" t="s">
        <v>273</v>
      </c>
      <c r="B72" s="703">
        <f>C72+E72+H72</f>
        <v>18354051</v>
      </c>
      <c r="C72" s="840">
        <v>9638758</v>
      </c>
      <c r="D72" s="692">
        <v>8715293</v>
      </c>
      <c r="E72" s="692">
        <v>8715293</v>
      </c>
      <c r="F72" s="692">
        <v>7868064</v>
      </c>
      <c r="G72" s="692">
        <v>805489</v>
      </c>
      <c r="H72" s="692"/>
      <c r="I72" s="693">
        <f>C72+F72</f>
        <v>17506822</v>
      </c>
      <c r="J72" s="885"/>
    </row>
    <row r="73" spans="1:10" ht="12.75">
      <c r="A73" s="680" t="s">
        <v>274</v>
      </c>
      <c r="B73" s="703">
        <f>C73+E73+H73</f>
        <v>0</v>
      </c>
      <c r="C73" s="692"/>
      <c r="D73" s="692"/>
      <c r="E73" s="692"/>
      <c r="F73" s="692"/>
      <c r="G73" s="692"/>
      <c r="H73" s="692"/>
      <c r="I73" s="693">
        <f>C73+F73</f>
        <v>0</v>
      </c>
      <c r="J73" s="885"/>
    </row>
    <row r="74" spans="1:10" ht="13.5" thickBot="1">
      <c r="A74" s="681"/>
      <c r="B74" s="705">
        <f>C74+E74+H74</f>
        <v>0</v>
      </c>
      <c r="C74" s="696"/>
      <c r="D74" s="696"/>
      <c r="E74" s="692"/>
      <c r="F74" s="696"/>
      <c r="G74" s="696"/>
      <c r="H74" s="692"/>
      <c r="I74" s="697">
        <f>C74+F74</f>
        <v>0</v>
      </c>
      <c r="J74" s="885"/>
    </row>
    <row r="75" spans="1:10" ht="13.5" thickBot="1">
      <c r="A75" s="682" t="s">
        <v>254</v>
      </c>
      <c r="B75" s="704">
        <f aca="true" t="shared" si="9" ref="B75:I75">SUM(B70:B74)</f>
        <v>25000000</v>
      </c>
      <c r="C75" s="694">
        <f t="shared" si="9"/>
        <v>13385780</v>
      </c>
      <c r="D75" s="694">
        <f t="shared" si="9"/>
        <v>11614220</v>
      </c>
      <c r="E75" s="694">
        <f t="shared" si="9"/>
        <v>11614220</v>
      </c>
      <c r="F75" s="694">
        <f t="shared" si="9"/>
        <v>10794720</v>
      </c>
      <c r="G75" s="694">
        <f t="shared" si="9"/>
        <v>819500</v>
      </c>
      <c r="H75" s="694">
        <f t="shared" si="9"/>
        <v>0</v>
      </c>
      <c r="I75" s="695">
        <f t="shared" si="9"/>
        <v>24180500</v>
      </c>
      <c r="J75" s="885"/>
    </row>
    <row r="76" ht="12.75">
      <c r="J76" s="885"/>
    </row>
    <row r="77" ht="12.75">
      <c r="J77" s="885"/>
    </row>
    <row r="78" spans="1:10" ht="32.25" customHeight="1">
      <c r="A78" s="906" t="s">
        <v>24</v>
      </c>
      <c r="B78" s="906"/>
      <c r="C78" s="909" t="s">
        <v>175</v>
      </c>
      <c r="D78" s="909"/>
      <c r="E78" s="909"/>
      <c r="F78" s="909"/>
      <c r="G78" s="838"/>
      <c r="H78" s="838"/>
      <c r="I78" s="838"/>
      <c r="J78" s="885"/>
    </row>
    <row r="79" spans="1:10" ht="15.75" thickBot="1">
      <c r="A79" s="667"/>
      <c r="B79" s="667"/>
      <c r="C79" s="667"/>
      <c r="D79" s="667"/>
      <c r="E79" s="667"/>
      <c r="F79" s="667"/>
      <c r="G79" s="667"/>
      <c r="H79" s="886" t="s">
        <v>7</v>
      </c>
      <c r="I79" s="886"/>
      <c r="J79" s="885"/>
    </row>
    <row r="80" spans="1:10" ht="13.5" customHeight="1" thickBot="1">
      <c r="A80" s="896" t="s">
        <v>263</v>
      </c>
      <c r="B80" s="899" t="s">
        <v>624</v>
      </c>
      <c r="C80" s="900"/>
      <c r="D80" s="900"/>
      <c r="E80" s="900"/>
      <c r="F80" s="901"/>
      <c r="G80" s="901"/>
      <c r="H80" s="901"/>
      <c r="I80" s="902"/>
      <c r="J80" s="885"/>
    </row>
    <row r="81" spans="1:10" ht="13.5" customHeight="1" thickBot="1">
      <c r="A81" s="897"/>
      <c r="B81" s="903" t="str">
        <f>B59</f>
        <v>Módosítás utáni összes forrás, kiadás</v>
      </c>
      <c r="C81" s="887" t="s">
        <v>22</v>
      </c>
      <c r="D81" s="888"/>
      <c r="E81" s="888"/>
      <c r="F81" s="888"/>
      <c r="G81" s="888"/>
      <c r="H81" s="888"/>
      <c r="I81" s="889"/>
      <c r="J81" s="885"/>
    </row>
    <row r="82" spans="1:10" ht="48.75" thickBot="1">
      <c r="A82" s="897"/>
      <c r="B82" s="904"/>
      <c r="C82" s="890" t="str">
        <f>CONCATENATE(Z_TARTALOMJEGYZÉK!$A$1,".  előtti forrás, kiadás")</f>
        <v>2019.  előtti forrás, kiadás</v>
      </c>
      <c r="D82" s="668" t="s">
        <v>626</v>
      </c>
      <c r="E82" s="668" t="s">
        <v>627</v>
      </c>
      <c r="F82" s="669" t="str">
        <f>CONCATENATE("Összes teljesítés ",Z_TARTALOMJEGYZÉK!$A$1,". XII.31 -ig")</f>
        <v>Összes teljesítés 2019. XII.31 -ig</v>
      </c>
      <c r="G82" s="669" t="s">
        <v>626</v>
      </c>
      <c r="H82" s="669" t="s">
        <v>627</v>
      </c>
      <c r="I82" s="669" t="str">
        <f>CONCATENATE("Összes teljesítés ",Z_TARTALOMJEGYZÉK!$A$1,". XII.31 -ig")</f>
        <v>Összes teljesítés 2019. XII.31 -ig</v>
      </c>
      <c r="J82" s="885"/>
    </row>
    <row r="83" spans="1:10" ht="13.5" thickBot="1">
      <c r="A83" s="898"/>
      <c r="B83" s="905"/>
      <c r="C83" s="891"/>
      <c r="D83" s="892" t="str">
        <f>CONCATENATE(Z_TARTALOMJEGYZÉK!$A$1,". évi")</f>
        <v>2019. évi</v>
      </c>
      <c r="E83" s="893"/>
      <c r="F83" s="894"/>
      <c r="G83" s="892" t="str">
        <f>CONCATENATE(Z_TARTALOMJEGYZÉK!$A$1,". után")</f>
        <v>2019. után</v>
      </c>
      <c r="H83" s="895"/>
      <c r="I83" s="894"/>
      <c r="J83" s="885"/>
    </row>
    <row r="84" spans="1:10" ht="13.5" thickBot="1">
      <c r="A84" s="670" t="s">
        <v>565</v>
      </c>
      <c r="B84" s="671" t="s">
        <v>27</v>
      </c>
      <c r="C84" s="672" t="s">
        <v>567</v>
      </c>
      <c r="D84" s="673" t="s">
        <v>569</v>
      </c>
      <c r="E84" s="673" t="s">
        <v>568</v>
      </c>
      <c r="F84" s="672" t="s">
        <v>570</v>
      </c>
      <c r="G84" s="672" t="s">
        <v>571</v>
      </c>
      <c r="H84" s="672" t="s">
        <v>572</v>
      </c>
      <c r="I84" s="674" t="s">
        <v>26</v>
      </c>
      <c r="J84" s="885"/>
    </row>
    <row r="85" spans="1:10" ht="12.75">
      <c r="A85" s="675" t="s">
        <v>264</v>
      </c>
      <c r="B85" s="701">
        <f aca="true" t="shared" si="10" ref="B85:B90">C85+E85+H85</f>
        <v>0</v>
      </c>
      <c r="C85" s="687"/>
      <c r="D85" s="688"/>
      <c r="E85" s="688"/>
      <c r="F85" s="698"/>
      <c r="G85" s="688"/>
      <c r="H85" s="689"/>
      <c r="I85" s="690">
        <f aca="true" t="shared" si="11" ref="I85:I90">C85+F85</f>
        <v>0</v>
      </c>
      <c r="J85" s="885"/>
    </row>
    <row r="86" spans="1:10" ht="12.75">
      <c r="A86" s="676" t="s">
        <v>275</v>
      </c>
      <c r="B86" s="702">
        <f t="shared" si="10"/>
        <v>0</v>
      </c>
      <c r="C86" s="691"/>
      <c r="D86" s="691"/>
      <c r="E86" s="692"/>
      <c r="F86" s="699"/>
      <c r="G86" s="691"/>
      <c r="H86" s="692"/>
      <c r="I86" s="693">
        <f t="shared" si="11"/>
        <v>0</v>
      </c>
      <c r="J86" s="885"/>
    </row>
    <row r="87" spans="1:10" ht="12.75">
      <c r="A87" s="677" t="s">
        <v>265</v>
      </c>
      <c r="B87" s="703">
        <f t="shared" si="10"/>
        <v>17634387</v>
      </c>
      <c r="C87" s="692">
        <v>6440000</v>
      </c>
      <c r="D87" s="692">
        <v>6598000</v>
      </c>
      <c r="E87" s="692">
        <v>7910590</v>
      </c>
      <c r="F87" s="692">
        <v>7910590</v>
      </c>
      <c r="G87" s="692">
        <v>3283797</v>
      </c>
      <c r="H87" s="692">
        <v>3283797</v>
      </c>
      <c r="I87" s="693">
        <f t="shared" si="11"/>
        <v>14350590</v>
      </c>
      <c r="J87" s="885"/>
    </row>
    <row r="88" spans="1:10" ht="12.75">
      <c r="A88" s="677" t="s">
        <v>276</v>
      </c>
      <c r="B88" s="703">
        <f t="shared" si="10"/>
        <v>0</v>
      </c>
      <c r="C88" s="692"/>
      <c r="D88" s="692"/>
      <c r="E88" s="692"/>
      <c r="F88" s="700"/>
      <c r="G88" s="692"/>
      <c r="H88" s="692"/>
      <c r="I88" s="693">
        <f t="shared" si="11"/>
        <v>0</v>
      </c>
      <c r="J88" s="885"/>
    </row>
    <row r="89" spans="1:10" ht="12.75">
      <c r="A89" s="677" t="s">
        <v>266</v>
      </c>
      <c r="B89" s="703">
        <f t="shared" si="10"/>
        <v>0</v>
      </c>
      <c r="C89" s="692"/>
      <c r="D89" s="692"/>
      <c r="E89" s="692"/>
      <c r="F89" s="700"/>
      <c r="G89" s="692"/>
      <c r="H89" s="692"/>
      <c r="I89" s="693">
        <f t="shared" si="11"/>
        <v>0</v>
      </c>
      <c r="J89" s="885"/>
    </row>
    <row r="90" spans="1:10" ht="13.5" thickBot="1">
      <c r="A90" s="677" t="s">
        <v>267</v>
      </c>
      <c r="B90" s="703">
        <f t="shared" si="10"/>
        <v>12</v>
      </c>
      <c r="C90" s="692"/>
      <c r="D90" s="692"/>
      <c r="E90" s="692">
        <v>4</v>
      </c>
      <c r="F90" s="692">
        <v>4</v>
      </c>
      <c r="G90" s="692">
        <v>8</v>
      </c>
      <c r="H90" s="692">
        <v>8</v>
      </c>
      <c r="I90" s="693">
        <f t="shared" si="11"/>
        <v>4</v>
      </c>
      <c r="J90" s="885"/>
    </row>
    <row r="91" spans="1:10" ht="13.5" thickBot="1">
      <c r="A91" s="678" t="s">
        <v>268</v>
      </c>
      <c r="B91" s="704">
        <f aca="true" t="shared" si="12" ref="B91:I91">B85+SUM(B87:B90)</f>
        <v>17634399</v>
      </c>
      <c r="C91" s="694">
        <f t="shared" si="12"/>
        <v>6440000</v>
      </c>
      <c r="D91" s="694">
        <f t="shared" si="12"/>
        <v>6598000</v>
      </c>
      <c r="E91" s="694">
        <f t="shared" si="12"/>
        <v>7910594</v>
      </c>
      <c r="F91" s="694">
        <f t="shared" si="12"/>
        <v>7910594</v>
      </c>
      <c r="G91" s="694">
        <f t="shared" si="12"/>
        <v>3283805</v>
      </c>
      <c r="H91" s="694">
        <f t="shared" si="12"/>
        <v>3283805</v>
      </c>
      <c r="I91" s="695">
        <f t="shared" si="12"/>
        <v>14350594</v>
      </c>
      <c r="J91" s="885"/>
    </row>
    <row r="92" spans="1:10" ht="12.75">
      <c r="A92" s="679" t="s">
        <v>271</v>
      </c>
      <c r="B92" s="701">
        <f>C92+E92+H92</f>
        <v>17584399</v>
      </c>
      <c r="C92" s="688">
        <v>2981093</v>
      </c>
      <c r="D92" s="688">
        <v>6593000</v>
      </c>
      <c r="E92" s="688">
        <v>6434696</v>
      </c>
      <c r="F92" s="688">
        <v>6434696</v>
      </c>
      <c r="G92" s="688">
        <v>8168610</v>
      </c>
      <c r="H92" s="688">
        <v>8168610</v>
      </c>
      <c r="I92" s="690">
        <f>C92+F92</f>
        <v>9415789</v>
      </c>
      <c r="J92" s="885"/>
    </row>
    <row r="93" spans="1:10" ht="12.75">
      <c r="A93" s="680" t="s">
        <v>272</v>
      </c>
      <c r="B93" s="703">
        <f>C93+E93+H93</f>
        <v>0</v>
      </c>
      <c r="C93" s="692"/>
      <c r="D93" s="692"/>
      <c r="E93" s="692"/>
      <c r="F93" s="692"/>
      <c r="G93" s="692"/>
      <c r="H93" s="692"/>
      <c r="I93" s="693">
        <f>C93+F93</f>
        <v>0</v>
      </c>
      <c r="J93" s="885"/>
    </row>
    <row r="94" spans="1:10" ht="12.75">
      <c r="A94" s="680" t="s">
        <v>273</v>
      </c>
      <c r="B94" s="703">
        <f>C94+E94+H94</f>
        <v>0</v>
      </c>
      <c r="C94" s="692"/>
      <c r="D94" s="692"/>
      <c r="E94" s="692"/>
      <c r="F94" s="692"/>
      <c r="G94" s="692"/>
      <c r="H94" s="692"/>
      <c r="I94" s="693">
        <f>C94+F94</f>
        <v>0</v>
      </c>
      <c r="J94" s="885"/>
    </row>
    <row r="95" spans="1:10" ht="12.75">
      <c r="A95" s="680" t="s">
        <v>274</v>
      </c>
      <c r="B95" s="703">
        <f>C95+E95+H95</f>
        <v>50000</v>
      </c>
      <c r="C95" s="692">
        <v>203</v>
      </c>
      <c r="D95" s="692">
        <v>5000</v>
      </c>
      <c r="E95" s="692">
        <v>613</v>
      </c>
      <c r="F95" s="692">
        <v>613</v>
      </c>
      <c r="G95" s="692">
        <v>49184</v>
      </c>
      <c r="H95" s="692">
        <v>49184</v>
      </c>
      <c r="I95" s="693">
        <f>C95+F95</f>
        <v>816</v>
      </c>
      <c r="J95" s="885"/>
    </row>
    <row r="96" spans="1:10" ht="13.5" thickBot="1">
      <c r="A96" s="681"/>
      <c r="B96" s="705">
        <f>C96+E96+H96</f>
        <v>0</v>
      </c>
      <c r="C96" s="696"/>
      <c r="D96" s="696"/>
      <c r="E96" s="692"/>
      <c r="F96" s="696"/>
      <c r="G96" s="696"/>
      <c r="H96" s="692"/>
      <c r="I96" s="697">
        <f>C96+F96</f>
        <v>0</v>
      </c>
      <c r="J96" s="885"/>
    </row>
    <row r="97" spans="1:10" ht="13.5" thickBot="1">
      <c r="A97" s="682" t="s">
        <v>254</v>
      </c>
      <c r="B97" s="704">
        <f aca="true" t="shared" si="13" ref="B97:I97">SUM(B92:B96)</f>
        <v>17634399</v>
      </c>
      <c r="C97" s="694">
        <f t="shared" si="13"/>
        <v>2981296</v>
      </c>
      <c r="D97" s="694">
        <f t="shared" si="13"/>
        <v>6598000</v>
      </c>
      <c r="E97" s="694">
        <f t="shared" si="13"/>
        <v>6435309</v>
      </c>
      <c r="F97" s="694">
        <f t="shared" si="13"/>
        <v>6435309</v>
      </c>
      <c r="G97" s="694">
        <f t="shared" si="13"/>
        <v>8217794</v>
      </c>
      <c r="H97" s="694">
        <f t="shared" si="13"/>
        <v>8217794</v>
      </c>
      <c r="I97" s="695">
        <f t="shared" si="13"/>
        <v>9416605</v>
      </c>
      <c r="J97" s="885"/>
    </row>
    <row r="98" ht="12.75">
      <c r="J98" s="885"/>
    </row>
    <row r="99" ht="12.75">
      <c r="J99" s="885"/>
    </row>
    <row r="100" spans="1:10" ht="14.25">
      <c r="A100" s="906" t="s">
        <v>24</v>
      </c>
      <c r="B100" s="906"/>
      <c r="C100" s="907" t="s">
        <v>176</v>
      </c>
      <c r="D100" s="908"/>
      <c r="E100" s="908"/>
      <c r="F100" s="908"/>
      <c r="G100" s="908"/>
      <c r="H100" s="908"/>
      <c r="I100" s="908"/>
      <c r="J100" s="885"/>
    </row>
    <row r="101" spans="1:10" ht="15.75" thickBot="1">
      <c r="A101" s="667"/>
      <c r="B101" s="667"/>
      <c r="C101" s="667"/>
      <c r="D101" s="667"/>
      <c r="E101" s="667"/>
      <c r="F101" s="667"/>
      <c r="G101" s="667"/>
      <c r="H101" s="886" t="s">
        <v>7</v>
      </c>
      <c r="I101" s="886"/>
      <c r="J101" s="885"/>
    </row>
    <row r="102" spans="1:10" ht="13.5" customHeight="1" thickBot="1">
      <c r="A102" s="896" t="s">
        <v>263</v>
      </c>
      <c r="B102" s="899" t="s">
        <v>624</v>
      </c>
      <c r="C102" s="900"/>
      <c r="D102" s="900"/>
      <c r="E102" s="900"/>
      <c r="F102" s="901"/>
      <c r="G102" s="901"/>
      <c r="H102" s="901"/>
      <c r="I102" s="902"/>
      <c r="J102" s="885"/>
    </row>
    <row r="103" spans="1:10" ht="13.5" customHeight="1" thickBot="1">
      <c r="A103" s="897"/>
      <c r="B103" s="903" t="str">
        <f>B81</f>
        <v>Módosítás utáni összes forrás, kiadás</v>
      </c>
      <c r="C103" s="887" t="s">
        <v>22</v>
      </c>
      <c r="D103" s="888"/>
      <c r="E103" s="888"/>
      <c r="F103" s="888"/>
      <c r="G103" s="888"/>
      <c r="H103" s="888"/>
      <c r="I103" s="889"/>
      <c r="J103" s="885"/>
    </row>
    <row r="104" spans="1:10" ht="48.75" customHeight="1" thickBot="1">
      <c r="A104" s="897"/>
      <c r="B104" s="904"/>
      <c r="C104" s="890" t="str">
        <f>CONCATENATE(Z_TARTALOMJEGYZÉK!$A$1,".  előtti forrás, kiadás")</f>
        <v>2019.  előtti forrás, kiadás</v>
      </c>
      <c r="D104" s="668" t="s">
        <v>626</v>
      </c>
      <c r="E104" s="668" t="s">
        <v>627</v>
      </c>
      <c r="F104" s="669" t="str">
        <f>CONCATENATE("Összes teljesítés ",Z_TARTALOMJEGYZÉK!$A$1,". XII.31 -ig")</f>
        <v>Összes teljesítés 2019. XII.31 -ig</v>
      </c>
      <c r="G104" s="669" t="s">
        <v>626</v>
      </c>
      <c r="H104" s="669" t="s">
        <v>627</v>
      </c>
      <c r="I104" s="669" t="str">
        <f>CONCATENATE("Összes teljesítés ",Z_TARTALOMJEGYZÉK!$A$1,". XII.31 -ig")</f>
        <v>Összes teljesítés 2019. XII.31 -ig</v>
      </c>
      <c r="J104" s="885"/>
    </row>
    <row r="105" spans="1:10" ht="13.5" thickBot="1">
      <c r="A105" s="898"/>
      <c r="B105" s="905"/>
      <c r="C105" s="891"/>
      <c r="D105" s="892" t="str">
        <f>CONCATENATE(Z_TARTALOMJEGYZÉK!$A$1,". évi")</f>
        <v>2019. évi</v>
      </c>
      <c r="E105" s="893"/>
      <c r="F105" s="894"/>
      <c r="G105" s="892" t="str">
        <f>CONCATENATE(Z_TARTALOMJEGYZÉK!$A$1,". után")</f>
        <v>2019. után</v>
      </c>
      <c r="H105" s="895"/>
      <c r="I105" s="894"/>
      <c r="J105" s="885"/>
    </row>
    <row r="106" spans="1:10" ht="13.5" thickBot="1">
      <c r="A106" s="670" t="s">
        <v>565</v>
      </c>
      <c r="B106" s="671" t="s">
        <v>27</v>
      </c>
      <c r="C106" s="672" t="s">
        <v>567</v>
      </c>
      <c r="D106" s="673" t="s">
        <v>569</v>
      </c>
      <c r="E106" s="673" t="s">
        <v>568</v>
      </c>
      <c r="F106" s="672" t="s">
        <v>570</v>
      </c>
      <c r="G106" s="672" t="s">
        <v>571</v>
      </c>
      <c r="H106" s="672" t="s">
        <v>572</v>
      </c>
      <c r="I106" s="674" t="s">
        <v>26</v>
      </c>
      <c r="J106" s="885"/>
    </row>
    <row r="107" spans="1:10" ht="12.75">
      <c r="A107" s="675" t="s">
        <v>264</v>
      </c>
      <c r="B107" s="701">
        <f aca="true" t="shared" si="14" ref="B107:B112">C107+E107+H107</f>
        <v>0</v>
      </c>
      <c r="C107" s="687"/>
      <c r="D107" s="688"/>
      <c r="E107" s="688"/>
      <c r="F107" s="698"/>
      <c r="G107" s="688"/>
      <c r="H107" s="689"/>
      <c r="I107" s="690">
        <f aca="true" t="shared" si="15" ref="I107:I112">C107+F107</f>
        <v>0</v>
      </c>
      <c r="J107" s="885"/>
    </row>
    <row r="108" spans="1:10" ht="12.75">
      <c r="A108" s="676" t="s">
        <v>275</v>
      </c>
      <c r="B108" s="702">
        <f t="shared" si="14"/>
        <v>0</v>
      </c>
      <c r="C108" s="691"/>
      <c r="D108" s="691"/>
      <c r="E108" s="692"/>
      <c r="F108" s="699"/>
      <c r="G108" s="691"/>
      <c r="H108" s="692"/>
      <c r="I108" s="693">
        <f t="shared" si="15"/>
        <v>0</v>
      </c>
      <c r="J108" s="885"/>
    </row>
    <row r="109" spans="1:10" ht="12.75">
      <c r="A109" s="677" t="s">
        <v>265</v>
      </c>
      <c r="B109" s="703">
        <f t="shared" si="14"/>
        <v>23135739</v>
      </c>
      <c r="C109" s="692"/>
      <c r="D109" s="692"/>
      <c r="E109" s="692">
        <v>21241565</v>
      </c>
      <c r="F109" s="700">
        <v>21241565</v>
      </c>
      <c r="G109" s="692">
        <v>409097</v>
      </c>
      <c r="H109" s="692">
        <v>1894174</v>
      </c>
      <c r="I109" s="693">
        <f t="shared" si="15"/>
        <v>21241565</v>
      </c>
      <c r="J109" s="885"/>
    </row>
    <row r="110" spans="1:10" ht="12.75">
      <c r="A110" s="677" t="s">
        <v>276</v>
      </c>
      <c r="B110" s="703">
        <f t="shared" si="14"/>
        <v>0</v>
      </c>
      <c r="C110" s="692"/>
      <c r="D110" s="692"/>
      <c r="E110" s="692"/>
      <c r="F110" s="700"/>
      <c r="G110" s="692"/>
      <c r="H110" s="692"/>
      <c r="I110" s="693">
        <f t="shared" si="15"/>
        <v>0</v>
      </c>
      <c r="J110" s="885"/>
    </row>
    <row r="111" spans="1:10" ht="12.75">
      <c r="A111" s="677" t="s">
        <v>266</v>
      </c>
      <c r="B111" s="703">
        <f t="shared" si="14"/>
        <v>0</v>
      </c>
      <c r="C111" s="692"/>
      <c r="D111" s="692"/>
      <c r="E111" s="692"/>
      <c r="F111" s="700"/>
      <c r="G111" s="692"/>
      <c r="H111" s="692"/>
      <c r="I111" s="693">
        <f t="shared" si="15"/>
        <v>0</v>
      </c>
      <c r="J111" s="885"/>
    </row>
    <row r="112" spans="1:10" ht="13.5" thickBot="1">
      <c r="A112" s="677" t="s">
        <v>267</v>
      </c>
      <c r="B112" s="703">
        <f t="shared" si="14"/>
        <v>15921738</v>
      </c>
      <c r="C112" s="692"/>
      <c r="D112" s="692"/>
      <c r="E112" s="692">
        <v>15921738</v>
      </c>
      <c r="F112" s="700">
        <v>15921738</v>
      </c>
      <c r="G112" s="692"/>
      <c r="H112" s="692"/>
      <c r="I112" s="693">
        <f t="shared" si="15"/>
        <v>15921738</v>
      </c>
      <c r="J112" s="885"/>
    </row>
    <row r="113" spans="1:10" ht="13.5" thickBot="1">
      <c r="A113" s="678" t="s">
        <v>268</v>
      </c>
      <c r="B113" s="704">
        <f aca="true" t="shared" si="16" ref="B113:I113">B107+SUM(B109:B112)</f>
        <v>39057477</v>
      </c>
      <c r="C113" s="694">
        <f t="shared" si="16"/>
        <v>0</v>
      </c>
      <c r="D113" s="694">
        <f t="shared" si="16"/>
        <v>0</v>
      </c>
      <c r="E113" s="694">
        <f t="shared" si="16"/>
        <v>37163303</v>
      </c>
      <c r="F113" s="694">
        <f t="shared" si="16"/>
        <v>37163303</v>
      </c>
      <c r="G113" s="694">
        <f t="shared" si="16"/>
        <v>409097</v>
      </c>
      <c r="H113" s="694">
        <f t="shared" si="16"/>
        <v>1894174</v>
      </c>
      <c r="I113" s="695">
        <f t="shared" si="16"/>
        <v>37163303</v>
      </c>
      <c r="J113" s="885"/>
    </row>
    <row r="114" spans="1:10" ht="12.75">
      <c r="A114" s="679" t="s">
        <v>271</v>
      </c>
      <c r="B114" s="701">
        <f>C114+E114+H114</f>
        <v>824604</v>
      </c>
      <c r="C114" s="688"/>
      <c r="D114" s="688"/>
      <c r="E114" s="688">
        <v>572388</v>
      </c>
      <c r="F114" s="688">
        <v>444390</v>
      </c>
      <c r="G114" s="688">
        <v>252216</v>
      </c>
      <c r="H114" s="688">
        <v>252216</v>
      </c>
      <c r="I114" s="690">
        <f>C114+F114</f>
        <v>444390</v>
      </c>
      <c r="J114" s="885"/>
    </row>
    <row r="115" spans="1:10" ht="12.75">
      <c r="A115" s="680" t="s">
        <v>272</v>
      </c>
      <c r="B115" s="703">
        <f>C115+E115+H115</f>
        <v>0</v>
      </c>
      <c r="C115" s="692"/>
      <c r="D115" s="692"/>
      <c r="E115" s="692"/>
      <c r="F115" s="692"/>
      <c r="G115" s="692"/>
      <c r="H115" s="692"/>
      <c r="I115" s="693">
        <f>C115+F115</f>
        <v>0</v>
      </c>
      <c r="J115" s="885"/>
    </row>
    <row r="116" spans="1:10" ht="12.75">
      <c r="A116" s="680" t="s">
        <v>273</v>
      </c>
      <c r="B116" s="703">
        <f>C116+E116+H116</f>
        <v>3786006</v>
      </c>
      <c r="C116" s="692"/>
      <c r="D116" s="692"/>
      <c r="E116" s="692">
        <v>2144048</v>
      </c>
      <c r="F116" s="692">
        <v>789781</v>
      </c>
      <c r="G116" s="692">
        <v>1641958</v>
      </c>
      <c r="H116" s="692">
        <v>1641958</v>
      </c>
      <c r="I116" s="693">
        <f>C116+F116</f>
        <v>789781</v>
      </c>
      <c r="J116" s="885"/>
    </row>
    <row r="117" spans="1:10" ht="12.75">
      <c r="A117" s="680" t="s">
        <v>274</v>
      </c>
      <c r="B117" s="703">
        <f>C117+E117+H117</f>
        <v>19030746</v>
      </c>
      <c r="C117" s="692"/>
      <c r="D117" s="692"/>
      <c r="E117" s="692">
        <v>19030746</v>
      </c>
      <c r="F117" s="692">
        <v>19027934</v>
      </c>
      <c r="G117" s="692"/>
      <c r="H117" s="692"/>
      <c r="I117" s="693">
        <f>C117+F117</f>
        <v>19027934</v>
      </c>
      <c r="J117" s="885"/>
    </row>
    <row r="118" spans="1:10" ht="13.5" thickBot="1">
      <c r="A118" s="681" t="s">
        <v>177</v>
      </c>
      <c r="B118" s="705">
        <f>C118+E118+H118</f>
        <v>15416121</v>
      </c>
      <c r="C118" s="696"/>
      <c r="D118" s="696"/>
      <c r="E118" s="692"/>
      <c r="F118" s="696"/>
      <c r="G118" s="696">
        <v>15416121</v>
      </c>
      <c r="H118" s="692">
        <v>15416121</v>
      </c>
      <c r="I118" s="697">
        <f>C118+F118</f>
        <v>0</v>
      </c>
      <c r="J118" s="885"/>
    </row>
    <row r="119" spans="1:10" ht="13.5" thickBot="1">
      <c r="A119" s="682" t="s">
        <v>254</v>
      </c>
      <c r="B119" s="704">
        <f aca="true" t="shared" si="17" ref="B119:I119">SUM(B114:B118)</f>
        <v>39057477</v>
      </c>
      <c r="C119" s="694">
        <f t="shared" si="17"/>
        <v>0</v>
      </c>
      <c r="D119" s="694">
        <f t="shared" si="17"/>
        <v>0</v>
      </c>
      <c r="E119" s="694">
        <f t="shared" si="17"/>
        <v>21747182</v>
      </c>
      <c r="F119" s="694">
        <f t="shared" si="17"/>
        <v>20262105</v>
      </c>
      <c r="G119" s="694">
        <f t="shared" si="17"/>
        <v>17310295</v>
      </c>
      <c r="H119" s="694">
        <f t="shared" si="17"/>
        <v>17310295</v>
      </c>
      <c r="I119" s="695">
        <f t="shared" si="17"/>
        <v>20262105</v>
      </c>
      <c r="J119" s="885"/>
    </row>
    <row r="120" ht="12.75">
      <c r="J120" s="885"/>
    </row>
    <row r="121" ht="12.75">
      <c r="J121" s="885"/>
    </row>
  </sheetData>
  <sheetProtection/>
  <mergeCells count="65">
    <mergeCell ref="A7:F7"/>
    <mergeCell ref="C12:F12"/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C34:F34"/>
    <mergeCell ref="A12:B12"/>
    <mergeCell ref="H13:I13"/>
    <mergeCell ref="A14:A17"/>
    <mergeCell ref="B14:I14"/>
    <mergeCell ref="B15:B17"/>
    <mergeCell ref="C15:I15"/>
    <mergeCell ref="C16:C17"/>
    <mergeCell ref="D17:F17"/>
    <mergeCell ref="G17:I17"/>
    <mergeCell ref="J56:J77"/>
    <mergeCell ref="H57:I57"/>
    <mergeCell ref="A32:I32"/>
    <mergeCell ref="A34:B34"/>
    <mergeCell ref="J34:J55"/>
    <mergeCell ref="H35:I35"/>
    <mergeCell ref="A36:A39"/>
    <mergeCell ref="B36:I36"/>
    <mergeCell ref="B37:B39"/>
    <mergeCell ref="C37:I37"/>
    <mergeCell ref="A80:A83"/>
    <mergeCell ref="B80:I80"/>
    <mergeCell ref="B81:B83"/>
    <mergeCell ref="D39:F39"/>
    <mergeCell ref="G39:I39"/>
    <mergeCell ref="A56:B56"/>
    <mergeCell ref="C38:C39"/>
    <mergeCell ref="C56:F56"/>
    <mergeCell ref="C78:F78"/>
    <mergeCell ref="A100:B100"/>
    <mergeCell ref="C100:I100"/>
    <mergeCell ref="C60:C61"/>
    <mergeCell ref="D61:F61"/>
    <mergeCell ref="G61:I61"/>
    <mergeCell ref="A78:B78"/>
    <mergeCell ref="A58:A61"/>
    <mergeCell ref="B58:I58"/>
    <mergeCell ref="B59:B61"/>
    <mergeCell ref="C59:I59"/>
    <mergeCell ref="A102:A105"/>
    <mergeCell ref="B102:I102"/>
    <mergeCell ref="B103:B105"/>
    <mergeCell ref="C103:I103"/>
    <mergeCell ref="C104:C105"/>
    <mergeCell ref="D105:F105"/>
    <mergeCell ref="G105:I105"/>
    <mergeCell ref="J100:J121"/>
    <mergeCell ref="H101:I101"/>
    <mergeCell ref="C81:I81"/>
    <mergeCell ref="C82:C83"/>
    <mergeCell ref="D83:F83"/>
    <mergeCell ref="G83:I83"/>
    <mergeCell ref="J78:J99"/>
    <mergeCell ref="H79:I7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4" manualBreakCount="4">
    <brk id="33" max="255" man="1"/>
    <brk id="55" max="255" man="1"/>
    <brk id="77" max="255" man="1"/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9">
      <selection activeCell="C30" sqref="C30:E36"/>
    </sheetView>
  </sheetViews>
  <sheetFormatPr defaultColWidth="9.00390625" defaultRowHeight="12.75"/>
  <cols>
    <col min="1" max="1" width="16.125" style="157" customWidth="1"/>
    <col min="2" max="2" width="63.875" style="158" customWidth="1"/>
    <col min="3" max="3" width="14.125" style="159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17"/>
      <c r="B1" s="932" t="str">
        <f>CONCATENATE("6.1. melléklet ",Z_ALAPADATOK!A7," ",Z_ALAPADATOK!B7," ",Z_ALAPADATOK!C7," ",Z_ALAPADATOK!D7," ",Z_ALAPADATOK!E7," ",Z_ALAPADATOK!F7," ",Z_ALAPADATOK!G7," ",Z_ALAPADATOK!H7)</f>
        <v>6.1. melléklet a … / 2020. ( … ) önkormányzati rendelethez</v>
      </c>
      <c r="C1" s="933"/>
      <c r="D1" s="933"/>
      <c r="E1" s="933"/>
    </row>
    <row r="2" spans="1:5" s="46" customFormat="1" ht="21" customHeight="1" thickBot="1">
      <c r="A2" s="326" t="s">
        <v>224</v>
      </c>
      <c r="B2" s="934" t="str">
        <f>CONCATENATE(Z_ALAPADATOK!A3)</f>
        <v>Elek Város Önkormányzata</v>
      </c>
      <c r="C2" s="934"/>
      <c r="D2" s="934"/>
      <c r="E2" s="327" t="s">
        <v>218</v>
      </c>
    </row>
    <row r="3" spans="1:5" s="46" customFormat="1" ht="24.75" thickBot="1">
      <c r="A3" s="326" t="s">
        <v>315</v>
      </c>
      <c r="B3" s="934" t="s">
        <v>483</v>
      </c>
      <c r="C3" s="934"/>
      <c r="D3" s="934"/>
      <c r="E3" s="328" t="s">
        <v>218</v>
      </c>
    </row>
    <row r="4" spans="1:5" s="47" customFormat="1" ht="15.75" customHeight="1" thickBot="1">
      <c r="A4" s="320"/>
      <c r="B4" s="320"/>
      <c r="C4" s="321"/>
      <c r="D4" s="322"/>
      <c r="E4" s="331" t="str">
        <f>'Z_4.sz.mell.'!G4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+CONCATENATE("Teljesítés",CHAR(10),LEFT(Z_ÖSSZEFÜGGÉSEK!A6,4),". XII. 31.")</f>
        <v>Teljesítés
2019. XII. 31.</v>
      </c>
    </row>
    <row r="6" spans="1:5" s="42" customFormat="1" ht="12.75" customHeight="1" thickBot="1">
      <c r="A6" s="72" t="s">
        <v>565</v>
      </c>
      <c r="B6" s="73" t="s">
        <v>566</v>
      </c>
      <c r="C6" s="73" t="s">
        <v>567</v>
      </c>
      <c r="D6" s="279" t="s">
        <v>569</v>
      </c>
      <c r="E6" s="74" t="s">
        <v>568</v>
      </c>
    </row>
    <row r="7" spans="1:5" s="42" customFormat="1" ht="15.75" customHeight="1" thickBot="1">
      <c r="A7" s="929" t="s">
        <v>219</v>
      </c>
      <c r="B7" s="930"/>
      <c r="C7" s="930"/>
      <c r="D7" s="930"/>
      <c r="E7" s="931"/>
    </row>
    <row r="8" spans="1:5" s="42" customFormat="1" ht="12" customHeight="1" thickBot="1">
      <c r="A8" s="25" t="s">
        <v>186</v>
      </c>
      <c r="B8" s="19" t="s">
        <v>342</v>
      </c>
      <c r="C8" s="164">
        <f>+C9+C10+C11+C12+C13+C14</f>
        <v>413947518</v>
      </c>
      <c r="D8" s="246">
        <f>+D9+D10+D11+D12+D13+D14</f>
        <v>472195561</v>
      </c>
      <c r="E8" s="100">
        <f>+E9+E10+E11+E12+E13+E14</f>
        <v>472195561</v>
      </c>
    </row>
    <row r="9" spans="1:5" s="48" customFormat="1" ht="12" customHeight="1">
      <c r="A9" s="194" t="s">
        <v>243</v>
      </c>
      <c r="B9" s="177" t="s">
        <v>343</v>
      </c>
      <c r="C9" s="166">
        <v>180621648</v>
      </c>
      <c r="D9" s="247">
        <v>186418794</v>
      </c>
      <c r="E9" s="247">
        <v>186418794</v>
      </c>
    </row>
    <row r="10" spans="1:5" s="49" customFormat="1" ht="12" customHeight="1">
      <c r="A10" s="195" t="s">
        <v>244</v>
      </c>
      <c r="B10" s="178" t="s">
        <v>344</v>
      </c>
      <c r="C10" s="165">
        <v>91830668</v>
      </c>
      <c r="D10" s="248">
        <v>92224426</v>
      </c>
      <c r="E10" s="248">
        <v>92224426</v>
      </c>
    </row>
    <row r="11" spans="1:5" s="49" customFormat="1" ht="12" customHeight="1">
      <c r="A11" s="195" t="s">
        <v>245</v>
      </c>
      <c r="B11" s="178" t="s">
        <v>345</v>
      </c>
      <c r="C11" s="165">
        <v>135618232</v>
      </c>
      <c r="D11" s="248">
        <v>154357883</v>
      </c>
      <c r="E11" s="248">
        <v>154357883</v>
      </c>
    </row>
    <row r="12" spans="1:5" s="49" customFormat="1" ht="12" customHeight="1">
      <c r="A12" s="195" t="s">
        <v>246</v>
      </c>
      <c r="B12" s="178" t="s">
        <v>346</v>
      </c>
      <c r="C12" s="165">
        <v>5876970</v>
      </c>
      <c r="D12" s="248">
        <v>6759903</v>
      </c>
      <c r="E12" s="248">
        <v>6759903</v>
      </c>
    </row>
    <row r="13" spans="1:5" s="49" customFormat="1" ht="12" customHeight="1">
      <c r="A13" s="195" t="s">
        <v>277</v>
      </c>
      <c r="B13" s="178" t="s">
        <v>573</v>
      </c>
      <c r="C13" s="165"/>
      <c r="D13" s="248">
        <v>32434555</v>
      </c>
      <c r="E13" s="248">
        <v>32434555</v>
      </c>
    </row>
    <row r="14" spans="1:5" s="48" customFormat="1" ht="12" customHeight="1" thickBot="1">
      <c r="A14" s="196" t="s">
        <v>247</v>
      </c>
      <c r="B14" s="179" t="s">
        <v>514</v>
      </c>
      <c r="C14" s="165"/>
      <c r="D14" s="248"/>
      <c r="E14" s="101"/>
    </row>
    <row r="15" spans="1:5" s="48" customFormat="1" ht="12" customHeight="1" thickBot="1">
      <c r="A15" s="25" t="s">
        <v>187</v>
      </c>
      <c r="B15" s="107" t="s">
        <v>347</v>
      </c>
      <c r="C15" s="164">
        <f>+C16+C17+C18+C19+C20</f>
        <v>22781887</v>
      </c>
      <c r="D15" s="246">
        <f>+D16+D17+D18+D19+D20</f>
        <v>211394832</v>
      </c>
      <c r="E15" s="100">
        <f>+E16+E17+E18+E19+E20</f>
        <v>211394832</v>
      </c>
    </row>
    <row r="16" spans="1:5" s="48" customFormat="1" ht="12" customHeight="1">
      <c r="A16" s="194" t="s">
        <v>249</v>
      </c>
      <c r="B16" s="177" t="s">
        <v>348</v>
      </c>
      <c r="C16" s="166"/>
      <c r="D16" s="247"/>
      <c r="E16" s="102"/>
    </row>
    <row r="17" spans="1:5" s="48" customFormat="1" ht="12" customHeight="1">
      <c r="A17" s="195" t="s">
        <v>250</v>
      </c>
      <c r="B17" s="178" t="s">
        <v>349</v>
      </c>
      <c r="C17" s="165"/>
      <c r="D17" s="248"/>
      <c r="E17" s="101"/>
    </row>
    <row r="18" spans="1:5" s="48" customFormat="1" ht="12" customHeight="1">
      <c r="A18" s="195" t="s">
        <v>251</v>
      </c>
      <c r="B18" s="178" t="s">
        <v>505</v>
      </c>
      <c r="C18" s="165"/>
      <c r="D18" s="248"/>
      <c r="E18" s="101"/>
    </row>
    <row r="19" spans="1:5" s="48" customFormat="1" ht="12" customHeight="1">
      <c r="A19" s="195" t="s">
        <v>252</v>
      </c>
      <c r="B19" s="178" t="s">
        <v>506</v>
      </c>
      <c r="C19" s="165"/>
      <c r="D19" s="248"/>
      <c r="E19" s="101"/>
    </row>
    <row r="20" spans="1:5" s="48" customFormat="1" ht="12" customHeight="1">
      <c r="A20" s="195" t="s">
        <v>253</v>
      </c>
      <c r="B20" s="178" t="s">
        <v>350</v>
      </c>
      <c r="C20" s="165">
        <v>22781887</v>
      </c>
      <c r="D20" s="248">
        <v>211394832</v>
      </c>
      <c r="E20" s="101">
        <v>211394832</v>
      </c>
    </row>
    <row r="21" spans="1:5" s="49" customFormat="1" ht="12" customHeight="1" thickBot="1">
      <c r="A21" s="196" t="s">
        <v>260</v>
      </c>
      <c r="B21" s="179" t="s">
        <v>351</v>
      </c>
      <c r="C21" s="167">
        <v>3139296</v>
      </c>
      <c r="D21" s="249">
        <v>7910590</v>
      </c>
      <c r="E21" s="103">
        <v>10211730</v>
      </c>
    </row>
    <row r="22" spans="1:5" s="49" customFormat="1" ht="12" customHeight="1" thickBot="1">
      <c r="A22" s="25" t="s">
        <v>188</v>
      </c>
      <c r="B22" s="19" t="s">
        <v>352</v>
      </c>
      <c r="C22" s="164">
        <f>+C23+C24+C25+C26+C27</f>
        <v>8856290</v>
      </c>
      <c r="D22" s="246">
        <f>+D23+D24+D25+D26+D27</f>
        <v>40305785</v>
      </c>
      <c r="E22" s="100">
        <f>+E23+E24+E25+E26+E27</f>
        <v>40305785</v>
      </c>
    </row>
    <row r="23" spans="1:5" s="49" customFormat="1" ht="12" customHeight="1">
      <c r="A23" s="194" t="s">
        <v>232</v>
      </c>
      <c r="B23" s="177" t="s">
        <v>353</v>
      </c>
      <c r="C23" s="166"/>
      <c r="D23" s="247">
        <v>268000</v>
      </c>
      <c r="E23" s="102">
        <v>268000</v>
      </c>
    </row>
    <row r="24" spans="1:5" s="48" customFormat="1" ht="12" customHeight="1">
      <c r="A24" s="195" t="s">
        <v>233</v>
      </c>
      <c r="B24" s="178" t="s">
        <v>354</v>
      </c>
      <c r="C24" s="165"/>
      <c r="D24" s="248"/>
      <c r="E24" s="101"/>
    </row>
    <row r="25" spans="1:5" s="49" customFormat="1" ht="12" customHeight="1">
      <c r="A25" s="195" t="s">
        <v>234</v>
      </c>
      <c r="B25" s="178" t="s">
        <v>507</v>
      </c>
      <c r="C25" s="165"/>
      <c r="D25" s="248"/>
      <c r="E25" s="101"/>
    </row>
    <row r="26" spans="1:5" s="49" customFormat="1" ht="12" customHeight="1">
      <c r="A26" s="195" t="s">
        <v>235</v>
      </c>
      <c r="B26" s="178" t="s">
        <v>508</v>
      </c>
      <c r="C26" s="165"/>
      <c r="D26" s="248"/>
      <c r="E26" s="101"/>
    </row>
    <row r="27" spans="1:5" s="49" customFormat="1" ht="12" customHeight="1">
      <c r="A27" s="195" t="s">
        <v>290</v>
      </c>
      <c r="B27" s="178" t="s">
        <v>355</v>
      </c>
      <c r="C27" s="165">
        <v>8856290</v>
      </c>
      <c r="D27" s="248">
        <v>40037785</v>
      </c>
      <c r="E27" s="101">
        <v>40037785</v>
      </c>
    </row>
    <row r="28" spans="1:5" s="49" customFormat="1" ht="12" customHeight="1" thickBot="1">
      <c r="A28" s="196" t="s">
        <v>291</v>
      </c>
      <c r="B28" s="179" t="s">
        <v>356</v>
      </c>
      <c r="C28" s="167"/>
      <c r="D28" s="249"/>
      <c r="E28" s="103"/>
    </row>
    <row r="29" spans="1:5" s="49" customFormat="1" ht="12" customHeight="1" thickBot="1">
      <c r="A29" s="25" t="s">
        <v>292</v>
      </c>
      <c r="B29" s="19" t="s">
        <v>656</v>
      </c>
      <c r="C29" s="170">
        <f>SUM(C30:C36)</f>
        <v>60000000</v>
      </c>
      <c r="D29" s="170">
        <f>SUM(D30:D36)</f>
        <v>74848030</v>
      </c>
      <c r="E29" s="206">
        <f>SUM(E30:E36)</f>
        <v>74848030</v>
      </c>
    </row>
    <row r="30" spans="1:5" s="49" customFormat="1" ht="12" customHeight="1">
      <c r="A30" s="194" t="s">
        <v>357</v>
      </c>
      <c r="B30" s="177" t="str">
        <f>'Z_1.1.sz.mell.'!B33</f>
        <v>Magánszemélyek kommunális adója</v>
      </c>
      <c r="C30" s="166">
        <v>4500000</v>
      </c>
      <c r="D30" s="166">
        <v>4673191</v>
      </c>
      <c r="E30" s="166">
        <v>4673191</v>
      </c>
    </row>
    <row r="31" spans="1:5" s="49" customFormat="1" ht="12" customHeight="1">
      <c r="A31" s="195" t="s">
        <v>358</v>
      </c>
      <c r="B31" s="177" t="str">
        <f>'Z_1.1.sz.mell.'!B34</f>
        <v>Idegenforgalmi adó </v>
      </c>
      <c r="C31" s="165"/>
      <c r="D31" s="165"/>
      <c r="E31" s="165"/>
    </row>
    <row r="32" spans="1:5" s="49" customFormat="1" ht="12" customHeight="1">
      <c r="A32" s="195" t="s">
        <v>359</v>
      </c>
      <c r="B32" s="177" t="str">
        <f>'Z_1.1.sz.mell.'!B35</f>
        <v>Iparűzési adó</v>
      </c>
      <c r="C32" s="165">
        <v>48000000</v>
      </c>
      <c r="D32" s="165">
        <v>59690359</v>
      </c>
      <c r="E32" s="165">
        <v>59690359</v>
      </c>
    </row>
    <row r="33" spans="1:5" s="49" customFormat="1" ht="12" customHeight="1">
      <c r="A33" s="195" t="s">
        <v>360</v>
      </c>
      <c r="B33" s="177" t="str">
        <f>'Z_1.1.sz.mell.'!B36</f>
        <v>Talajterhelési díj</v>
      </c>
      <c r="C33" s="165"/>
      <c r="D33" s="165"/>
      <c r="E33" s="165"/>
    </row>
    <row r="34" spans="1:5" s="49" customFormat="1" ht="12" customHeight="1">
      <c r="A34" s="195" t="s">
        <v>660</v>
      </c>
      <c r="B34" s="177" t="str">
        <f>'Z_1.1.sz.mell.'!B37</f>
        <v>Gépjárműadó</v>
      </c>
      <c r="C34" s="165">
        <v>7500000</v>
      </c>
      <c r="D34" s="165">
        <v>9880000</v>
      </c>
      <c r="E34" s="165">
        <v>9880000</v>
      </c>
    </row>
    <row r="35" spans="1:5" s="49" customFormat="1" ht="12" customHeight="1">
      <c r="A35" s="195" t="s">
        <v>661</v>
      </c>
      <c r="B35" s="177" t="str">
        <f>'Z_1.1.sz.mell.'!B38</f>
        <v>Telekadó</v>
      </c>
      <c r="C35" s="165"/>
      <c r="D35" s="165"/>
      <c r="E35" s="165"/>
    </row>
    <row r="36" spans="1:5" s="49" customFormat="1" ht="12" customHeight="1" thickBot="1">
      <c r="A36" s="196" t="s">
        <v>662</v>
      </c>
      <c r="B36" s="177" t="str">
        <f>'Z_1.1.sz.mell.'!B39</f>
        <v>Egyéb közhatalmi bevételek</v>
      </c>
      <c r="C36" s="167"/>
      <c r="D36" s="167">
        <v>604480</v>
      </c>
      <c r="E36" s="167">
        <v>604480</v>
      </c>
    </row>
    <row r="37" spans="1:5" s="49" customFormat="1" ht="12" customHeight="1" thickBot="1">
      <c r="A37" s="25" t="s">
        <v>190</v>
      </c>
      <c r="B37" s="19" t="s">
        <v>515</v>
      </c>
      <c r="C37" s="164">
        <f>SUM(C38:C48)</f>
        <v>42009800</v>
      </c>
      <c r="D37" s="246">
        <f>SUM(D38:D48)</f>
        <v>40208628</v>
      </c>
      <c r="E37" s="100">
        <f>SUM(E38:E48)</f>
        <v>40208630</v>
      </c>
    </row>
    <row r="38" spans="1:5" s="49" customFormat="1" ht="12" customHeight="1">
      <c r="A38" s="194" t="s">
        <v>236</v>
      </c>
      <c r="B38" s="177" t="s">
        <v>364</v>
      </c>
      <c r="C38" s="166">
        <v>5500000</v>
      </c>
      <c r="D38" s="247">
        <v>4975455</v>
      </c>
      <c r="E38" s="247">
        <v>4975455</v>
      </c>
    </row>
    <row r="39" spans="1:5" s="49" customFormat="1" ht="12" customHeight="1">
      <c r="A39" s="195" t="s">
        <v>237</v>
      </c>
      <c r="B39" s="178" t="s">
        <v>365</v>
      </c>
      <c r="C39" s="165">
        <v>5986000</v>
      </c>
      <c r="D39" s="248">
        <v>7614416</v>
      </c>
      <c r="E39" s="248">
        <v>7614416</v>
      </c>
    </row>
    <row r="40" spans="1:5" s="49" customFormat="1" ht="12" customHeight="1">
      <c r="A40" s="195" t="s">
        <v>238</v>
      </c>
      <c r="B40" s="178" t="s">
        <v>366</v>
      </c>
      <c r="C40" s="165">
        <v>8300000</v>
      </c>
      <c r="D40" s="248">
        <v>2890662</v>
      </c>
      <c r="E40" s="248">
        <v>2890662</v>
      </c>
    </row>
    <row r="41" spans="1:5" s="49" customFormat="1" ht="12" customHeight="1">
      <c r="A41" s="195" t="s">
        <v>294</v>
      </c>
      <c r="B41" s="178" t="s">
        <v>367</v>
      </c>
      <c r="C41" s="165">
        <v>14341000</v>
      </c>
      <c r="D41" s="248">
        <v>10872798</v>
      </c>
      <c r="E41" s="248">
        <v>10872798</v>
      </c>
    </row>
    <row r="42" spans="1:5" s="49" customFormat="1" ht="12" customHeight="1">
      <c r="A42" s="195" t="s">
        <v>295</v>
      </c>
      <c r="B42" s="178" t="s">
        <v>368</v>
      </c>
      <c r="C42" s="165"/>
      <c r="D42" s="248"/>
      <c r="E42" s="248"/>
    </row>
    <row r="43" spans="1:5" s="49" customFormat="1" ht="12" customHeight="1">
      <c r="A43" s="195" t="s">
        <v>296</v>
      </c>
      <c r="B43" s="178" t="s">
        <v>369</v>
      </c>
      <c r="C43" s="165">
        <v>6882800</v>
      </c>
      <c r="D43" s="248">
        <v>3914697</v>
      </c>
      <c r="E43" s="248">
        <v>3914697</v>
      </c>
    </row>
    <row r="44" spans="1:5" s="49" customFormat="1" ht="12" customHeight="1">
      <c r="A44" s="195" t="s">
        <v>297</v>
      </c>
      <c r="B44" s="178" t="s">
        <v>370</v>
      </c>
      <c r="C44" s="165"/>
      <c r="D44" s="248"/>
      <c r="E44" s="248"/>
    </row>
    <row r="45" spans="1:5" s="49" customFormat="1" ht="12" customHeight="1">
      <c r="A45" s="195" t="s">
        <v>298</v>
      </c>
      <c r="B45" s="178" t="s">
        <v>663</v>
      </c>
      <c r="C45" s="165"/>
      <c r="D45" s="248">
        <v>279</v>
      </c>
      <c r="E45" s="248">
        <v>279</v>
      </c>
    </row>
    <row r="46" spans="1:5" s="49" customFormat="1" ht="12" customHeight="1">
      <c r="A46" s="195" t="s">
        <v>362</v>
      </c>
      <c r="B46" s="178" t="s">
        <v>372</v>
      </c>
      <c r="C46" s="168"/>
      <c r="D46" s="280">
        <v>7545</v>
      </c>
      <c r="E46" s="280">
        <v>7545</v>
      </c>
    </row>
    <row r="47" spans="1:5" s="49" customFormat="1" ht="12" customHeight="1">
      <c r="A47" s="196" t="s">
        <v>363</v>
      </c>
      <c r="B47" s="179" t="s">
        <v>517</v>
      </c>
      <c r="C47" s="169"/>
      <c r="D47" s="281">
        <v>336109</v>
      </c>
      <c r="E47" s="281">
        <v>336109</v>
      </c>
    </row>
    <row r="48" spans="1:5" s="49" customFormat="1" ht="12" customHeight="1" thickBot="1">
      <c r="A48" s="196" t="s">
        <v>516</v>
      </c>
      <c r="B48" s="179" t="s">
        <v>373</v>
      </c>
      <c r="C48" s="169">
        <v>1000000</v>
      </c>
      <c r="D48" s="281">
        <v>9596667</v>
      </c>
      <c r="E48" s="281">
        <v>9596669</v>
      </c>
    </row>
    <row r="49" spans="1:5" s="49" customFormat="1" ht="12" customHeight="1" thickBot="1">
      <c r="A49" s="25" t="s">
        <v>191</v>
      </c>
      <c r="B49" s="19" t="s">
        <v>374</v>
      </c>
      <c r="C49" s="164">
        <f>SUM(C50:C54)</f>
        <v>0</v>
      </c>
      <c r="D49" s="246">
        <f>SUM(D50:D54)</f>
        <v>75248</v>
      </c>
      <c r="E49" s="100">
        <f>SUM(E50:E54)</f>
        <v>75248</v>
      </c>
    </row>
    <row r="50" spans="1:5" s="49" customFormat="1" ht="12" customHeight="1">
      <c r="A50" s="194" t="s">
        <v>239</v>
      </c>
      <c r="B50" s="177" t="s">
        <v>378</v>
      </c>
      <c r="C50" s="217"/>
      <c r="D50" s="282"/>
      <c r="E50" s="106"/>
    </row>
    <row r="51" spans="1:5" s="49" customFormat="1" ht="12" customHeight="1">
      <c r="A51" s="195" t="s">
        <v>240</v>
      </c>
      <c r="B51" s="178" t="s">
        <v>379</v>
      </c>
      <c r="C51" s="168"/>
      <c r="D51" s="280">
        <v>59500</v>
      </c>
      <c r="E51" s="104">
        <v>59500</v>
      </c>
    </row>
    <row r="52" spans="1:5" s="49" customFormat="1" ht="12" customHeight="1">
      <c r="A52" s="195" t="s">
        <v>375</v>
      </c>
      <c r="B52" s="178" t="s">
        <v>380</v>
      </c>
      <c r="C52" s="168"/>
      <c r="D52" s="280">
        <v>15748</v>
      </c>
      <c r="E52" s="104">
        <v>15748</v>
      </c>
    </row>
    <row r="53" spans="1:5" s="49" customFormat="1" ht="12" customHeight="1">
      <c r="A53" s="195" t="s">
        <v>376</v>
      </c>
      <c r="B53" s="178" t="s">
        <v>381</v>
      </c>
      <c r="C53" s="168"/>
      <c r="D53" s="280"/>
      <c r="E53" s="104"/>
    </row>
    <row r="54" spans="1:5" s="49" customFormat="1" ht="12" customHeight="1" thickBot="1">
      <c r="A54" s="196" t="s">
        <v>377</v>
      </c>
      <c r="B54" s="179" t="s">
        <v>382</v>
      </c>
      <c r="C54" s="169"/>
      <c r="D54" s="281"/>
      <c r="E54" s="105"/>
    </row>
    <row r="55" spans="1:5" s="49" customFormat="1" ht="12" customHeight="1" thickBot="1">
      <c r="A55" s="25" t="s">
        <v>299</v>
      </c>
      <c r="B55" s="19" t="s">
        <v>383</v>
      </c>
      <c r="C55" s="164">
        <f>SUM(C56:C58)</f>
        <v>0</v>
      </c>
      <c r="D55" s="246">
        <f>SUM(D56:D58)</f>
        <v>321510</v>
      </c>
      <c r="E55" s="100">
        <f>SUM(E56:E58)</f>
        <v>321510</v>
      </c>
    </row>
    <row r="56" spans="1:5" s="49" customFormat="1" ht="12" customHeight="1">
      <c r="A56" s="194" t="s">
        <v>241</v>
      </c>
      <c r="B56" s="177" t="s">
        <v>384</v>
      </c>
      <c r="C56" s="166"/>
      <c r="D56" s="247"/>
      <c r="E56" s="102"/>
    </row>
    <row r="57" spans="1:5" s="49" customFormat="1" ht="12" customHeight="1">
      <c r="A57" s="195" t="s">
        <v>242</v>
      </c>
      <c r="B57" s="178" t="s">
        <v>509</v>
      </c>
      <c r="C57" s="165"/>
      <c r="D57" s="248"/>
      <c r="E57" s="101"/>
    </row>
    <row r="58" spans="1:5" s="49" customFormat="1" ht="12" customHeight="1">
      <c r="A58" s="195" t="s">
        <v>387</v>
      </c>
      <c r="B58" s="178" t="s">
        <v>385</v>
      </c>
      <c r="C58" s="165"/>
      <c r="D58" s="248">
        <v>321510</v>
      </c>
      <c r="E58" s="101">
        <v>321510</v>
      </c>
    </row>
    <row r="59" spans="1:5" s="49" customFormat="1" ht="12" customHeight="1" thickBot="1">
      <c r="A59" s="196" t="s">
        <v>388</v>
      </c>
      <c r="B59" s="179" t="s">
        <v>386</v>
      </c>
      <c r="C59" s="167"/>
      <c r="D59" s="249"/>
      <c r="E59" s="103"/>
    </row>
    <row r="60" spans="1:5" s="49" customFormat="1" ht="12" customHeight="1" thickBot="1">
      <c r="A60" s="25" t="s">
        <v>193</v>
      </c>
      <c r="B60" s="107" t="s">
        <v>389</v>
      </c>
      <c r="C60" s="164">
        <f>SUM(C61:C63)</f>
        <v>13000000</v>
      </c>
      <c r="D60" s="246">
        <f>SUM(D61:D63)</f>
        <v>28951738</v>
      </c>
      <c r="E60" s="100">
        <f>SUM(E61:E63)</f>
        <v>28951738</v>
      </c>
    </row>
    <row r="61" spans="1:5" s="49" customFormat="1" ht="12" customHeight="1">
      <c r="A61" s="194" t="s">
        <v>300</v>
      </c>
      <c r="B61" s="177" t="s">
        <v>391</v>
      </c>
      <c r="C61" s="168"/>
      <c r="D61" s="280"/>
      <c r="E61" s="104"/>
    </row>
    <row r="62" spans="1:5" s="49" customFormat="1" ht="12" customHeight="1">
      <c r="A62" s="195" t="s">
        <v>301</v>
      </c>
      <c r="B62" s="178" t="s">
        <v>510</v>
      </c>
      <c r="C62" s="168"/>
      <c r="D62" s="280">
        <v>30000</v>
      </c>
      <c r="E62" s="104">
        <v>30000</v>
      </c>
    </row>
    <row r="63" spans="1:5" s="49" customFormat="1" ht="12" customHeight="1">
      <c r="A63" s="195" t="s">
        <v>324</v>
      </c>
      <c r="B63" s="178" t="s">
        <v>392</v>
      </c>
      <c r="C63" s="168">
        <v>13000000</v>
      </c>
      <c r="D63" s="280">
        <v>28921738</v>
      </c>
      <c r="E63" s="104">
        <v>28921738</v>
      </c>
    </row>
    <row r="64" spans="1:5" s="49" customFormat="1" ht="12" customHeight="1" thickBot="1">
      <c r="A64" s="196" t="s">
        <v>390</v>
      </c>
      <c r="B64" s="179" t="s">
        <v>393</v>
      </c>
      <c r="C64" s="168"/>
      <c r="D64" s="280"/>
      <c r="E64" s="104"/>
    </row>
    <row r="65" spans="1:5" s="49" customFormat="1" ht="12" customHeight="1" thickBot="1">
      <c r="A65" s="25" t="s">
        <v>194</v>
      </c>
      <c r="B65" s="19" t="s">
        <v>394</v>
      </c>
      <c r="C65" s="170">
        <f>+C8+C15+C22+C29+C37+C49+C55+C60</f>
        <v>560595495</v>
      </c>
      <c r="D65" s="250">
        <f>+D8+D15+D22+D29+D37+D49+D55+D60</f>
        <v>868301332</v>
      </c>
      <c r="E65" s="206">
        <f>+E8+E15+E22+E29+E37+E49+E55+E60</f>
        <v>868301334</v>
      </c>
    </row>
    <row r="66" spans="1:5" s="49" customFormat="1" ht="12" customHeight="1" thickBot="1">
      <c r="A66" s="197" t="s">
        <v>479</v>
      </c>
      <c r="B66" s="107" t="s">
        <v>396</v>
      </c>
      <c r="C66" s="164">
        <f>SUM(C67:C69)</f>
        <v>0</v>
      </c>
      <c r="D66" s="246">
        <f>SUM(D67:D69)</f>
        <v>0</v>
      </c>
      <c r="E66" s="100">
        <f>SUM(E67:E69)</f>
        <v>0</v>
      </c>
    </row>
    <row r="67" spans="1:5" s="49" customFormat="1" ht="12" customHeight="1">
      <c r="A67" s="194" t="s">
        <v>424</v>
      </c>
      <c r="B67" s="177" t="s">
        <v>397</v>
      </c>
      <c r="C67" s="168"/>
      <c r="D67" s="280"/>
      <c r="E67" s="104"/>
    </row>
    <row r="68" spans="1:5" s="49" customFormat="1" ht="12" customHeight="1">
      <c r="A68" s="195" t="s">
        <v>433</v>
      </c>
      <c r="B68" s="178" t="s">
        <v>398</v>
      </c>
      <c r="C68" s="168"/>
      <c r="D68" s="280"/>
      <c r="E68" s="104"/>
    </row>
    <row r="69" spans="1:5" s="49" customFormat="1" ht="12" customHeight="1" thickBot="1">
      <c r="A69" s="204" t="s">
        <v>434</v>
      </c>
      <c r="B69" s="314" t="s">
        <v>542</v>
      </c>
      <c r="C69" s="315"/>
      <c r="D69" s="283"/>
      <c r="E69" s="316"/>
    </row>
    <row r="70" spans="1:5" s="49" customFormat="1" ht="12" customHeight="1" thickBot="1">
      <c r="A70" s="197" t="s">
        <v>400</v>
      </c>
      <c r="B70" s="107" t="s">
        <v>401</v>
      </c>
      <c r="C70" s="164">
        <f>SUM(C71:C74)</f>
        <v>0</v>
      </c>
      <c r="D70" s="164">
        <f>SUM(D71:D74)</f>
        <v>0</v>
      </c>
      <c r="E70" s="100">
        <f>SUM(E71:E74)</f>
        <v>0</v>
      </c>
    </row>
    <row r="71" spans="1:5" s="49" customFormat="1" ht="12" customHeight="1">
      <c r="A71" s="194" t="s">
        <v>278</v>
      </c>
      <c r="B71" s="301" t="s">
        <v>402</v>
      </c>
      <c r="C71" s="168"/>
      <c r="D71" s="168"/>
      <c r="E71" s="104"/>
    </row>
    <row r="72" spans="1:5" s="49" customFormat="1" ht="12" customHeight="1">
      <c r="A72" s="195" t="s">
        <v>279</v>
      </c>
      <c r="B72" s="301" t="s">
        <v>670</v>
      </c>
      <c r="C72" s="168"/>
      <c r="D72" s="168"/>
      <c r="E72" s="104"/>
    </row>
    <row r="73" spans="1:5" s="49" customFormat="1" ht="12" customHeight="1">
      <c r="A73" s="195" t="s">
        <v>425</v>
      </c>
      <c r="B73" s="301" t="s">
        <v>403</v>
      </c>
      <c r="C73" s="168"/>
      <c r="D73" s="168"/>
      <c r="E73" s="104"/>
    </row>
    <row r="74" spans="1:5" s="49" customFormat="1" ht="12" customHeight="1" thickBot="1">
      <c r="A74" s="196" t="s">
        <v>426</v>
      </c>
      <c r="B74" s="302" t="s">
        <v>671</v>
      </c>
      <c r="C74" s="168"/>
      <c r="D74" s="168"/>
      <c r="E74" s="104"/>
    </row>
    <row r="75" spans="1:5" s="49" customFormat="1" ht="12" customHeight="1" thickBot="1">
      <c r="A75" s="197" t="s">
        <v>404</v>
      </c>
      <c r="B75" s="107" t="s">
        <v>405</v>
      </c>
      <c r="C75" s="164">
        <f>SUM(C76:C77)</f>
        <v>241504542</v>
      </c>
      <c r="D75" s="164">
        <f>SUM(D76:D77)</f>
        <v>417002251</v>
      </c>
      <c r="E75" s="100">
        <f>SUM(E76:E77)</f>
        <v>417002251</v>
      </c>
    </row>
    <row r="76" spans="1:5" s="49" customFormat="1" ht="12" customHeight="1">
      <c r="A76" s="194" t="s">
        <v>427</v>
      </c>
      <c r="B76" s="177" t="s">
        <v>406</v>
      </c>
      <c r="C76" s="168">
        <v>241504542</v>
      </c>
      <c r="D76" s="168">
        <v>417002251</v>
      </c>
      <c r="E76" s="104">
        <v>417002251</v>
      </c>
    </row>
    <row r="77" spans="1:5" s="49" customFormat="1" ht="12" customHeight="1" thickBot="1">
      <c r="A77" s="196" t="s">
        <v>428</v>
      </c>
      <c r="B77" s="179" t="s">
        <v>407</v>
      </c>
      <c r="C77" s="168"/>
      <c r="D77" s="168"/>
      <c r="E77" s="104"/>
    </row>
    <row r="78" spans="1:5" s="48" customFormat="1" ht="12" customHeight="1" thickBot="1">
      <c r="A78" s="197" t="s">
        <v>408</v>
      </c>
      <c r="B78" s="107" t="s">
        <v>409</v>
      </c>
      <c r="C78" s="164">
        <f>SUM(C79:C81)</f>
        <v>0</v>
      </c>
      <c r="D78" s="164">
        <f>SUM(D79:D81)</f>
        <v>17273526</v>
      </c>
      <c r="E78" s="100">
        <f>SUM(E79:E81)</f>
        <v>17273526</v>
      </c>
    </row>
    <row r="79" spans="1:5" s="49" customFormat="1" ht="12" customHeight="1">
      <c r="A79" s="194" t="s">
        <v>429</v>
      </c>
      <c r="B79" s="177" t="s">
        <v>410</v>
      </c>
      <c r="C79" s="168"/>
      <c r="D79" s="168">
        <v>17273526</v>
      </c>
      <c r="E79" s="104">
        <v>17273526</v>
      </c>
    </row>
    <row r="80" spans="1:5" s="49" customFormat="1" ht="12" customHeight="1">
      <c r="A80" s="195" t="s">
        <v>430</v>
      </c>
      <c r="B80" s="178" t="s">
        <v>411</v>
      </c>
      <c r="C80" s="168"/>
      <c r="D80" s="168"/>
      <c r="E80" s="104"/>
    </row>
    <row r="81" spans="1:5" s="49" customFormat="1" ht="12" customHeight="1" thickBot="1">
      <c r="A81" s="196" t="s">
        <v>431</v>
      </c>
      <c r="B81" s="179" t="s">
        <v>672</v>
      </c>
      <c r="C81" s="168"/>
      <c r="D81" s="168"/>
      <c r="E81" s="104"/>
    </row>
    <row r="82" spans="1:5" s="49" customFormat="1" ht="12" customHeight="1" thickBot="1">
      <c r="A82" s="197" t="s">
        <v>412</v>
      </c>
      <c r="B82" s="107" t="s">
        <v>432</v>
      </c>
      <c r="C82" s="164">
        <f>SUM(C83:C86)</f>
        <v>0</v>
      </c>
      <c r="D82" s="164">
        <f>SUM(D83:D86)</f>
        <v>0</v>
      </c>
      <c r="E82" s="100">
        <f>SUM(E83:E86)</f>
        <v>0</v>
      </c>
    </row>
    <row r="83" spans="1:5" s="49" customFormat="1" ht="12" customHeight="1">
      <c r="A83" s="198" t="s">
        <v>413</v>
      </c>
      <c r="B83" s="177" t="s">
        <v>414</v>
      </c>
      <c r="C83" s="168"/>
      <c r="D83" s="168"/>
      <c r="E83" s="104"/>
    </row>
    <row r="84" spans="1:5" s="49" customFormat="1" ht="12" customHeight="1">
      <c r="A84" s="199" t="s">
        <v>415</v>
      </c>
      <c r="B84" s="178" t="s">
        <v>416</v>
      </c>
      <c r="C84" s="168"/>
      <c r="D84" s="168"/>
      <c r="E84" s="104"/>
    </row>
    <row r="85" spans="1:5" s="49" customFormat="1" ht="12" customHeight="1">
      <c r="A85" s="199" t="s">
        <v>417</v>
      </c>
      <c r="B85" s="178" t="s">
        <v>418</v>
      </c>
      <c r="C85" s="168"/>
      <c r="D85" s="168"/>
      <c r="E85" s="104"/>
    </row>
    <row r="86" spans="1:5" s="48" customFormat="1" ht="12" customHeight="1" thickBot="1">
      <c r="A86" s="200" t="s">
        <v>419</v>
      </c>
      <c r="B86" s="179" t="s">
        <v>420</v>
      </c>
      <c r="C86" s="168"/>
      <c r="D86" s="168"/>
      <c r="E86" s="104"/>
    </row>
    <row r="87" spans="1:5" s="48" customFormat="1" ht="12" customHeight="1" thickBot="1">
      <c r="A87" s="197" t="s">
        <v>421</v>
      </c>
      <c r="B87" s="107" t="s">
        <v>556</v>
      </c>
      <c r="C87" s="220"/>
      <c r="D87" s="220"/>
      <c r="E87" s="221"/>
    </row>
    <row r="88" spans="1:5" s="48" customFormat="1" ht="12" customHeight="1" thickBot="1">
      <c r="A88" s="197" t="s">
        <v>574</v>
      </c>
      <c r="B88" s="107" t="s">
        <v>422</v>
      </c>
      <c r="C88" s="220"/>
      <c r="D88" s="220"/>
      <c r="E88" s="221"/>
    </row>
    <row r="89" spans="1:5" s="48" customFormat="1" ht="12" customHeight="1" thickBot="1">
      <c r="A89" s="197" t="s">
        <v>575</v>
      </c>
      <c r="B89" s="184" t="s">
        <v>559</v>
      </c>
      <c r="C89" s="170">
        <f>+C66+C70+C75+C78+C82+C88+C87</f>
        <v>241504542</v>
      </c>
      <c r="D89" s="170">
        <f>+D66+D70+D75+D78+D82+D88+D87</f>
        <v>434275777</v>
      </c>
      <c r="E89" s="206">
        <f>+E66+E70+E75+E78+E82+E88+E87</f>
        <v>434275777</v>
      </c>
    </row>
    <row r="90" spans="1:5" s="48" customFormat="1" ht="12" customHeight="1" thickBot="1">
      <c r="A90" s="201" t="s">
        <v>576</v>
      </c>
      <c r="B90" s="185" t="s">
        <v>577</v>
      </c>
      <c r="C90" s="170">
        <f>+C65+C89</f>
        <v>802100037</v>
      </c>
      <c r="D90" s="170">
        <f>+D65+D89</f>
        <v>1302577109</v>
      </c>
      <c r="E90" s="206">
        <f>+E65+E89</f>
        <v>1302577111</v>
      </c>
    </row>
    <row r="91" spans="1:3" s="49" customFormat="1" ht="15" customHeight="1" thickBot="1">
      <c r="A91" s="84"/>
      <c r="B91" s="85"/>
      <c r="C91" s="146"/>
    </row>
    <row r="92" spans="1:5" s="42" customFormat="1" ht="16.5" customHeight="1" thickBot="1">
      <c r="A92" s="929" t="s">
        <v>220</v>
      </c>
      <c r="B92" s="930"/>
      <c r="C92" s="930"/>
      <c r="D92" s="930"/>
      <c r="E92" s="931"/>
    </row>
    <row r="93" spans="1:5" s="50" customFormat="1" ht="12" customHeight="1" thickBot="1">
      <c r="A93" s="171" t="s">
        <v>186</v>
      </c>
      <c r="B93" s="24" t="s">
        <v>581</v>
      </c>
      <c r="C93" s="163">
        <f>+C94+C95+C96+C97+C98+C111</f>
        <v>247193877</v>
      </c>
      <c r="D93" s="163">
        <f>+D94+D95+D96+D97+D98+D111</f>
        <v>663187646</v>
      </c>
      <c r="E93" s="229">
        <f>+E94+E95+E96+E97+E98+E111</f>
        <v>430173365</v>
      </c>
    </row>
    <row r="94" spans="1:5" ht="12" customHeight="1">
      <c r="A94" s="202" t="s">
        <v>243</v>
      </c>
      <c r="B94" s="8" t="s">
        <v>215</v>
      </c>
      <c r="C94" s="236">
        <v>76788134</v>
      </c>
      <c r="D94" s="236">
        <v>219331458</v>
      </c>
      <c r="E94" s="230">
        <v>207311841</v>
      </c>
    </row>
    <row r="95" spans="1:5" ht="12" customHeight="1">
      <c r="A95" s="195" t="s">
        <v>244</v>
      </c>
      <c r="B95" s="6" t="s">
        <v>302</v>
      </c>
      <c r="C95" s="165">
        <v>11501230</v>
      </c>
      <c r="D95" s="165">
        <v>26573190</v>
      </c>
      <c r="E95" s="101">
        <v>26129381</v>
      </c>
    </row>
    <row r="96" spans="1:5" ht="12" customHeight="1">
      <c r="A96" s="195" t="s">
        <v>245</v>
      </c>
      <c r="B96" s="6" t="s">
        <v>270</v>
      </c>
      <c r="C96" s="167">
        <v>101108015</v>
      </c>
      <c r="D96" s="165">
        <v>148144075</v>
      </c>
      <c r="E96" s="103">
        <v>141659717</v>
      </c>
    </row>
    <row r="97" spans="1:5" ht="12" customHeight="1">
      <c r="A97" s="195" t="s">
        <v>246</v>
      </c>
      <c r="B97" s="9" t="s">
        <v>303</v>
      </c>
      <c r="C97" s="167">
        <v>26630000</v>
      </c>
      <c r="D97" s="249">
        <v>40134000</v>
      </c>
      <c r="E97" s="103">
        <v>39842942</v>
      </c>
    </row>
    <row r="98" spans="1:5" ht="12" customHeight="1">
      <c r="A98" s="195" t="s">
        <v>255</v>
      </c>
      <c r="B98" s="17" t="s">
        <v>304</v>
      </c>
      <c r="C98" s="167">
        <v>11166498</v>
      </c>
      <c r="D98" s="249">
        <v>20651099</v>
      </c>
      <c r="E98" s="103">
        <v>15229484</v>
      </c>
    </row>
    <row r="99" spans="1:5" ht="12" customHeight="1">
      <c r="A99" s="195" t="s">
        <v>247</v>
      </c>
      <c r="B99" s="6" t="s">
        <v>578</v>
      </c>
      <c r="C99" s="167">
        <v>5000000</v>
      </c>
      <c r="D99" s="249">
        <v>10252601</v>
      </c>
      <c r="E99" s="103">
        <v>9688721</v>
      </c>
    </row>
    <row r="100" spans="1:5" ht="12" customHeight="1">
      <c r="A100" s="195" t="s">
        <v>248</v>
      </c>
      <c r="B100" s="60" t="s">
        <v>522</v>
      </c>
      <c r="C100" s="167"/>
      <c r="D100" s="249"/>
      <c r="E100" s="103"/>
    </row>
    <row r="101" spans="1:5" ht="12" customHeight="1">
      <c r="A101" s="195" t="s">
        <v>256</v>
      </c>
      <c r="B101" s="60" t="s">
        <v>521</v>
      </c>
      <c r="C101" s="167"/>
      <c r="D101" s="249"/>
      <c r="E101" s="103"/>
    </row>
    <row r="102" spans="1:5" ht="12" customHeight="1">
      <c r="A102" s="195" t="s">
        <v>257</v>
      </c>
      <c r="B102" s="60" t="s">
        <v>438</v>
      </c>
      <c r="C102" s="167"/>
      <c r="D102" s="249"/>
      <c r="E102" s="103"/>
    </row>
    <row r="103" spans="1:5" ht="12" customHeight="1">
      <c r="A103" s="195" t="s">
        <v>258</v>
      </c>
      <c r="B103" s="61" t="s">
        <v>439</v>
      </c>
      <c r="C103" s="167"/>
      <c r="D103" s="249"/>
      <c r="E103" s="103"/>
    </row>
    <row r="104" spans="1:5" ht="12" customHeight="1">
      <c r="A104" s="195" t="s">
        <v>259</v>
      </c>
      <c r="B104" s="61" t="s">
        <v>440</v>
      </c>
      <c r="C104" s="167"/>
      <c r="D104" s="249"/>
      <c r="E104" s="103"/>
    </row>
    <row r="105" spans="1:5" ht="12" customHeight="1">
      <c r="A105" s="195" t="s">
        <v>261</v>
      </c>
      <c r="B105" s="60" t="s">
        <v>441</v>
      </c>
      <c r="C105" s="167">
        <v>3170838</v>
      </c>
      <c r="D105" s="249">
        <v>6000838</v>
      </c>
      <c r="E105" s="103">
        <v>2950838</v>
      </c>
    </row>
    <row r="106" spans="1:5" ht="12" customHeight="1">
      <c r="A106" s="195" t="s">
        <v>305</v>
      </c>
      <c r="B106" s="60" t="s">
        <v>442</v>
      </c>
      <c r="C106" s="167"/>
      <c r="D106" s="249"/>
      <c r="E106" s="103"/>
    </row>
    <row r="107" spans="1:5" ht="12" customHeight="1">
      <c r="A107" s="195" t="s">
        <v>436</v>
      </c>
      <c r="B107" s="61" t="s">
        <v>443</v>
      </c>
      <c r="C107" s="165"/>
      <c r="D107" s="249"/>
      <c r="E107" s="103"/>
    </row>
    <row r="108" spans="1:5" ht="12" customHeight="1">
      <c r="A108" s="203" t="s">
        <v>437</v>
      </c>
      <c r="B108" s="62" t="s">
        <v>444</v>
      </c>
      <c r="C108" s="167"/>
      <c r="D108" s="249"/>
      <c r="E108" s="103"/>
    </row>
    <row r="109" spans="1:5" ht="12" customHeight="1">
      <c r="A109" s="195" t="s">
        <v>519</v>
      </c>
      <c r="B109" s="62" t="s">
        <v>445</v>
      </c>
      <c r="C109" s="167"/>
      <c r="D109" s="249"/>
      <c r="E109" s="103"/>
    </row>
    <row r="110" spans="1:5" ht="12" customHeight="1">
      <c r="A110" s="195" t="s">
        <v>520</v>
      </c>
      <c r="B110" s="61" t="s">
        <v>446</v>
      </c>
      <c r="C110" s="165">
        <v>2995660</v>
      </c>
      <c r="D110" s="248">
        <v>4397660</v>
      </c>
      <c r="E110" s="101">
        <v>2589925</v>
      </c>
    </row>
    <row r="111" spans="1:5" ht="12" customHeight="1">
      <c r="A111" s="195" t="s">
        <v>524</v>
      </c>
      <c r="B111" s="9" t="s">
        <v>216</v>
      </c>
      <c r="C111" s="165">
        <f>SUM(C112:C113)</f>
        <v>20000000</v>
      </c>
      <c r="D111" s="165">
        <f>SUM(D112:D113)</f>
        <v>208353824</v>
      </c>
      <c r="E111" s="101"/>
    </row>
    <row r="112" spans="1:5" ht="12" customHeight="1">
      <c r="A112" s="196" t="s">
        <v>525</v>
      </c>
      <c r="B112" s="6" t="s">
        <v>579</v>
      </c>
      <c r="C112" s="167">
        <v>17647000</v>
      </c>
      <c r="D112" s="249">
        <v>190490983</v>
      </c>
      <c r="E112" s="103"/>
    </row>
    <row r="113" spans="1:5" ht="12" customHeight="1" thickBot="1">
      <c r="A113" s="204" t="s">
        <v>526</v>
      </c>
      <c r="B113" s="63" t="s">
        <v>580</v>
      </c>
      <c r="C113" s="237">
        <v>2353000</v>
      </c>
      <c r="D113" s="286">
        <v>17862841</v>
      </c>
      <c r="E113" s="231"/>
    </row>
    <row r="114" spans="1:5" ht="12" customHeight="1" thickBot="1">
      <c r="A114" s="25" t="s">
        <v>187</v>
      </c>
      <c r="B114" s="23" t="s">
        <v>447</v>
      </c>
      <c r="C114" s="164">
        <f>+C115+C117+C119</f>
        <v>189775694</v>
      </c>
      <c r="D114" s="246">
        <f>+D115+D117+D119</f>
        <v>256227630</v>
      </c>
      <c r="E114" s="100">
        <f>+E115+E117+E119</f>
        <v>237298567</v>
      </c>
    </row>
    <row r="115" spans="1:5" ht="12" customHeight="1">
      <c r="A115" s="194" t="s">
        <v>249</v>
      </c>
      <c r="B115" s="6" t="s">
        <v>323</v>
      </c>
      <c r="C115" s="166">
        <v>27211862</v>
      </c>
      <c r="D115" s="247">
        <v>45601802</v>
      </c>
      <c r="E115" s="102">
        <v>44363214</v>
      </c>
    </row>
    <row r="116" spans="1:5" ht="12" customHeight="1">
      <c r="A116" s="194" t="s">
        <v>250</v>
      </c>
      <c r="B116" s="10" t="s">
        <v>451</v>
      </c>
      <c r="C116" s="166"/>
      <c r="D116" s="247"/>
      <c r="E116" s="102"/>
    </row>
    <row r="117" spans="1:5" ht="12" customHeight="1">
      <c r="A117" s="194" t="s">
        <v>251</v>
      </c>
      <c r="B117" s="10" t="s">
        <v>306</v>
      </c>
      <c r="C117" s="165">
        <v>155763832</v>
      </c>
      <c r="D117" s="248">
        <v>193446913</v>
      </c>
      <c r="E117" s="101">
        <v>179308348</v>
      </c>
    </row>
    <row r="118" spans="1:5" ht="12" customHeight="1">
      <c r="A118" s="194" t="s">
        <v>252</v>
      </c>
      <c r="B118" s="10" t="s">
        <v>452</v>
      </c>
      <c r="C118" s="165">
        <v>120091212</v>
      </c>
      <c r="D118" s="248">
        <v>120091212</v>
      </c>
      <c r="E118" s="101">
        <v>112293643</v>
      </c>
    </row>
    <row r="119" spans="1:5" ht="12" customHeight="1">
      <c r="A119" s="194" t="s">
        <v>253</v>
      </c>
      <c r="B119" s="109" t="s">
        <v>325</v>
      </c>
      <c r="C119" s="165">
        <v>6800000</v>
      </c>
      <c r="D119" s="248">
        <v>17178915</v>
      </c>
      <c r="E119" s="101">
        <v>13627005</v>
      </c>
    </row>
    <row r="120" spans="1:5" ht="12" customHeight="1">
      <c r="A120" s="194" t="s">
        <v>260</v>
      </c>
      <c r="B120" s="108" t="s">
        <v>511</v>
      </c>
      <c r="C120" s="165"/>
      <c r="D120" s="248"/>
      <c r="E120" s="101"/>
    </row>
    <row r="121" spans="1:5" ht="12" customHeight="1">
      <c r="A121" s="194" t="s">
        <v>262</v>
      </c>
      <c r="B121" s="173" t="s">
        <v>457</v>
      </c>
      <c r="C121" s="165"/>
      <c r="D121" s="248"/>
      <c r="E121" s="101"/>
    </row>
    <row r="122" spans="1:5" ht="12" customHeight="1">
      <c r="A122" s="194" t="s">
        <v>307</v>
      </c>
      <c r="B122" s="61" t="s">
        <v>440</v>
      </c>
      <c r="C122" s="165"/>
      <c r="D122" s="248"/>
      <c r="E122" s="101"/>
    </row>
    <row r="123" spans="1:5" ht="12" customHeight="1">
      <c r="A123" s="194" t="s">
        <v>308</v>
      </c>
      <c r="B123" s="61" t="s">
        <v>456</v>
      </c>
      <c r="C123" s="165"/>
      <c r="D123" s="248">
        <v>250000</v>
      </c>
      <c r="E123" s="101">
        <v>250000</v>
      </c>
    </row>
    <row r="124" spans="1:5" ht="12" customHeight="1">
      <c r="A124" s="194" t="s">
        <v>309</v>
      </c>
      <c r="B124" s="61" t="s">
        <v>455</v>
      </c>
      <c r="C124" s="165"/>
      <c r="D124" s="248"/>
      <c r="E124" s="101"/>
    </row>
    <row r="125" spans="1:5" ht="12" customHeight="1">
      <c r="A125" s="194" t="s">
        <v>448</v>
      </c>
      <c r="B125" s="61" t="s">
        <v>443</v>
      </c>
      <c r="C125" s="165"/>
      <c r="D125" s="248">
        <v>2378915</v>
      </c>
      <c r="E125" s="101">
        <v>2377005</v>
      </c>
    </row>
    <row r="126" spans="1:5" ht="12" customHeight="1">
      <c r="A126" s="194" t="s">
        <v>449</v>
      </c>
      <c r="B126" s="61" t="s">
        <v>454</v>
      </c>
      <c r="C126" s="165">
        <v>3000000</v>
      </c>
      <c r="D126" s="248">
        <v>11000000</v>
      </c>
      <c r="E126" s="101">
        <v>11000000</v>
      </c>
    </row>
    <row r="127" spans="1:5" ht="12" customHeight="1" thickBot="1">
      <c r="A127" s="203" t="s">
        <v>450</v>
      </c>
      <c r="B127" s="61" t="s">
        <v>453</v>
      </c>
      <c r="C127" s="167">
        <v>3800000</v>
      </c>
      <c r="D127" s="249">
        <v>3550000</v>
      </c>
      <c r="E127" s="103"/>
    </row>
    <row r="128" spans="1:5" ht="12" customHeight="1" thickBot="1">
      <c r="A128" s="25" t="s">
        <v>188</v>
      </c>
      <c r="B128" s="54" t="s">
        <v>529</v>
      </c>
      <c r="C128" s="164">
        <f>+C93+C114</f>
        <v>436969571</v>
      </c>
      <c r="D128" s="246">
        <f>+D93+D114</f>
        <v>919415276</v>
      </c>
      <c r="E128" s="100">
        <f>+E93+E114</f>
        <v>667471932</v>
      </c>
    </row>
    <row r="129" spans="1:5" ht="12" customHeight="1" thickBot="1">
      <c r="A129" s="25" t="s">
        <v>189</v>
      </c>
      <c r="B129" s="54" t="s">
        <v>530</v>
      </c>
      <c r="C129" s="164">
        <f>+C130+C131+C132</f>
        <v>0</v>
      </c>
      <c r="D129" s="246">
        <f>+D130+D131+D132</f>
        <v>0</v>
      </c>
      <c r="E129" s="100">
        <f>+E130+E131+E132</f>
        <v>0</v>
      </c>
    </row>
    <row r="130" spans="1:5" s="50" customFormat="1" ht="12" customHeight="1">
      <c r="A130" s="194" t="s">
        <v>357</v>
      </c>
      <c r="B130" s="7" t="s">
        <v>584</v>
      </c>
      <c r="C130" s="165"/>
      <c r="D130" s="248"/>
      <c r="E130" s="101"/>
    </row>
    <row r="131" spans="1:5" ht="12" customHeight="1">
      <c r="A131" s="194" t="s">
        <v>358</v>
      </c>
      <c r="B131" s="7" t="s">
        <v>538</v>
      </c>
      <c r="C131" s="165"/>
      <c r="D131" s="248"/>
      <c r="E131" s="101"/>
    </row>
    <row r="132" spans="1:5" ht="12" customHeight="1" thickBot="1">
      <c r="A132" s="203" t="s">
        <v>359</v>
      </c>
      <c r="B132" s="5" t="s">
        <v>583</v>
      </c>
      <c r="C132" s="165"/>
      <c r="D132" s="248"/>
      <c r="E132" s="101"/>
    </row>
    <row r="133" spans="1:5" ht="12" customHeight="1" thickBot="1">
      <c r="A133" s="25" t="s">
        <v>190</v>
      </c>
      <c r="B133" s="54" t="s">
        <v>531</v>
      </c>
      <c r="C133" s="164">
        <f>+C134+C135+C136+C137+C138+C139</f>
        <v>0</v>
      </c>
      <c r="D133" s="246">
        <f>+D134+D135+D136+D137+D138+D139</f>
        <v>0</v>
      </c>
      <c r="E133" s="100">
        <f>+E134+E135+E136+E137+E138+E139</f>
        <v>0</v>
      </c>
    </row>
    <row r="134" spans="1:5" ht="12" customHeight="1">
      <c r="A134" s="194" t="s">
        <v>236</v>
      </c>
      <c r="B134" s="7" t="s">
        <v>540</v>
      </c>
      <c r="C134" s="165"/>
      <c r="D134" s="248"/>
      <c r="E134" s="101"/>
    </row>
    <row r="135" spans="1:5" ht="12" customHeight="1">
      <c r="A135" s="194" t="s">
        <v>237</v>
      </c>
      <c r="B135" s="7" t="s">
        <v>532</v>
      </c>
      <c r="C135" s="165"/>
      <c r="D135" s="248"/>
      <c r="E135" s="101"/>
    </row>
    <row r="136" spans="1:5" ht="12" customHeight="1">
      <c r="A136" s="194" t="s">
        <v>238</v>
      </c>
      <c r="B136" s="7" t="s">
        <v>533</v>
      </c>
      <c r="C136" s="165"/>
      <c r="D136" s="248"/>
      <c r="E136" s="101"/>
    </row>
    <row r="137" spans="1:5" ht="12" customHeight="1">
      <c r="A137" s="194" t="s">
        <v>294</v>
      </c>
      <c r="B137" s="7" t="s">
        <v>582</v>
      </c>
      <c r="C137" s="165"/>
      <c r="D137" s="248"/>
      <c r="E137" s="101"/>
    </row>
    <row r="138" spans="1:5" ht="12" customHeight="1">
      <c r="A138" s="194" t="s">
        <v>295</v>
      </c>
      <c r="B138" s="7" t="s">
        <v>535</v>
      </c>
      <c r="C138" s="165"/>
      <c r="D138" s="248"/>
      <c r="E138" s="101"/>
    </row>
    <row r="139" spans="1:5" s="50" customFormat="1" ht="12" customHeight="1" thickBot="1">
      <c r="A139" s="203" t="s">
        <v>296</v>
      </c>
      <c r="B139" s="5" t="s">
        <v>536</v>
      </c>
      <c r="C139" s="165"/>
      <c r="D139" s="248"/>
      <c r="E139" s="101"/>
    </row>
    <row r="140" spans="1:11" ht="12" customHeight="1" thickBot="1">
      <c r="A140" s="25" t="s">
        <v>191</v>
      </c>
      <c r="B140" s="54" t="s">
        <v>597</v>
      </c>
      <c r="C140" s="170">
        <f>+C141+C142+C144+C145+C143</f>
        <v>365130466</v>
      </c>
      <c r="D140" s="250">
        <f>+D141+D142+D144+D145+D143</f>
        <v>383161833</v>
      </c>
      <c r="E140" s="206">
        <f>+E141+E142+E144+E145+E143</f>
        <v>383041422</v>
      </c>
      <c r="K140" s="93"/>
    </row>
    <row r="141" spans="1:5" ht="12.75">
      <c r="A141" s="194" t="s">
        <v>239</v>
      </c>
      <c r="B141" s="7" t="s">
        <v>458</v>
      </c>
      <c r="C141" s="165"/>
      <c r="D141" s="248"/>
      <c r="E141" s="101"/>
    </row>
    <row r="142" spans="1:5" ht="12" customHeight="1">
      <c r="A142" s="194" t="s">
        <v>240</v>
      </c>
      <c r="B142" s="7" t="s">
        <v>459</v>
      </c>
      <c r="C142" s="165">
        <v>15390031</v>
      </c>
      <c r="D142" s="248">
        <v>15390031</v>
      </c>
      <c r="E142" s="101">
        <v>15390031</v>
      </c>
    </row>
    <row r="143" spans="1:5" ht="12" customHeight="1">
      <c r="A143" s="194" t="s">
        <v>375</v>
      </c>
      <c r="B143" s="7" t="s">
        <v>596</v>
      </c>
      <c r="C143" s="165">
        <v>349740435</v>
      </c>
      <c r="D143" s="248">
        <v>367771802</v>
      </c>
      <c r="E143" s="101">
        <v>367651391</v>
      </c>
    </row>
    <row r="144" spans="1:5" s="50" customFormat="1" ht="12" customHeight="1">
      <c r="A144" s="194" t="s">
        <v>376</v>
      </c>
      <c r="B144" s="7" t="s">
        <v>545</v>
      </c>
      <c r="C144" s="165"/>
      <c r="D144" s="248"/>
      <c r="E144" s="101"/>
    </row>
    <row r="145" spans="1:5" s="50" customFormat="1" ht="12" customHeight="1" thickBot="1">
      <c r="A145" s="203" t="s">
        <v>377</v>
      </c>
      <c r="B145" s="5" t="s">
        <v>475</v>
      </c>
      <c r="C145" s="165"/>
      <c r="D145" s="248"/>
      <c r="E145" s="101"/>
    </row>
    <row r="146" spans="1:5" s="50" customFormat="1" ht="12" customHeight="1" thickBot="1">
      <c r="A146" s="25" t="s">
        <v>192</v>
      </c>
      <c r="B146" s="54" t="s">
        <v>546</v>
      </c>
      <c r="C146" s="239">
        <f>+C147+C148+C149+C150+C151</f>
        <v>0</v>
      </c>
      <c r="D146" s="251">
        <f>+D147+D148+D149+D150+D151</f>
        <v>0</v>
      </c>
      <c r="E146" s="233">
        <f>+E147+E148+E149+E150+E151</f>
        <v>0</v>
      </c>
    </row>
    <row r="147" spans="1:5" s="50" customFormat="1" ht="12" customHeight="1">
      <c r="A147" s="194" t="s">
        <v>241</v>
      </c>
      <c r="B147" s="7" t="s">
        <v>541</v>
      </c>
      <c r="C147" s="165"/>
      <c r="D147" s="248"/>
      <c r="E147" s="101"/>
    </row>
    <row r="148" spans="1:5" s="50" customFormat="1" ht="12" customHeight="1">
      <c r="A148" s="194" t="s">
        <v>242</v>
      </c>
      <c r="B148" s="7" t="s">
        <v>548</v>
      </c>
      <c r="C148" s="165"/>
      <c r="D148" s="248"/>
      <c r="E148" s="101"/>
    </row>
    <row r="149" spans="1:5" s="50" customFormat="1" ht="12" customHeight="1">
      <c r="A149" s="194" t="s">
        <v>387</v>
      </c>
      <c r="B149" s="7" t="s">
        <v>543</v>
      </c>
      <c r="C149" s="165"/>
      <c r="D149" s="248"/>
      <c r="E149" s="101"/>
    </row>
    <row r="150" spans="1:5" s="50" customFormat="1" ht="12" customHeight="1">
      <c r="A150" s="194" t="s">
        <v>388</v>
      </c>
      <c r="B150" s="7" t="s">
        <v>585</v>
      </c>
      <c r="C150" s="165"/>
      <c r="D150" s="248"/>
      <c r="E150" s="101"/>
    </row>
    <row r="151" spans="1:5" ht="12.75" customHeight="1" thickBot="1">
      <c r="A151" s="203" t="s">
        <v>547</v>
      </c>
      <c r="B151" s="5" t="s">
        <v>550</v>
      </c>
      <c r="C151" s="167"/>
      <c r="D151" s="249"/>
      <c r="E151" s="103"/>
    </row>
    <row r="152" spans="1:5" ht="12.75" customHeight="1" thickBot="1">
      <c r="A152" s="228" t="s">
        <v>193</v>
      </c>
      <c r="B152" s="54" t="s">
        <v>551</v>
      </c>
      <c r="C152" s="239"/>
      <c r="D152" s="251"/>
      <c r="E152" s="233"/>
    </row>
    <row r="153" spans="1:5" ht="12.75" customHeight="1" thickBot="1">
      <c r="A153" s="228" t="s">
        <v>194</v>
      </c>
      <c r="B153" s="54" t="s">
        <v>552</v>
      </c>
      <c r="C153" s="239"/>
      <c r="D153" s="251"/>
      <c r="E153" s="233"/>
    </row>
    <row r="154" spans="1:5" ht="12" customHeight="1" thickBot="1">
      <c r="A154" s="25" t="s">
        <v>195</v>
      </c>
      <c r="B154" s="54" t="s">
        <v>554</v>
      </c>
      <c r="C154" s="241">
        <f>+C129+C133+C140+C146+C152+C153</f>
        <v>365130466</v>
      </c>
      <c r="D154" s="253">
        <f>+D129+D133+D140+D146+D152+D153</f>
        <v>383161833</v>
      </c>
      <c r="E154" s="235">
        <f>+E129+E133+E140+E146+E152+E153</f>
        <v>383041422</v>
      </c>
    </row>
    <row r="155" spans="1:5" ht="15" customHeight="1" thickBot="1">
      <c r="A155" s="205" t="s">
        <v>196</v>
      </c>
      <c r="B155" s="151" t="s">
        <v>553</v>
      </c>
      <c r="C155" s="241">
        <f>+C128+C154</f>
        <v>802100037</v>
      </c>
      <c r="D155" s="253">
        <f>+D128+D154</f>
        <v>1302577109</v>
      </c>
      <c r="E155" s="235">
        <f>+E128+E154</f>
        <v>1050513354</v>
      </c>
    </row>
    <row r="156" spans="1:5" ht="13.5" thickBot="1">
      <c r="A156" s="154"/>
      <c r="B156" s="155"/>
      <c r="C156" s="627">
        <f>C90-C155</f>
        <v>0</v>
      </c>
      <c r="D156" s="627">
        <f>D90-D155</f>
        <v>0</v>
      </c>
      <c r="E156" s="156"/>
    </row>
    <row r="157" spans="1:5" ht="15" customHeight="1" thickBot="1">
      <c r="A157" s="91" t="s">
        <v>665</v>
      </c>
      <c r="B157" s="92"/>
      <c r="C157" s="285">
        <v>8</v>
      </c>
      <c r="D157" s="285">
        <v>11</v>
      </c>
      <c r="E157" s="284">
        <v>10</v>
      </c>
    </row>
    <row r="158" spans="1:5" ht="14.25" customHeight="1" thickBot="1">
      <c r="A158" s="91" t="s">
        <v>666</v>
      </c>
      <c r="B158" s="92"/>
      <c r="C158" s="285">
        <v>51</v>
      </c>
      <c r="D158" s="285">
        <v>161</v>
      </c>
      <c r="E158" s="284">
        <v>143</v>
      </c>
    </row>
  </sheetData>
  <sheetProtection sheet="1" formatCells="0"/>
  <mergeCells count="5">
    <mergeCell ref="A92:E92"/>
    <mergeCell ref="B1:E1"/>
    <mergeCell ref="A7:E7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46">
      <selection activeCell="B165" sqref="B165"/>
    </sheetView>
  </sheetViews>
  <sheetFormatPr defaultColWidth="9.00390625" defaultRowHeight="12.75"/>
  <cols>
    <col min="1" max="1" width="16.125" style="157" customWidth="1"/>
    <col min="2" max="2" width="62.00390625" style="158" customWidth="1"/>
    <col min="3" max="3" width="14.125" style="159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17"/>
      <c r="B1" s="932" t="str">
        <f>CONCATENATE("6.1.1. melléklet ",Z_ALAPADATOK!A7," ",Z_ALAPADATOK!B7," ",Z_ALAPADATOK!C7," ",Z_ALAPADATOK!D7," ",Z_ALAPADATOK!E7," ",Z_ALAPADATOK!F7," ",Z_ALAPADATOK!G7," ",Z_ALAPADATOK!H7)</f>
        <v>6.1.1. melléklet a … / 2020. ( … ) önkormányzati rendelethez</v>
      </c>
      <c r="C1" s="933"/>
      <c r="D1" s="933"/>
      <c r="E1" s="933"/>
    </row>
    <row r="2" spans="1:5" s="46" customFormat="1" ht="21" customHeight="1" thickBot="1">
      <c r="A2" s="326" t="s">
        <v>224</v>
      </c>
      <c r="B2" s="934" t="str">
        <f>CONCATENATE(Z_ALAPADATOK!A3)</f>
        <v>Elek Város Önkormányzata</v>
      </c>
      <c r="C2" s="934"/>
      <c r="D2" s="934"/>
      <c r="E2" s="327" t="s">
        <v>218</v>
      </c>
    </row>
    <row r="3" spans="1:5" s="46" customFormat="1" ht="24.75" thickBot="1">
      <c r="A3" s="326" t="s">
        <v>315</v>
      </c>
      <c r="B3" s="934" t="s">
        <v>502</v>
      </c>
      <c r="C3" s="934"/>
      <c r="D3" s="934"/>
      <c r="E3" s="328" t="s">
        <v>222</v>
      </c>
    </row>
    <row r="4" spans="1:5" s="47" customFormat="1" ht="15.75" customHeight="1" thickBot="1">
      <c r="A4" s="320"/>
      <c r="B4" s="320"/>
      <c r="C4" s="321"/>
      <c r="D4" s="322"/>
      <c r="E4" s="321" t="str">
        <f>'Z_6.1.sz.mell'!E4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CONCATENATE('Z_6.1.sz.mell'!E5)</f>
        <v>Teljesítés
2019. XII. 31.</v>
      </c>
    </row>
    <row r="6" spans="1:5" s="42" customFormat="1" ht="12.75" customHeight="1" thickBot="1">
      <c r="A6" s="72" t="s">
        <v>565</v>
      </c>
      <c r="B6" s="73" t="s">
        <v>566</v>
      </c>
      <c r="C6" s="73" t="s">
        <v>567</v>
      </c>
      <c r="D6" s="279" t="s">
        <v>569</v>
      </c>
      <c r="E6" s="74" t="s">
        <v>568</v>
      </c>
    </row>
    <row r="7" spans="1:5" s="42" customFormat="1" ht="15.75" customHeight="1" thickBot="1">
      <c r="A7" s="929" t="s">
        <v>219</v>
      </c>
      <c r="B7" s="930"/>
      <c r="C7" s="930"/>
      <c r="D7" s="930"/>
      <c r="E7" s="931"/>
    </row>
    <row r="8" spans="1:5" s="42" customFormat="1" ht="12" customHeight="1" thickBot="1">
      <c r="A8" s="25" t="s">
        <v>186</v>
      </c>
      <c r="B8" s="19" t="s">
        <v>342</v>
      </c>
      <c r="C8" s="164">
        <f>+C9+C10+C11+C12+C13+C14</f>
        <v>413947518</v>
      </c>
      <c r="D8" s="246">
        <f>+D9+D10+D11+D12+D13+D14</f>
        <v>472195561</v>
      </c>
      <c r="E8" s="100">
        <f>+E9+E10+E11+E12+E13+E14</f>
        <v>472195561</v>
      </c>
    </row>
    <row r="9" spans="1:5" s="48" customFormat="1" ht="12" customHeight="1">
      <c r="A9" s="194" t="s">
        <v>243</v>
      </c>
      <c r="B9" s="177" t="s">
        <v>343</v>
      </c>
      <c r="C9" s="166">
        <v>180621648</v>
      </c>
      <c r="D9" s="247">
        <v>186418794</v>
      </c>
      <c r="E9" s="247">
        <v>186418794</v>
      </c>
    </row>
    <row r="10" spans="1:5" s="49" customFormat="1" ht="12" customHeight="1">
      <c r="A10" s="195" t="s">
        <v>244</v>
      </c>
      <c r="B10" s="178" t="s">
        <v>344</v>
      </c>
      <c r="C10" s="165">
        <v>91830668</v>
      </c>
      <c r="D10" s="248">
        <v>92224426</v>
      </c>
      <c r="E10" s="248">
        <v>92224426</v>
      </c>
    </row>
    <row r="11" spans="1:5" s="49" customFormat="1" ht="12" customHeight="1">
      <c r="A11" s="195" t="s">
        <v>245</v>
      </c>
      <c r="B11" s="178" t="s">
        <v>345</v>
      </c>
      <c r="C11" s="165">
        <v>135618232</v>
      </c>
      <c r="D11" s="248">
        <v>154357883</v>
      </c>
      <c r="E11" s="248">
        <v>154357883</v>
      </c>
    </row>
    <row r="12" spans="1:5" s="49" customFormat="1" ht="12" customHeight="1">
      <c r="A12" s="195" t="s">
        <v>246</v>
      </c>
      <c r="B12" s="178" t="s">
        <v>346</v>
      </c>
      <c r="C12" s="165">
        <v>5876970</v>
      </c>
      <c r="D12" s="248">
        <v>6759903</v>
      </c>
      <c r="E12" s="248">
        <v>6759903</v>
      </c>
    </row>
    <row r="13" spans="1:5" s="49" customFormat="1" ht="12" customHeight="1">
      <c r="A13" s="195" t="s">
        <v>277</v>
      </c>
      <c r="B13" s="178" t="s">
        <v>573</v>
      </c>
      <c r="C13" s="165"/>
      <c r="D13" s="248">
        <v>32434555</v>
      </c>
      <c r="E13" s="248">
        <v>32434555</v>
      </c>
    </row>
    <row r="14" spans="1:5" s="48" customFormat="1" ht="12" customHeight="1" thickBot="1">
      <c r="A14" s="196" t="s">
        <v>247</v>
      </c>
      <c r="B14" s="179" t="s">
        <v>514</v>
      </c>
      <c r="C14" s="165"/>
      <c r="D14" s="248"/>
      <c r="E14" s="101"/>
    </row>
    <row r="15" spans="1:5" s="48" customFormat="1" ht="12" customHeight="1" thickBot="1">
      <c r="A15" s="25" t="s">
        <v>187</v>
      </c>
      <c r="B15" s="107" t="s">
        <v>347</v>
      </c>
      <c r="C15" s="164">
        <f>+C16+C17+C18+C19+C20</f>
        <v>19042591</v>
      </c>
      <c r="D15" s="246">
        <f>+D16+D17+D18+D19+D20</f>
        <v>196745642</v>
      </c>
      <c r="E15" s="100">
        <f>+E16+E17+E18+E19+E20</f>
        <v>196745642</v>
      </c>
    </row>
    <row r="16" spans="1:5" s="48" customFormat="1" ht="12" customHeight="1">
      <c r="A16" s="194" t="s">
        <v>249</v>
      </c>
      <c r="B16" s="177" t="s">
        <v>348</v>
      </c>
      <c r="C16" s="166"/>
      <c r="D16" s="247"/>
      <c r="E16" s="102"/>
    </row>
    <row r="17" spans="1:5" s="48" customFormat="1" ht="12" customHeight="1">
      <c r="A17" s="195" t="s">
        <v>250</v>
      </c>
      <c r="B17" s="178" t="s">
        <v>349</v>
      </c>
      <c r="C17" s="165"/>
      <c r="D17" s="248"/>
      <c r="E17" s="101"/>
    </row>
    <row r="18" spans="1:5" s="48" customFormat="1" ht="12" customHeight="1">
      <c r="A18" s="195" t="s">
        <v>251</v>
      </c>
      <c r="B18" s="178" t="s">
        <v>505</v>
      </c>
      <c r="C18" s="165"/>
      <c r="D18" s="248"/>
      <c r="E18" s="101"/>
    </row>
    <row r="19" spans="1:5" s="48" customFormat="1" ht="12" customHeight="1">
      <c r="A19" s="195" t="s">
        <v>252</v>
      </c>
      <c r="B19" s="178" t="s">
        <v>506</v>
      </c>
      <c r="C19" s="165"/>
      <c r="D19" s="248"/>
      <c r="E19" s="101"/>
    </row>
    <row r="20" spans="1:5" s="48" customFormat="1" ht="12" customHeight="1">
      <c r="A20" s="195" t="s">
        <v>253</v>
      </c>
      <c r="B20" s="178" t="s">
        <v>350</v>
      </c>
      <c r="C20" s="165">
        <v>19042591</v>
      </c>
      <c r="D20" s="248">
        <v>196745642</v>
      </c>
      <c r="E20" s="101">
        <v>196745642</v>
      </c>
    </row>
    <row r="21" spans="1:5" s="49" customFormat="1" ht="12" customHeight="1" thickBot="1">
      <c r="A21" s="196" t="s">
        <v>260</v>
      </c>
      <c r="B21" s="179" t="s">
        <v>351</v>
      </c>
      <c r="C21" s="167"/>
      <c r="D21" s="249"/>
      <c r="E21" s="103"/>
    </row>
    <row r="22" spans="1:5" s="49" customFormat="1" ht="12" customHeight="1" thickBot="1">
      <c r="A22" s="25" t="s">
        <v>188</v>
      </c>
      <c r="B22" s="19" t="s">
        <v>352</v>
      </c>
      <c r="C22" s="164">
        <f>+C23+C24+C25+C26+C27</f>
        <v>8856290</v>
      </c>
      <c r="D22" s="246">
        <f>+D23+D24+D25+D26+D27</f>
        <v>21365360</v>
      </c>
      <c r="E22" s="100">
        <f>+E23+E24+E25+E26+E27</f>
        <v>21365360</v>
      </c>
    </row>
    <row r="23" spans="1:5" s="49" customFormat="1" ht="12" customHeight="1">
      <c r="A23" s="194" t="s">
        <v>232</v>
      </c>
      <c r="B23" s="177" t="s">
        <v>353</v>
      </c>
      <c r="C23" s="166"/>
      <c r="D23" s="247">
        <v>268000</v>
      </c>
      <c r="E23" s="102">
        <v>268000</v>
      </c>
    </row>
    <row r="24" spans="1:5" s="48" customFormat="1" ht="12" customHeight="1">
      <c r="A24" s="195" t="s">
        <v>233</v>
      </c>
      <c r="B24" s="178" t="s">
        <v>354</v>
      </c>
      <c r="C24" s="165"/>
      <c r="D24" s="248"/>
      <c r="E24" s="101"/>
    </row>
    <row r="25" spans="1:5" s="49" customFormat="1" ht="12" customHeight="1">
      <c r="A25" s="195" t="s">
        <v>234</v>
      </c>
      <c r="B25" s="178" t="s">
        <v>507</v>
      </c>
      <c r="C25" s="165"/>
      <c r="D25" s="248"/>
      <c r="E25" s="101"/>
    </row>
    <row r="26" spans="1:5" s="49" customFormat="1" ht="12" customHeight="1">
      <c r="A26" s="195" t="s">
        <v>235</v>
      </c>
      <c r="B26" s="178" t="s">
        <v>508</v>
      </c>
      <c r="C26" s="165"/>
      <c r="D26" s="248"/>
      <c r="E26" s="101"/>
    </row>
    <row r="27" spans="1:5" s="49" customFormat="1" ht="12" customHeight="1">
      <c r="A27" s="195" t="s">
        <v>290</v>
      </c>
      <c r="B27" s="178" t="s">
        <v>355</v>
      </c>
      <c r="C27" s="165">
        <v>8856290</v>
      </c>
      <c r="D27" s="248">
        <v>21097360</v>
      </c>
      <c r="E27" s="101">
        <v>21097360</v>
      </c>
    </row>
    <row r="28" spans="1:5" s="49" customFormat="1" ht="12" customHeight="1" thickBot="1">
      <c r="A28" s="196" t="s">
        <v>291</v>
      </c>
      <c r="B28" s="179" t="s">
        <v>356</v>
      </c>
      <c r="C28" s="167"/>
      <c r="D28" s="249"/>
      <c r="E28" s="103"/>
    </row>
    <row r="29" spans="1:5" s="49" customFormat="1" ht="12" customHeight="1" thickBot="1">
      <c r="A29" s="25" t="s">
        <v>292</v>
      </c>
      <c r="B29" s="19" t="s">
        <v>656</v>
      </c>
      <c r="C29" s="170">
        <f>SUM(C30:C36)</f>
        <v>60000000</v>
      </c>
      <c r="D29" s="170">
        <f>SUM(D30:D36)</f>
        <v>74848030</v>
      </c>
      <c r="E29" s="206">
        <f>SUM(E30:E36)</f>
        <v>74848030</v>
      </c>
    </row>
    <row r="30" spans="1:5" s="49" customFormat="1" ht="12" customHeight="1">
      <c r="A30" s="194" t="s">
        <v>357</v>
      </c>
      <c r="B30" s="177" t="str">
        <f>'Z_1.1.sz.mell.'!B33</f>
        <v>Magánszemélyek kommunális adója</v>
      </c>
      <c r="C30" s="166">
        <v>4500000</v>
      </c>
      <c r="D30" s="166">
        <v>4673191</v>
      </c>
      <c r="E30" s="166">
        <v>4673191</v>
      </c>
    </row>
    <row r="31" spans="1:5" s="49" customFormat="1" ht="12" customHeight="1">
      <c r="A31" s="195" t="s">
        <v>358</v>
      </c>
      <c r="B31" s="177" t="str">
        <f>'Z_1.1.sz.mell.'!B34</f>
        <v>Idegenforgalmi adó </v>
      </c>
      <c r="C31" s="165"/>
      <c r="D31" s="165"/>
      <c r="E31" s="165"/>
    </row>
    <row r="32" spans="1:5" s="49" customFormat="1" ht="12" customHeight="1">
      <c r="A32" s="195" t="s">
        <v>359</v>
      </c>
      <c r="B32" s="177" t="str">
        <f>'Z_1.1.sz.mell.'!B35</f>
        <v>Iparűzési adó</v>
      </c>
      <c r="C32" s="165">
        <v>48000000</v>
      </c>
      <c r="D32" s="165">
        <v>59690359</v>
      </c>
      <c r="E32" s="165">
        <v>59690359</v>
      </c>
    </row>
    <row r="33" spans="1:5" s="49" customFormat="1" ht="12" customHeight="1">
      <c r="A33" s="195" t="s">
        <v>360</v>
      </c>
      <c r="B33" s="177" t="str">
        <f>'Z_1.1.sz.mell.'!B36</f>
        <v>Talajterhelési díj</v>
      </c>
      <c r="C33" s="165"/>
      <c r="D33" s="165"/>
      <c r="E33" s="165"/>
    </row>
    <row r="34" spans="1:5" s="49" customFormat="1" ht="12" customHeight="1">
      <c r="A34" s="195" t="s">
        <v>660</v>
      </c>
      <c r="B34" s="177" t="str">
        <f>'Z_1.1.sz.mell.'!B37</f>
        <v>Gépjárműadó</v>
      </c>
      <c r="C34" s="165">
        <v>7500000</v>
      </c>
      <c r="D34" s="165">
        <v>9880000</v>
      </c>
      <c r="E34" s="165">
        <v>9880000</v>
      </c>
    </row>
    <row r="35" spans="1:5" s="49" customFormat="1" ht="12" customHeight="1">
      <c r="A35" s="195" t="s">
        <v>661</v>
      </c>
      <c r="B35" s="177" t="str">
        <f>'Z_1.1.sz.mell.'!B38</f>
        <v>Telekadó</v>
      </c>
      <c r="C35" s="165"/>
      <c r="D35" s="165"/>
      <c r="E35" s="165"/>
    </row>
    <row r="36" spans="1:5" s="49" customFormat="1" ht="12" customHeight="1" thickBot="1">
      <c r="A36" s="196" t="s">
        <v>662</v>
      </c>
      <c r="B36" s="177" t="str">
        <f>'Z_1.1.sz.mell.'!B39</f>
        <v>Egyéb közhatalmi bevételek</v>
      </c>
      <c r="C36" s="167"/>
      <c r="D36" s="167">
        <v>604480</v>
      </c>
      <c r="E36" s="167">
        <v>604480</v>
      </c>
    </row>
    <row r="37" spans="1:5" s="49" customFormat="1" ht="12" customHeight="1" thickBot="1">
      <c r="A37" s="25" t="s">
        <v>190</v>
      </c>
      <c r="B37" s="19" t="s">
        <v>515</v>
      </c>
      <c r="C37" s="164">
        <f>SUM(C38:C48)</f>
        <v>37493800</v>
      </c>
      <c r="D37" s="246">
        <f>SUM(D38:D48)</f>
        <v>34915803</v>
      </c>
      <c r="E37" s="100">
        <f>SUM(E38:E48)</f>
        <v>34915805</v>
      </c>
    </row>
    <row r="38" spans="1:5" s="49" customFormat="1" ht="12" customHeight="1">
      <c r="A38" s="194" t="s">
        <v>236</v>
      </c>
      <c r="B38" s="177" t="s">
        <v>364</v>
      </c>
      <c r="C38" s="166">
        <v>2000000</v>
      </c>
      <c r="D38" s="247">
        <v>1459635</v>
      </c>
      <c r="E38" s="102">
        <v>1459635</v>
      </c>
    </row>
    <row r="39" spans="1:5" s="49" customFormat="1" ht="12" customHeight="1">
      <c r="A39" s="195" t="s">
        <v>237</v>
      </c>
      <c r="B39" s="178" t="s">
        <v>365</v>
      </c>
      <c r="C39" s="165">
        <v>5986000</v>
      </c>
      <c r="D39" s="248">
        <v>6866385</v>
      </c>
      <c r="E39" s="101">
        <v>6866385</v>
      </c>
    </row>
    <row r="40" spans="1:5" s="49" customFormat="1" ht="12" customHeight="1">
      <c r="A40" s="195" t="s">
        <v>238</v>
      </c>
      <c r="B40" s="178" t="s">
        <v>366</v>
      </c>
      <c r="C40" s="165">
        <v>8300000</v>
      </c>
      <c r="D40" s="248">
        <v>2890662</v>
      </c>
      <c r="E40" s="101">
        <v>2890662</v>
      </c>
    </row>
    <row r="41" spans="1:5" s="49" customFormat="1" ht="12" customHeight="1">
      <c r="A41" s="195" t="s">
        <v>294</v>
      </c>
      <c r="B41" s="178" t="s">
        <v>367</v>
      </c>
      <c r="C41" s="165">
        <v>13541000</v>
      </c>
      <c r="D41" s="248">
        <v>10221618</v>
      </c>
      <c r="E41" s="101">
        <v>10221618</v>
      </c>
    </row>
    <row r="42" spans="1:5" s="49" customFormat="1" ht="12" customHeight="1">
      <c r="A42" s="195" t="s">
        <v>295</v>
      </c>
      <c r="B42" s="178" t="s">
        <v>368</v>
      </c>
      <c r="C42" s="165"/>
      <c r="D42" s="248"/>
      <c r="E42" s="101"/>
    </row>
    <row r="43" spans="1:5" s="49" customFormat="1" ht="12" customHeight="1">
      <c r="A43" s="195" t="s">
        <v>296</v>
      </c>
      <c r="B43" s="178" t="s">
        <v>369</v>
      </c>
      <c r="C43" s="165">
        <v>6666800</v>
      </c>
      <c r="D43" s="248">
        <v>3536908</v>
      </c>
      <c r="E43" s="101">
        <v>3536908</v>
      </c>
    </row>
    <row r="44" spans="1:5" s="49" customFormat="1" ht="12" customHeight="1">
      <c r="A44" s="195" t="s">
        <v>297</v>
      </c>
      <c r="B44" s="178" t="s">
        <v>370</v>
      </c>
      <c r="C44" s="165"/>
      <c r="D44" s="248"/>
      <c r="E44" s="101"/>
    </row>
    <row r="45" spans="1:5" s="49" customFormat="1" ht="12" customHeight="1">
      <c r="A45" s="195" t="s">
        <v>298</v>
      </c>
      <c r="B45" s="178" t="s">
        <v>663</v>
      </c>
      <c r="C45" s="165"/>
      <c r="D45" s="248">
        <v>274</v>
      </c>
      <c r="E45" s="101">
        <v>274</v>
      </c>
    </row>
    <row r="46" spans="1:5" s="49" customFormat="1" ht="12" customHeight="1">
      <c r="A46" s="195" t="s">
        <v>362</v>
      </c>
      <c r="B46" s="178" t="s">
        <v>372</v>
      </c>
      <c r="C46" s="168"/>
      <c r="D46" s="280">
        <v>7545</v>
      </c>
      <c r="E46" s="104">
        <v>7545</v>
      </c>
    </row>
    <row r="47" spans="1:5" s="49" customFormat="1" ht="12" customHeight="1">
      <c r="A47" s="196" t="s">
        <v>363</v>
      </c>
      <c r="B47" s="179" t="s">
        <v>517</v>
      </c>
      <c r="C47" s="169"/>
      <c r="D47" s="281">
        <v>336109</v>
      </c>
      <c r="E47" s="105">
        <v>336109</v>
      </c>
    </row>
    <row r="48" spans="1:5" s="49" customFormat="1" ht="12" customHeight="1" thickBot="1">
      <c r="A48" s="196" t="s">
        <v>516</v>
      </c>
      <c r="B48" s="179" t="s">
        <v>373</v>
      </c>
      <c r="C48" s="169">
        <v>1000000</v>
      </c>
      <c r="D48" s="281">
        <v>9596667</v>
      </c>
      <c r="E48" s="105">
        <v>9596669</v>
      </c>
    </row>
    <row r="49" spans="1:5" s="49" customFormat="1" ht="12" customHeight="1" thickBot="1">
      <c r="A49" s="25" t="s">
        <v>191</v>
      </c>
      <c r="B49" s="19" t="s">
        <v>374</v>
      </c>
      <c r="C49" s="164">
        <f>SUM(C50:C54)</f>
        <v>0</v>
      </c>
      <c r="D49" s="246">
        <f>SUM(D50:D54)</f>
        <v>75248</v>
      </c>
      <c r="E49" s="100">
        <f>SUM(E50:E54)</f>
        <v>75248</v>
      </c>
    </row>
    <row r="50" spans="1:5" s="49" customFormat="1" ht="12" customHeight="1">
      <c r="A50" s="194" t="s">
        <v>239</v>
      </c>
      <c r="B50" s="177" t="s">
        <v>378</v>
      </c>
      <c r="C50" s="217"/>
      <c r="D50" s="282"/>
      <c r="E50" s="106"/>
    </row>
    <row r="51" spans="1:5" s="49" customFormat="1" ht="12" customHeight="1">
      <c r="A51" s="195" t="s">
        <v>240</v>
      </c>
      <c r="B51" s="178" t="s">
        <v>379</v>
      </c>
      <c r="C51" s="168"/>
      <c r="D51" s="280">
        <v>59500</v>
      </c>
      <c r="E51" s="104">
        <v>59500</v>
      </c>
    </row>
    <row r="52" spans="1:5" s="49" customFormat="1" ht="12" customHeight="1">
      <c r="A52" s="195" t="s">
        <v>375</v>
      </c>
      <c r="B52" s="178" t="s">
        <v>380</v>
      </c>
      <c r="C52" s="168"/>
      <c r="D52" s="280">
        <v>15748</v>
      </c>
      <c r="E52" s="104">
        <v>15748</v>
      </c>
    </row>
    <row r="53" spans="1:5" s="49" customFormat="1" ht="12" customHeight="1">
      <c r="A53" s="195" t="s">
        <v>376</v>
      </c>
      <c r="B53" s="178" t="s">
        <v>381</v>
      </c>
      <c r="C53" s="168"/>
      <c r="D53" s="280"/>
      <c r="E53" s="104"/>
    </row>
    <row r="54" spans="1:5" s="49" customFormat="1" ht="12" customHeight="1" thickBot="1">
      <c r="A54" s="196" t="s">
        <v>377</v>
      </c>
      <c r="B54" s="179" t="s">
        <v>382</v>
      </c>
      <c r="C54" s="169"/>
      <c r="D54" s="281"/>
      <c r="E54" s="105"/>
    </row>
    <row r="55" spans="1:5" s="49" customFormat="1" ht="12" customHeight="1" thickBot="1">
      <c r="A55" s="25" t="s">
        <v>299</v>
      </c>
      <c r="B55" s="19" t="s">
        <v>383</v>
      </c>
      <c r="C55" s="164">
        <f>SUM(C56:C58)</f>
        <v>0</v>
      </c>
      <c r="D55" s="246">
        <f>SUM(D56:D58)</f>
        <v>321510</v>
      </c>
      <c r="E55" s="100">
        <f>SUM(E56:E58)</f>
        <v>321510</v>
      </c>
    </row>
    <row r="56" spans="1:5" s="49" customFormat="1" ht="12" customHeight="1">
      <c r="A56" s="194" t="s">
        <v>241</v>
      </c>
      <c r="B56" s="177" t="s">
        <v>384</v>
      </c>
      <c r="C56" s="166"/>
      <c r="D56" s="247"/>
      <c r="E56" s="102"/>
    </row>
    <row r="57" spans="1:5" s="49" customFormat="1" ht="12" customHeight="1">
      <c r="A57" s="195" t="s">
        <v>242</v>
      </c>
      <c r="B57" s="178" t="s">
        <v>509</v>
      </c>
      <c r="C57" s="165"/>
      <c r="D57" s="248"/>
      <c r="E57" s="101"/>
    </row>
    <row r="58" spans="1:5" s="49" customFormat="1" ht="12" customHeight="1">
      <c r="A58" s="195" t="s">
        <v>387</v>
      </c>
      <c r="B58" s="178" t="s">
        <v>385</v>
      </c>
      <c r="C58" s="165"/>
      <c r="D58" s="248">
        <v>321510</v>
      </c>
      <c r="E58" s="101">
        <v>321510</v>
      </c>
    </row>
    <row r="59" spans="1:5" s="49" customFormat="1" ht="12" customHeight="1" thickBot="1">
      <c r="A59" s="196" t="s">
        <v>388</v>
      </c>
      <c r="B59" s="179" t="s">
        <v>386</v>
      </c>
      <c r="C59" s="167"/>
      <c r="D59" s="249"/>
      <c r="E59" s="103"/>
    </row>
    <row r="60" spans="1:5" s="49" customFormat="1" ht="12" customHeight="1" thickBot="1">
      <c r="A60" s="25" t="s">
        <v>193</v>
      </c>
      <c r="B60" s="107" t="s">
        <v>389</v>
      </c>
      <c r="C60" s="164">
        <f>SUM(C61:C63)</f>
        <v>13000000</v>
      </c>
      <c r="D60" s="246">
        <f>SUM(D61:D63)</f>
        <v>13030000</v>
      </c>
      <c r="E60" s="100">
        <f>SUM(E61:E63)</f>
        <v>13030000</v>
      </c>
    </row>
    <row r="61" spans="1:5" s="49" customFormat="1" ht="12" customHeight="1">
      <c r="A61" s="194" t="s">
        <v>300</v>
      </c>
      <c r="B61" s="177" t="s">
        <v>391</v>
      </c>
      <c r="C61" s="168"/>
      <c r="D61" s="280"/>
      <c r="E61" s="104"/>
    </row>
    <row r="62" spans="1:5" s="49" customFormat="1" ht="12" customHeight="1">
      <c r="A62" s="195" t="s">
        <v>301</v>
      </c>
      <c r="B62" s="178" t="s">
        <v>510</v>
      </c>
      <c r="C62" s="168"/>
      <c r="D62" s="280">
        <v>30000</v>
      </c>
      <c r="E62" s="104">
        <v>30000</v>
      </c>
    </row>
    <row r="63" spans="1:5" s="49" customFormat="1" ht="12" customHeight="1">
      <c r="A63" s="195" t="s">
        <v>324</v>
      </c>
      <c r="B63" s="178" t="s">
        <v>392</v>
      </c>
      <c r="C63" s="168">
        <v>13000000</v>
      </c>
      <c r="D63" s="280">
        <v>13000000</v>
      </c>
      <c r="E63" s="104">
        <v>13000000</v>
      </c>
    </row>
    <row r="64" spans="1:5" s="49" customFormat="1" ht="12" customHeight="1" thickBot="1">
      <c r="A64" s="196" t="s">
        <v>390</v>
      </c>
      <c r="B64" s="179" t="s">
        <v>393</v>
      </c>
      <c r="C64" s="168"/>
      <c r="D64" s="280"/>
      <c r="E64" s="104"/>
    </row>
    <row r="65" spans="1:5" s="49" customFormat="1" ht="12" customHeight="1" thickBot="1">
      <c r="A65" s="25" t="s">
        <v>194</v>
      </c>
      <c r="B65" s="19" t="s">
        <v>394</v>
      </c>
      <c r="C65" s="170">
        <f>+C8+C15+C22+C29+C37+C49+C55+C60</f>
        <v>552340199</v>
      </c>
      <c r="D65" s="250">
        <f>+D8+D15+D22+D29+D37+D49+D55+D60</f>
        <v>813497154</v>
      </c>
      <c r="E65" s="206">
        <f>+E8+E15+E22+E29+E37+E49+E55+E60</f>
        <v>813497156</v>
      </c>
    </row>
    <row r="66" spans="1:5" s="49" customFormat="1" ht="12" customHeight="1" thickBot="1">
      <c r="A66" s="197" t="s">
        <v>479</v>
      </c>
      <c r="B66" s="107" t="s">
        <v>396</v>
      </c>
      <c r="C66" s="164">
        <f>SUM(C67:C69)</f>
        <v>0</v>
      </c>
      <c r="D66" s="246">
        <f>SUM(D67:D69)</f>
        <v>0</v>
      </c>
      <c r="E66" s="100">
        <f>SUM(E67:E69)</f>
        <v>0</v>
      </c>
    </row>
    <row r="67" spans="1:5" s="49" customFormat="1" ht="12" customHeight="1">
      <c r="A67" s="194" t="s">
        <v>424</v>
      </c>
      <c r="B67" s="177" t="s">
        <v>397</v>
      </c>
      <c r="C67" s="168"/>
      <c r="D67" s="280"/>
      <c r="E67" s="104"/>
    </row>
    <row r="68" spans="1:5" s="49" customFormat="1" ht="12" customHeight="1">
      <c r="A68" s="195" t="s">
        <v>433</v>
      </c>
      <c r="B68" s="178" t="s">
        <v>398</v>
      </c>
      <c r="C68" s="168"/>
      <c r="D68" s="280"/>
      <c r="E68" s="104"/>
    </row>
    <row r="69" spans="1:5" s="49" customFormat="1" ht="12" customHeight="1" thickBot="1">
      <c r="A69" s="204" t="s">
        <v>434</v>
      </c>
      <c r="B69" s="314" t="s">
        <v>399</v>
      </c>
      <c r="C69" s="315"/>
      <c r="D69" s="283"/>
      <c r="E69" s="316"/>
    </row>
    <row r="70" spans="1:5" s="49" customFormat="1" ht="12" customHeight="1" thickBot="1">
      <c r="A70" s="197" t="s">
        <v>400</v>
      </c>
      <c r="B70" s="107" t="s">
        <v>401</v>
      </c>
      <c r="C70" s="164">
        <f>SUM(C71:C74)</f>
        <v>0</v>
      </c>
      <c r="D70" s="164">
        <f>SUM(D71:D74)</f>
        <v>0</v>
      </c>
      <c r="E70" s="100">
        <f>SUM(E71:E74)</f>
        <v>0</v>
      </c>
    </row>
    <row r="71" spans="1:5" s="49" customFormat="1" ht="12" customHeight="1">
      <c r="A71" s="194" t="s">
        <v>278</v>
      </c>
      <c r="B71" s="301" t="s">
        <v>402</v>
      </c>
      <c r="C71" s="168"/>
      <c r="D71" s="168"/>
      <c r="E71" s="104"/>
    </row>
    <row r="72" spans="1:5" s="49" customFormat="1" ht="12" customHeight="1">
      <c r="A72" s="195" t="s">
        <v>279</v>
      </c>
      <c r="B72" s="301" t="s">
        <v>670</v>
      </c>
      <c r="C72" s="168"/>
      <c r="D72" s="168"/>
      <c r="E72" s="104"/>
    </row>
    <row r="73" spans="1:5" s="49" customFormat="1" ht="12" customHeight="1">
      <c r="A73" s="195" t="s">
        <v>425</v>
      </c>
      <c r="B73" s="301" t="s">
        <v>403</v>
      </c>
      <c r="C73" s="168"/>
      <c r="D73" s="168"/>
      <c r="E73" s="104"/>
    </row>
    <row r="74" spans="1:5" s="49" customFormat="1" ht="12" customHeight="1" thickBot="1">
      <c r="A74" s="196" t="s">
        <v>426</v>
      </c>
      <c r="B74" s="302" t="s">
        <v>671</v>
      </c>
      <c r="C74" s="168"/>
      <c r="D74" s="168"/>
      <c r="E74" s="104"/>
    </row>
    <row r="75" spans="1:5" s="49" customFormat="1" ht="12" customHeight="1" thickBot="1">
      <c r="A75" s="197" t="s">
        <v>404</v>
      </c>
      <c r="B75" s="107" t="s">
        <v>405</v>
      </c>
      <c r="C75" s="164">
        <f>SUM(C76:C77)</f>
        <v>230456308</v>
      </c>
      <c r="D75" s="164">
        <f>SUM(D76:D77)</f>
        <v>405480970</v>
      </c>
      <c r="E75" s="100">
        <f>SUM(E76:E77)</f>
        <v>405480970</v>
      </c>
    </row>
    <row r="76" spans="1:5" s="49" customFormat="1" ht="12" customHeight="1">
      <c r="A76" s="194" t="s">
        <v>427</v>
      </c>
      <c r="B76" s="177" t="s">
        <v>406</v>
      </c>
      <c r="C76" s="168">
        <v>230456308</v>
      </c>
      <c r="D76" s="168">
        <v>405480970</v>
      </c>
      <c r="E76" s="104">
        <v>405480970</v>
      </c>
    </row>
    <row r="77" spans="1:5" s="49" customFormat="1" ht="12" customHeight="1" thickBot="1">
      <c r="A77" s="196" t="s">
        <v>428</v>
      </c>
      <c r="B77" s="179" t="s">
        <v>407</v>
      </c>
      <c r="C77" s="168"/>
      <c r="D77" s="168"/>
      <c r="E77" s="104"/>
    </row>
    <row r="78" spans="1:5" s="48" customFormat="1" ht="12" customHeight="1" thickBot="1">
      <c r="A78" s="197" t="s">
        <v>408</v>
      </c>
      <c r="B78" s="107" t="s">
        <v>409</v>
      </c>
      <c r="C78" s="164">
        <f>SUM(C79:C81)</f>
        <v>0</v>
      </c>
      <c r="D78" s="164">
        <f>SUM(D79:D81)</f>
        <v>17273526</v>
      </c>
      <c r="E78" s="100">
        <f>SUM(E79:E81)</f>
        <v>17273526</v>
      </c>
    </row>
    <row r="79" spans="1:5" s="49" customFormat="1" ht="12" customHeight="1">
      <c r="A79" s="194" t="s">
        <v>429</v>
      </c>
      <c r="B79" s="177" t="s">
        <v>410</v>
      </c>
      <c r="C79" s="168"/>
      <c r="D79" s="168">
        <v>17273526</v>
      </c>
      <c r="E79" s="104">
        <v>17273526</v>
      </c>
    </row>
    <row r="80" spans="1:5" s="49" customFormat="1" ht="12" customHeight="1">
      <c r="A80" s="195" t="s">
        <v>430</v>
      </c>
      <c r="B80" s="178" t="s">
        <v>411</v>
      </c>
      <c r="C80" s="168"/>
      <c r="D80" s="168"/>
      <c r="E80" s="104"/>
    </row>
    <row r="81" spans="1:5" s="49" customFormat="1" ht="12" customHeight="1" thickBot="1">
      <c r="A81" s="196" t="s">
        <v>431</v>
      </c>
      <c r="B81" s="179" t="s">
        <v>672</v>
      </c>
      <c r="C81" s="168"/>
      <c r="D81" s="168"/>
      <c r="E81" s="104"/>
    </row>
    <row r="82" spans="1:5" s="49" customFormat="1" ht="12" customHeight="1" thickBot="1">
      <c r="A82" s="197" t="s">
        <v>412</v>
      </c>
      <c r="B82" s="107" t="s">
        <v>432</v>
      </c>
      <c r="C82" s="164">
        <f>SUM(C83:C86)</f>
        <v>0</v>
      </c>
      <c r="D82" s="164">
        <f>SUM(D83:D86)</f>
        <v>0</v>
      </c>
      <c r="E82" s="100">
        <f>SUM(E83:E86)</f>
        <v>0</v>
      </c>
    </row>
    <row r="83" spans="1:5" s="49" customFormat="1" ht="12" customHeight="1">
      <c r="A83" s="198" t="s">
        <v>413</v>
      </c>
      <c r="B83" s="177" t="s">
        <v>414</v>
      </c>
      <c r="C83" s="168"/>
      <c r="D83" s="168"/>
      <c r="E83" s="104"/>
    </row>
    <row r="84" spans="1:5" s="49" customFormat="1" ht="12" customHeight="1">
      <c r="A84" s="199" t="s">
        <v>415</v>
      </c>
      <c r="B84" s="178" t="s">
        <v>416</v>
      </c>
      <c r="C84" s="168"/>
      <c r="D84" s="168"/>
      <c r="E84" s="104"/>
    </row>
    <row r="85" spans="1:5" s="49" customFormat="1" ht="12" customHeight="1">
      <c r="A85" s="199" t="s">
        <v>417</v>
      </c>
      <c r="B85" s="178" t="s">
        <v>418</v>
      </c>
      <c r="C85" s="168"/>
      <c r="D85" s="168"/>
      <c r="E85" s="104"/>
    </row>
    <row r="86" spans="1:5" s="48" customFormat="1" ht="12" customHeight="1" thickBot="1">
      <c r="A86" s="200" t="s">
        <v>419</v>
      </c>
      <c r="B86" s="179" t="s">
        <v>420</v>
      </c>
      <c r="C86" s="168"/>
      <c r="D86" s="168"/>
      <c r="E86" s="104"/>
    </row>
    <row r="87" spans="1:5" s="48" customFormat="1" ht="12" customHeight="1" thickBot="1">
      <c r="A87" s="197" t="s">
        <v>421</v>
      </c>
      <c r="B87" s="107" t="s">
        <v>556</v>
      </c>
      <c r="C87" s="220"/>
      <c r="D87" s="220"/>
      <c r="E87" s="221"/>
    </row>
    <row r="88" spans="1:5" s="48" customFormat="1" ht="12" customHeight="1" thickBot="1">
      <c r="A88" s="197" t="s">
        <v>574</v>
      </c>
      <c r="B88" s="107" t="s">
        <v>422</v>
      </c>
      <c r="C88" s="220"/>
      <c r="D88" s="220"/>
      <c r="E88" s="221"/>
    </row>
    <row r="89" spans="1:5" s="48" customFormat="1" ht="12" customHeight="1" thickBot="1">
      <c r="A89" s="197" t="s">
        <v>575</v>
      </c>
      <c r="B89" s="184" t="s">
        <v>559</v>
      </c>
      <c r="C89" s="170">
        <f>+C66+C70+C75+C78+C82+C88+C87</f>
        <v>230456308</v>
      </c>
      <c r="D89" s="170">
        <f>+D66+D70+D75+D78+D82+D88+D87</f>
        <v>422754496</v>
      </c>
      <c r="E89" s="206">
        <f>+E66+E70+E75+E78+E82+E88+E87</f>
        <v>422754496</v>
      </c>
    </row>
    <row r="90" spans="1:5" s="48" customFormat="1" ht="12" customHeight="1" thickBot="1">
      <c r="A90" s="201" t="s">
        <v>576</v>
      </c>
      <c r="B90" s="185" t="s">
        <v>577</v>
      </c>
      <c r="C90" s="170">
        <f>+C65+C89</f>
        <v>782796507</v>
      </c>
      <c r="D90" s="170">
        <f>+D65+D89</f>
        <v>1236251650</v>
      </c>
      <c r="E90" s="206">
        <f>+E65+E89</f>
        <v>1236251652</v>
      </c>
    </row>
    <row r="91" spans="1:3" s="49" customFormat="1" ht="15" customHeight="1" thickBot="1">
      <c r="A91" s="84"/>
      <c r="B91" s="85"/>
      <c r="C91" s="146"/>
    </row>
    <row r="92" spans="1:5" s="42" customFormat="1" ht="16.5" customHeight="1" thickBot="1">
      <c r="A92" s="929" t="s">
        <v>220</v>
      </c>
      <c r="B92" s="930"/>
      <c r="C92" s="930"/>
      <c r="D92" s="930"/>
      <c r="E92" s="931"/>
    </row>
    <row r="93" spans="1:5" s="50" customFormat="1" ht="12" customHeight="1" thickBot="1">
      <c r="A93" s="171" t="s">
        <v>186</v>
      </c>
      <c r="B93" s="24" t="s">
        <v>581</v>
      </c>
      <c r="C93" s="163">
        <f>+C94+C95+C96+C97+C98+C111</f>
        <v>230890347</v>
      </c>
      <c r="D93" s="163">
        <f>+D94+D95+D96+D97+D98+D111</f>
        <v>642104339</v>
      </c>
      <c r="E93" s="229">
        <f>+E94+E95+E96+E97+E98+E111</f>
        <v>413174605</v>
      </c>
    </row>
    <row r="94" spans="1:5" ht="12" customHeight="1">
      <c r="A94" s="202" t="s">
        <v>243</v>
      </c>
      <c r="B94" s="8" t="s">
        <v>215</v>
      </c>
      <c r="C94" s="236">
        <v>71188134</v>
      </c>
      <c r="D94" s="236">
        <v>212816033</v>
      </c>
      <c r="E94" s="230">
        <v>200871940</v>
      </c>
    </row>
    <row r="95" spans="1:5" ht="12" customHeight="1">
      <c r="A95" s="195" t="s">
        <v>244</v>
      </c>
      <c r="B95" s="6" t="s">
        <v>302</v>
      </c>
      <c r="C95" s="165">
        <v>10437700</v>
      </c>
      <c r="D95" s="165">
        <v>25366863</v>
      </c>
      <c r="E95" s="101">
        <v>24949153</v>
      </c>
    </row>
    <row r="96" spans="1:5" ht="12" customHeight="1">
      <c r="A96" s="195" t="s">
        <v>245</v>
      </c>
      <c r="B96" s="6" t="s">
        <v>270</v>
      </c>
      <c r="C96" s="167">
        <v>93468015</v>
      </c>
      <c r="D96" s="165">
        <v>137782520</v>
      </c>
      <c r="E96" s="103">
        <v>134790011</v>
      </c>
    </row>
    <row r="97" spans="1:5" ht="12" customHeight="1">
      <c r="A97" s="195" t="s">
        <v>246</v>
      </c>
      <c r="B97" s="9" t="s">
        <v>303</v>
      </c>
      <c r="C97" s="167">
        <v>26630000</v>
      </c>
      <c r="D97" s="249">
        <v>40134000</v>
      </c>
      <c r="E97" s="103">
        <v>39842942</v>
      </c>
    </row>
    <row r="98" spans="1:5" ht="12" customHeight="1">
      <c r="A98" s="195" t="s">
        <v>255</v>
      </c>
      <c r="B98" s="17" t="s">
        <v>304</v>
      </c>
      <c r="C98" s="167">
        <v>9166498</v>
      </c>
      <c r="D98" s="249">
        <v>17651099</v>
      </c>
      <c r="E98" s="103">
        <v>12720559</v>
      </c>
    </row>
    <row r="99" spans="1:5" ht="12" customHeight="1">
      <c r="A99" s="195" t="s">
        <v>247</v>
      </c>
      <c r="B99" s="6" t="s">
        <v>578</v>
      </c>
      <c r="C99" s="167">
        <v>5000000</v>
      </c>
      <c r="D99" s="249">
        <v>10252601</v>
      </c>
      <c r="E99" s="103">
        <v>9688721</v>
      </c>
    </row>
    <row r="100" spans="1:5" ht="12" customHeight="1">
      <c r="A100" s="195" t="s">
        <v>248</v>
      </c>
      <c r="B100" s="60" t="s">
        <v>522</v>
      </c>
      <c r="C100" s="167"/>
      <c r="D100" s="249"/>
      <c r="E100" s="103"/>
    </row>
    <row r="101" spans="1:5" ht="12" customHeight="1">
      <c r="A101" s="195" t="s">
        <v>256</v>
      </c>
      <c r="B101" s="60" t="s">
        <v>521</v>
      </c>
      <c r="C101" s="167"/>
      <c r="D101" s="249"/>
      <c r="E101" s="103"/>
    </row>
    <row r="102" spans="1:5" ht="12" customHeight="1">
      <c r="A102" s="195" t="s">
        <v>257</v>
      </c>
      <c r="B102" s="60" t="s">
        <v>438</v>
      </c>
      <c r="C102" s="167"/>
      <c r="D102" s="249"/>
      <c r="E102" s="103"/>
    </row>
    <row r="103" spans="1:5" ht="12" customHeight="1">
      <c r="A103" s="195" t="s">
        <v>258</v>
      </c>
      <c r="B103" s="61" t="s">
        <v>439</v>
      </c>
      <c r="C103" s="167"/>
      <c r="D103" s="249"/>
      <c r="E103" s="103"/>
    </row>
    <row r="104" spans="1:5" ht="12" customHeight="1">
      <c r="A104" s="195" t="s">
        <v>259</v>
      </c>
      <c r="B104" s="61" t="s">
        <v>440</v>
      </c>
      <c r="C104" s="167"/>
      <c r="D104" s="249"/>
      <c r="E104" s="103"/>
    </row>
    <row r="105" spans="1:5" ht="12" customHeight="1">
      <c r="A105" s="195" t="s">
        <v>261</v>
      </c>
      <c r="B105" s="60" t="s">
        <v>441</v>
      </c>
      <c r="C105" s="167">
        <v>3170838</v>
      </c>
      <c r="D105" s="249">
        <v>6000838</v>
      </c>
      <c r="E105" s="103">
        <v>2950838</v>
      </c>
    </row>
    <row r="106" spans="1:5" ht="12" customHeight="1">
      <c r="A106" s="195" t="s">
        <v>305</v>
      </c>
      <c r="B106" s="60" t="s">
        <v>442</v>
      </c>
      <c r="C106" s="167"/>
      <c r="D106" s="249"/>
      <c r="E106" s="103"/>
    </row>
    <row r="107" spans="1:5" ht="12" customHeight="1">
      <c r="A107" s="195" t="s">
        <v>436</v>
      </c>
      <c r="B107" s="61" t="s">
        <v>443</v>
      </c>
      <c r="C107" s="165"/>
      <c r="D107" s="249"/>
      <c r="E107" s="103"/>
    </row>
    <row r="108" spans="1:5" ht="12" customHeight="1">
      <c r="A108" s="203" t="s">
        <v>437</v>
      </c>
      <c r="B108" s="62" t="s">
        <v>444</v>
      </c>
      <c r="C108" s="167"/>
      <c r="D108" s="249"/>
      <c r="E108" s="103"/>
    </row>
    <row r="109" spans="1:5" ht="12" customHeight="1">
      <c r="A109" s="195" t="s">
        <v>519</v>
      </c>
      <c r="B109" s="62" t="s">
        <v>445</v>
      </c>
      <c r="C109" s="167"/>
      <c r="D109" s="249"/>
      <c r="E109" s="103"/>
    </row>
    <row r="110" spans="1:5" ht="12" customHeight="1">
      <c r="A110" s="195" t="s">
        <v>520</v>
      </c>
      <c r="B110" s="61" t="s">
        <v>446</v>
      </c>
      <c r="C110" s="165">
        <v>995660</v>
      </c>
      <c r="D110" s="248">
        <v>1397660</v>
      </c>
      <c r="E110" s="101">
        <v>81000</v>
      </c>
    </row>
    <row r="111" spans="1:5" ht="12" customHeight="1">
      <c r="A111" s="195" t="s">
        <v>524</v>
      </c>
      <c r="B111" s="9" t="s">
        <v>216</v>
      </c>
      <c r="C111" s="165">
        <f>SUM(C112:C113)</f>
        <v>20000000</v>
      </c>
      <c r="D111" s="165">
        <f>SUM(D112:D113)</f>
        <v>208353824</v>
      </c>
      <c r="E111" s="101"/>
    </row>
    <row r="112" spans="1:5" ht="12" customHeight="1">
      <c r="A112" s="196" t="s">
        <v>525</v>
      </c>
      <c r="B112" s="6" t="s">
        <v>579</v>
      </c>
      <c r="C112" s="167">
        <v>17647000</v>
      </c>
      <c r="D112" s="249">
        <v>190490983</v>
      </c>
      <c r="E112" s="103"/>
    </row>
    <row r="113" spans="1:5" ht="12" customHeight="1" thickBot="1">
      <c r="A113" s="204" t="s">
        <v>526</v>
      </c>
      <c r="B113" s="63" t="s">
        <v>580</v>
      </c>
      <c r="C113" s="237">
        <v>2353000</v>
      </c>
      <c r="D113" s="286">
        <v>17862841</v>
      </c>
      <c r="E113" s="231"/>
    </row>
    <row r="114" spans="1:5" ht="12" customHeight="1" thickBot="1">
      <c r="A114" s="25" t="s">
        <v>187</v>
      </c>
      <c r="B114" s="23" t="s">
        <v>447</v>
      </c>
      <c r="C114" s="164">
        <f>+C115+C117+C119</f>
        <v>186775694</v>
      </c>
      <c r="D114" s="246">
        <f>+D115+D117+D119</f>
        <v>223326183</v>
      </c>
      <c r="E114" s="100">
        <f>+E115+E117+E119</f>
        <v>204397120</v>
      </c>
    </row>
    <row r="115" spans="1:5" ht="12" customHeight="1">
      <c r="A115" s="194" t="s">
        <v>249</v>
      </c>
      <c r="B115" s="6" t="s">
        <v>323</v>
      </c>
      <c r="C115" s="166">
        <v>27211862</v>
      </c>
      <c r="D115" s="247">
        <v>25729270</v>
      </c>
      <c r="E115" s="102">
        <v>24490682</v>
      </c>
    </row>
    <row r="116" spans="1:5" ht="12" customHeight="1">
      <c r="A116" s="194" t="s">
        <v>250</v>
      </c>
      <c r="B116" s="10" t="s">
        <v>451</v>
      </c>
      <c r="C116" s="166"/>
      <c r="D116" s="247"/>
      <c r="E116" s="102"/>
    </row>
    <row r="117" spans="1:5" ht="12" customHeight="1">
      <c r="A117" s="194" t="s">
        <v>251</v>
      </c>
      <c r="B117" s="10" t="s">
        <v>306</v>
      </c>
      <c r="C117" s="165">
        <v>155763832</v>
      </c>
      <c r="D117" s="248">
        <v>193446913</v>
      </c>
      <c r="E117" s="101">
        <v>179308348</v>
      </c>
    </row>
    <row r="118" spans="1:5" ht="12" customHeight="1">
      <c r="A118" s="194" t="s">
        <v>252</v>
      </c>
      <c r="B118" s="10" t="s">
        <v>452</v>
      </c>
      <c r="C118" s="165">
        <v>120091212</v>
      </c>
      <c r="D118" s="248">
        <v>120091212</v>
      </c>
      <c r="E118" s="101">
        <v>112293643</v>
      </c>
    </row>
    <row r="119" spans="1:5" ht="12" customHeight="1">
      <c r="A119" s="194" t="s">
        <v>253</v>
      </c>
      <c r="B119" s="109" t="s">
        <v>325</v>
      </c>
      <c r="C119" s="165">
        <v>3800000</v>
      </c>
      <c r="D119" s="248">
        <v>4150000</v>
      </c>
      <c r="E119" s="101">
        <v>598090</v>
      </c>
    </row>
    <row r="120" spans="1:5" ht="12" customHeight="1">
      <c r="A120" s="194" t="s">
        <v>260</v>
      </c>
      <c r="B120" s="108" t="s">
        <v>511</v>
      </c>
      <c r="C120" s="165"/>
      <c r="D120" s="248"/>
      <c r="E120" s="101"/>
    </row>
    <row r="121" spans="1:5" ht="12" customHeight="1">
      <c r="A121" s="194" t="s">
        <v>262</v>
      </c>
      <c r="B121" s="173" t="s">
        <v>457</v>
      </c>
      <c r="C121" s="165"/>
      <c r="D121" s="248"/>
      <c r="E121" s="101"/>
    </row>
    <row r="122" spans="1:5" ht="12" customHeight="1">
      <c r="A122" s="194" t="s">
        <v>307</v>
      </c>
      <c r="B122" s="61" t="s">
        <v>440</v>
      </c>
      <c r="C122" s="165"/>
      <c r="D122" s="248"/>
      <c r="E122" s="101"/>
    </row>
    <row r="123" spans="1:5" ht="12" customHeight="1">
      <c r="A123" s="194" t="s">
        <v>308</v>
      </c>
      <c r="B123" s="61" t="s">
        <v>456</v>
      </c>
      <c r="C123" s="165"/>
      <c r="D123" s="248">
        <v>250000</v>
      </c>
      <c r="E123" s="101">
        <v>250000</v>
      </c>
    </row>
    <row r="124" spans="1:5" ht="12" customHeight="1">
      <c r="A124" s="194" t="s">
        <v>309</v>
      </c>
      <c r="B124" s="61" t="s">
        <v>455</v>
      </c>
      <c r="C124" s="165"/>
      <c r="D124" s="248"/>
      <c r="E124" s="101"/>
    </row>
    <row r="125" spans="1:5" ht="12" customHeight="1">
      <c r="A125" s="194" t="s">
        <v>448</v>
      </c>
      <c r="B125" s="61" t="s">
        <v>443</v>
      </c>
      <c r="C125" s="165"/>
      <c r="D125" s="248">
        <v>350000</v>
      </c>
      <c r="E125" s="101">
        <v>348090</v>
      </c>
    </row>
    <row r="126" spans="1:5" ht="12" customHeight="1">
      <c r="A126" s="194" t="s">
        <v>449</v>
      </c>
      <c r="B126" s="61" t="s">
        <v>454</v>
      </c>
      <c r="C126" s="165"/>
      <c r="D126" s="248"/>
      <c r="E126" s="101"/>
    </row>
    <row r="127" spans="1:5" ht="12" customHeight="1" thickBot="1">
      <c r="A127" s="203" t="s">
        <v>450</v>
      </c>
      <c r="B127" s="61" t="s">
        <v>453</v>
      </c>
      <c r="C127" s="167">
        <v>3800000</v>
      </c>
      <c r="D127" s="249">
        <v>3550000</v>
      </c>
      <c r="E127" s="103"/>
    </row>
    <row r="128" spans="1:5" ht="12" customHeight="1" thickBot="1">
      <c r="A128" s="25" t="s">
        <v>188</v>
      </c>
      <c r="B128" s="54" t="s">
        <v>529</v>
      </c>
      <c r="C128" s="164">
        <f>+C93+C114</f>
        <v>417666041</v>
      </c>
      <c r="D128" s="246">
        <f>+D93+D114</f>
        <v>865430522</v>
      </c>
      <c r="E128" s="100">
        <f>+E93+E114</f>
        <v>617571725</v>
      </c>
    </row>
    <row r="129" spans="1:5" ht="12" customHeight="1" thickBot="1">
      <c r="A129" s="25" t="s">
        <v>189</v>
      </c>
      <c r="B129" s="54" t="s">
        <v>530</v>
      </c>
      <c r="C129" s="164">
        <f>+C130+C131+C132</f>
        <v>0</v>
      </c>
      <c r="D129" s="246">
        <f>+D130+D131+D132</f>
        <v>0</v>
      </c>
      <c r="E129" s="100">
        <f>+E130+E131+E132</f>
        <v>0</v>
      </c>
    </row>
    <row r="130" spans="1:5" s="50" customFormat="1" ht="12" customHeight="1">
      <c r="A130" s="194" t="s">
        <v>357</v>
      </c>
      <c r="B130" s="7" t="s">
        <v>584</v>
      </c>
      <c r="C130" s="165"/>
      <c r="D130" s="248"/>
      <c r="E130" s="101"/>
    </row>
    <row r="131" spans="1:5" ht="12" customHeight="1">
      <c r="A131" s="194" t="s">
        <v>358</v>
      </c>
      <c r="B131" s="7" t="s">
        <v>538</v>
      </c>
      <c r="C131" s="165"/>
      <c r="D131" s="248"/>
      <c r="E131" s="101"/>
    </row>
    <row r="132" spans="1:5" ht="12" customHeight="1" thickBot="1">
      <c r="A132" s="203" t="s">
        <v>359</v>
      </c>
      <c r="B132" s="5" t="s">
        <v>583</v>
      </c>
      <c r="C132" s="165"/>
      <c r="D132" s="248"/>
      <c r="E132" s="101"/>
    </row>
    <row r="133" spans="1:5" ht="12" customHeight="1" thickBot="1">
      <c r="A133" s="25" t="s">
        <v>190</v>
      </c>
      <c r="B133" s="54" t="s">
        <v>531</v>
      </c>
      <c r="C133" s="164">
        <f>+C134+C135+C136+C137+C138+C139</f>
        <v>0</v>
      </c>
      <c r="D133" s="246">
        <f>+D134+D135+D136+D137+D138+D139</f>
        <v>0</v>
      </c>
      <c r="E133" s="100">
        <f>+E134+E135+E136+E137+E138+E139</f>
        <v>0</v>
      </c>
    </row>
    <row r="134" spans="1:5" ht="12" customHeight="1">
      <c r="A134" s="194" t="s">
        <v>236</v>
      </c>
      <c r="B134" s="7" t="s">
        <v>540</v>
      </c>
      <c r="C134" s="165"/>
      <c r="D134" s="248"/>
      <c r="E134" s="101"/>
    </row>
    <row r="135" spans="1:5" ht="12" customHeight="1">
      <c r="A135" s="194" t="s">
        <v>237</v>
      </c>
      <c r="B135" s="7" t="s">
        <v>532</v>
      </c>
      <c r="C135" s="165"/>
      <c r="D135" s="248"/>
      <c r="E135" s="101"/>
    </row>
    <row r="136" spans="1:5" ht="12" customHeight="1">
      <c r="A136" s="194" t="s">
        <v>238</v>
      </c>
      <c r="B136" s="7" t="s">
        <v>533</v>
      </c>
      <c r="C136" s="165"/>
      <c r="D136" s="248"/>
      <c r="E136" s="101"/>
    </row>
    <row r="137" spans="1:5" ht="12" customHeight="1">
      <c r="A137" s="194" t="s">
        <v>294</v>
      </c>
      <c r="B137" s="7" t="s">
        <v>582</v>
      </c>
      <c r="C137" s="165"/>
      <c r="D137" s="248"/>
      <c r="E137" s="101"/>
    </row>
    <row r="138" spans="1:5" ht="12" customHeight="1">
      <c r="A138" s="194" t="s">
        <v>295</v>
      </c>
      <c r="B138" s="7" t="s">
        <v>535</v>
      </c>
      <c r="C138" s="165"/>
      <c r="D138" s="248"/>
      <c r="E138" s="101"/>
    </row>
    <row r="139" spans="1:5" s="50" customFormat="1" ht="12" customHeight="1" thickBot="1">
      <c r="A139" s="203" t="s">
        <v>296</v>
      </c>
      <c r="B139" s="5" t="s">
        <v>536</v>
      </c>
      <c r="C139" s="165"/>
      <c r="D139" s="248"/>
      <c r="E139" s="101"/>
    </row>
    <row r="140" spans="1:11" ht="12" customHeight="1" thickBot="1">
      <c r="A140" s="25" t="s">
        <v>191</v>
      </c>
      <c r="B140" s="54" t="s">
        <v>597</v>
      </c>
      <c r="C140" s="170">
        <f>+C141+C142+C144+C145+C143</f>
        <v>365130466</v>
      </c>
      <c r="D140" s="250">
        <f>+D141+D142+D144+D145+D143</f>
        <v>370821128</v>
      </c>
      <c r="E140" s="206">
        <f>+E141+E142+E144+E145+E143</f>
        <v>382314937</v>
      </c>
      <c r="K140" s="93"/>
    </row>
    <row r="141" spans="1:5" ht="12.75">
      <c r="A141" s="194" t="s">
        <v>239</v>
      </c>
      <c r="B141" s="7" t="s">
        <v>458</v>
      </c>
      <c r="C141" s="165"/>
      <c r="D141" s="248"/>
      <c r="E141" s="101"/>
    </row>
    <row r="142" spans="1:5" ht="12" customHeight="1">
      <c r="A142" s="194" t="s">
        <v>240</v>
      </c>
      <c r="B142" s="7" t="s">
        <v>459</v>
      </c>
      <c r="C142" s="165">
        <v>15390031</v>
      </c>
      <c r="D142" s="248">
        <v>15390031</v>
      </c>
      <c r="E142" s="101">
        <v>15390031</v>
      </c>
    </row>
    <row r="143" spans="1:5" ht="12" customHeight="1">
      <c r="A143" s="194" t="s">
        <v>375</v>
      </c>
      <c r="B143" s="7" t="s">
        <v>596</v>
      </c>
      <c r="C143" s="165">
        <v>349740435</v>
      </c>
      <c r="D143" s="248">
        <v>355431097</v>
      </c>
      <c r="E143" s="101">
        <v>366924906</v>
      </c>
    </row>
    <row r="144" spans="1:5" s="50" customFormat="1" ht="12" customHeight="1">
      <c r="A144" s="194" t="s">
        <v>376</v>
      </c>
      <c r="B144" s="7" t="s">
        <v>545</v>
      </c>
      <c r="C144" s="165"/>
      <c r="D144" s="248"/>
      <c r="E144" s="101"/>
    </row>
    <row r="145" spans="1:5" s="50" customFormat="1" ht="12" customHeight="1" thickBot="1">
      <c r="A145" s="203" t="s">
        <v>377</v>
      </c>
      <c r="B145" s="5" t="s">
        <v>475</v>
      </c>
      <c r="C145" s="165"/>
      <c r="D145" s="248"/>
      <c r="E145" s="101"/>
    </row>
    <row r="146" spans="1:5" s="50" customFormat="1" ht="12" customHeight="1" thickBot="1">
      <c r="A146" s="25" t="s">
        <v>192</v>
      </c>
      <c r="B146" s="54" t="s">
        <v>546</v>
      </c>
      <c r="C146" s="239">
        <f>+C147+C148+C149+C150+C151</f>
        <v>0</v>
      </c>
      <c r="D146" s="251">
        <f>+D147+D148+D149+D150+D151</f>
        <v>0</v>
      </c>
      <c r="E146" s="233">
        <f>+E147+E148+E149+E150+E151</f>
        <v>0</v>
      </c>
    </row>
    <row r="147" spans="1:5" s="50" customFormat="1" ht="12" customHeight="1">
      <c r="A147" s="194" t="s">
        <v>241</v>
      </c>
      <c r="B147" s="7" t="s">
        <v>541</v>
      </c>
      <c r="C147" s="165"/>
      <c r="D147" s="248"/>
      <c r="E147" s="101"/>
    </row>
    <row r="148" spans="1:5" s="50" customFormat="1" ht="12" customHeight="1">
      <c r="A148" s="194" t="s">
        <v>242</v>
      </c>
      <c r="B148" s="7" t="s">
        <v>548</v>
      </c>
      <c r="C148" s="165"/>
      <c r="D148" s="248"/>
      <c r="E148" s="101"/>
    </row>
    <row r="149" spans="1:5" s="50" customFormat="1" ht="12" customHeight="1">
      <c r="A149" s="194" t="s">
        <v>387</v>
      </c>
      <c r="B149" s="7" t="s">
        <v>543</v>
      </c>
      <c r="C149" s="165"/>
      <c r="D149" s="248"/>
      <c r="E149" s="101"/>
    </row>
    <row r="150" spans="1:5" s="50" customFormat="1" ht="12" customHeight="1">
      <c r="A150" s="194" t="s">
        <v>388</v>
      </c>
      <c r="B150" s="7" t="s">
        <v>585</v>
      </c>
      <c r="C150" s="165"/>
      <c r="D150" s="248"/>
      <c r="E150" s="101"/>
    </row>
    <row r="151" spans="1:5" ht="12.75" customHeight="1" thickBot="1">
      <c r="A151" s="203" t="s">
        <v>547</v>
      </c>
      <c r="B151" s="5" t="s">
        <v>550</v>
      </c>
      <c r="C151" s="167"/>
      <c r="D151" s="249"/>
      <c r="E151" s="103"/>
    </row>
    <row r="152" spans="1:5" ht="12.75" customHeight="1" thickBot="1">
      <c r="A152" s="228" t="s">
        <v>193</v>
      </c>
      <c r="B152" s="54" t="s">
        <v>551</v>
      </c>
      <c r="C152" s="239"/>
      <c r="D152" s="251"/>
      <c r="E152" s="233"/>
    </row>
    <row r="153" spans="1:5" ht="12.75" customHeight="1" thickBot="1">
      <c r="A153" s="228" t="s">
        <v>194</v>
      </c>
      <c r="B153" s="54" t="s">
        <v>552</v>
      </c>
      <c r="C153" s="239"/>
      <c r="D153" s="251"/>
      <c r="E153" s="233"/>
    </row>
    <row r="154" spans="1:5" ht="12" customHeight="1" thickBot="1">
      <c r="A154" s="25" t="s">
        <v>195</v>
      </c>
      <c r="B154" s="54" t="s">
        <v>554</v>
      </c>
      <c r="C154" s="241">
        <f>+C129+C133+C140+C146+C152+C153</f>
        <v>365130466</v>
      </c>
      <c r="D154" s="253">
        <f>+D129+D133+D140+D146+D152+D153</f>
        <v>370821128</v>
      </c>
      <c r="E154" s="235">
        <f>+E129+E133+E140+E146+E152+E153</f>
        <v>382314937</v>
      </c>
    </row>
    <row r="155" spans="1:5" ht="15" customHeight="1" thickBot="1">
      <c r="A155" s="205" t="s">
        <v>196</v>
      </c>
      <c r="B155" s="151" t="s">
        <v>553</v>
      </c>
      <c r="C155" s="241">
        <f>+C128+C154</f>
        <v>782796507</v>
      </c>
      <c r="D155" s="253">
        <f>+D128+D154</f>
        <v>1236251650</v>
      </c>
      <c r="E155" s="235">
        <f>+E128+E154</f>
        <v>999886662</v>
      </c>
    </row>
    <row r="156" spans="1:5" ht="13.5" thickBot="1">
      <c r="A156" s="154"/>
      <c r="B156" s="155"/>
      <c r="C156" s="627">
        <f>C90-C155</f>
        <v>0</v>
      </c>
      <c r="D156" s="627">
        <f>D90-D155</f>
        <v>0</v>
      </c>
      <c r="E156" s="156"/>
    </row>
    <row r="157" spans="1:5" ht="15" customHeight="1" thickBot="1">
      <c r="A157" s="295" t="s">
        <v>665</v>
      </c>
      <c r="B157" s="296"/>
      <c r="C157" s="285">
        <v>6</v>
      </c>
      <c r="D157" s="285">
        <v>9</v>
      </c>
      <c r="E157" s="284">
        <v>8</v>
      </c>
    </row>
    <row r="158" spans="1:5" ht="14.25" customHeight="1" thickBot="1">
      <c r="A158" s="297" t="s">
        <v>666</v>
      </c>
      <c r="B158" s="298"/>
      <c r="C158" s="285">
        <v>51</v>
      </c>
      <c r="D158" s="285">
        <v>161</v>
      </c>
      <c r="E158" s="284">
        <v>143</v>
      </c>
    </row>
  </sheetData>
  <sheetProtection sheet="1" formatCells="0"/>
  <mergeCells count="5">
    <mergeCell ref="A92:E92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161" sqref="E161"/>
    </sheetView>
  </sheetViews>
  <sheetFormatPr defaultColWidth="9.00390625" defaultRowHeight="12.75"/>
  <cols>
    <col min="1" max="1" width="16.125" style="157" customWidth="1"/>
    <col min="2" max="2" width="62.00390625" style="158" customWidth="1"/>
    <col min="3" max="3" width="14.125" style="159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17"/>
      <c r="B1" s="329"/>
      <c r="C1" s="330"/>
      <c r="D1" s="330"/>
      <c r="E1" s="630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</row>
    <row r="2" spans="1:5" s="46" customFormat="1" ht="21" customHeight="1" thickBot="1">
      <c r="A2" s="326" t="s">
        <v>224</v>
      </c>
      <c r="B2" s="934" t="str">
        <f>CONCATENATE(Z_ALAPADATOK!A3)</f>
        <v>Elek Város Önkormányzata</v>
      </c>
      <c r="C2" s="934"/>
      <c r="D2" s="934"/>
      <c r="E2" s="327" t="s">
        <v>218</v>
      </c>
    </row>
    <row r="3" spans="1:5" s="46" customFormat="1" ht="24.75" thickBot="1">
      <c r="A3" s="326" t="s">
        <v>315</v>
      </c>
      <c r="B3" s="934" t="s">
        <v>503</v>
      </c>
      <c r="C3" s="934"/>
      <c r="D3" s="934"/>
      <c r="E3" s="328" t="s">
        <v>222</v>
      </c>
    </row>
    <row r="4" spans="1:5" s="47" customFormat="1" ht="15.75" customHeight="1" thickBot="1">
      <c r="A4" s="320"/>
      <c r="B4" s="320"/>
      <c r="C4" s="321"/>
      <c r="D4" s="322"/>
      <c r="E4" s="321" t="str">
        <f>'Z_6.1.1.sz.mell'!E4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CONCATENATE('Z_6.1.1.sz.mell'!E5)</f>
        <v>Teljesítés
2019. XII. 31.</v>
      </c>
    </row>
    <row r="6" spans="1:5" s="42" customFormat="1" ht="12.75" customHeight="1" thickBot="1">
      <c r="A6" s="72" t="s">
        <v>565</v>
      </c>
      <c r="B6" s="73" t="s">
        <v>566</v>
      </c>
      <c r="C6" s="73" t="s">
        <v>567</v>
      </c>
      <c r="D6" s="279" t="s">
        <v>569</v>
      </c>
      <c r="E6" s="74" t="s">
        <v>568</v>
      </c>
    </row>
    <row r="7" spans="1:5" s="42" customFormat="1" ht="15.75" customHeight="1" thickBot="1">
      <c r="A7" s="929" t="s">
        <v>219</v>
      </c>
      <c r="B7" s="930"/>
      <c r="C7" s="930"/>
      <c r="D7" s="930"/>
      <c r="E7" s="931"/>
    </row>
    <row r="8" spans="1:5" s="42" customFormat="1" ht="12" customHeight="1" thickBot="1">
      <c r="A8" s="25" t="s">
        <v>186</v>
      </c>
      <c r="B8" s="19" t="s">
        <v>342</v>
      </c>
      <c r="C8" s="164">
        <f>+C9+C10+C11+C12+C13+C14</f>
        <v>0</v>
      </c>
      <c r="D8" s="246">
        <f>+D9+D10+D11+D12+D13+D14</f>
        <v>0</v>
      </c>
      <c r="E8" s="100">
        <f>+E9+E10+E11+E12+E13+E14</f>
        <v>0</v>
      </c>
    </row>
    <row r="9" spans="1:5" s="48" customFormat="1" ht="12" customHeight="1">
      <c r="A9" s="194" t="s">
        <v>243</v>
      </c>
      <c r="B9" s="177" t="s">
        <v>343</v>
      </c>
      <c r="C9" s="166"/>
      <c r="D9" s="247"/>
      <c r="E9" s="102"/>
    </row>
    <row r="10" spans="1:5" s="49" customFormat="1" ht="12" customHeight="1">
      <c r="A10" s="195" t="s">
        <v>244</v>
      </c>
      <c r="B10" s="178" t="s">
        <v>344</v>
      </c>
      <c r="C10" s="165"/>
      <c r="D10" s="248"/>
      <c r="E10" s="101"/>
    </row>
    <row r="11" spans="1:5" s="49" customFormat="1" ht="12" customHeight="1">
      <c r="A11" s="195" t="s">
        <v>245</v>
      </c>
      <c r="B11" s="178" t="s">
        <v>345</v>
      </c>
      <c r="C11" s="165"/>
      <c r="D11" s="248"/>
      <c r="E11" s="101"/>
    </row>
    <row r="12" spans="1:5" s="49" customFormat="1" ht="12" customHeight="1">
      <c r="A12" s="195" t="s">
        <v>246</v>
      </c>
      <c r="B12" s="178" t="s">
        <v>346</v>
      </c>
      <c r="C12" s="165"/>
      <c r="D12" s="248"/>
      <c r="E12" s="101"/>
    </row>
    <row r="13" spans="1:5" s="49" customFormat="1" ht="12" customHeight="1">
      <c r="A13" s="195" t="s">
        <v>277</v>
      </c>
      <c r="B13" s="178" t="s">
        <v>573</v>
      </c>
      <c r="C13" s="165"/>
      <c r="D13" s="248"/>
      <c r="E13" s="101"/>
    </row>
    <row r="14" spans="1:5" s="48" customFormat="1" ht="12" customHeight="1" thickBot="1">
      <c r="A14" s="196" t="s">
        <v>247</v>
      </c>
      <c r="B14" s="179" t="s">
        <v>514</v>
      </c>
      <c r="C14" s="165"/>
      <c r="D14" s="248"/>
      <c r="E14" s="101"/>
    </row>
    <row r="15" spans="1:5" s="48" customFormat="1" ht="12" customHeight="1" thickBot="1">
      <c r="A15" s="25" t="s">
        <v>187</v>
      </c>
      <c r="B15" s="107" t="s">
        <v>347</v>
      </c>
      <c r="C15" s="164">
        <f>+C16+C17+C18+C19+C20</f>
        <v>3739296</v>
      </c>
      <c r="D15" s="246">
        <f>+D16+D17+D18+D19+D20</f>
        <v>14649190</v>
      </c>
      <c r="E15" s="100">
        <f>+E16+E17+E18+E19+E20</f>
        <v>14649190</v>
      </c>
    </row>
    <row r="16" spans="1:5" s="48" customFormat="1" ht="12" customHeight="1">
      <c r="A16" s="194" t="s">
        <v>249</v>
      </c>
      <c r="B16" s="177" t="s">
        <v>348</v>
      </c>
      <c r="C16" s="166"/>
      <c r="D16" s="247"/>
      <c r="E16" s="102"/>
    </row>
    <row r="17" spans="1:5" s="48" customFormat="1" ht="12" customHeight="1">
      <c r="A17" s="195" t="s">
        <v>250</v>
      </c>
      <c r="B17" s="178" t="s">
        <v>349</v>
      </c>
      <c r="C17" s="165"/>
      <c r="D17" s="248"/>
      <c r="E17" s="101"/>
    </row>
    <row r="18" spans="1:5" s="48" customFormat="1" ht="12" customHeight="1">
      <c r="A18" s="195" t="s">
        <v>251</v>
      </c>
      <c r="B18" s="178" t="s">
        <v>505</v>
      </c>
      <c r="C18" s="165"/>
      <c r="D18" s="248"/>
      <c r="E18" s="101"/>
    </row>
    <row r="19" spans="1:5" s="48" customFormat="1" ht="12" customHeight="1">
      <c r="A19" s="195" t="s">
        <v>252</v>
      </c>
      <c r="B19" s="178" t="s">
        <v>506</v>
      </c>
      <c r="C19" s="165"/>
      <c r="D19" s="248"/>
      <c r="E19" s="101"/>
    </row>
    <row r="20" spans="1:5" s="48" customFormat="1" ht="12" customHeight="1">
      <c r="A20" s="195" t="s">
        <v>253</v>
      </c>
      <c r="B20" s="178" t="s">
        <v>350</v>
      </c>
      <c r="C20" s="165">
        <v>3739296</v>
      </c>
      <c r="D20" s="248">
        <v>14649190</v>
      </c>
      <c r="E20" s="101">
        <v>14649190</v>
      </c>
    </row>
    <row r="21" spans="1:5" s="49" customFormat="1" ht="12" customHeight="1" thickBot="1">
      <c r="A21" s="196" t="s">
        <v>260</v>
      </c>
      <c r="B21" s="179" t="s">
        <v>351</v>
      </c>
      <c r="C21" s="167">
        <v>3139296</v>
      </c>
      <c r="D21" s="249">
        <v>7910590</v>
      </c>
      <c r="E21" s="103">
        <v>10211730</v>
      </c>
    </row>
    <row r="22" spans="1:5" s="49" customFormat="1" ht="12" customHeight="1" thickBot="1">
      <c r="A22" s="25" t="s">
        <v>188</v>
      </c>
      <c r="B22" s="19" t="s">
        <v>352</v>
      </c>
      <c r="C22" s="164">
        <f>+C23+C24+C25+C26+C27</f>
        <v>0</v>
      </c>
      <c r="D22" s="246">
        <f>+D23+D24+D25+D26+D27</f>
        <v>18940425</v>
      </c>
      <c r="E22" s="100">
        <f>+E23+E24+E25+E26+E27</f>
        <v>18940425</v>
      </c>
    </row>
    <row r="23" spans="1:5" s="49" customFormat="1" ht="12" customHeight="1">
      <c r="A23" s="194" t="s">
        <v>232</v>
      </c>
      <c r="B23" s="177" t="s">
        <v>353</v>
      </c>
      <c r="C23" s="166"/>
      <c r="D23" s="247"/>
      <c r="E23" s="102"/>
    </row>
    <row r="24" spans="1:5" s="48" customFormat="1" ht="12" customHeight="1">
      <c r="A24" s="195" t="s">
        <v>233</v>
      </c>
      <c r="B24" s="178" t="s">
        <v>354</v>
      </c>
      <c r="C24" s="165"/>
      <c r="D24" s="248"/>
      <c r="E24" s="101"/>
    </row>
    <row r="25" spans="1:5" s="49" customFormat="1" ht="12" customHeight="1">
      <c r="A25" s="195" t="s">
        <v>234</v>
      </c>
      <c r="B25" s="178" t="s">
        <v>507</v>
      </c>
      <c r="C25" s="165"/>
      <c r="D25" s="248"/>
      <c r="E25" s="101"/>
    </row>
    <row r="26" spans="1:5" s="49" customFormat="1" ht="12" customHeight="1">
      <c r="A26" s="195" t="s">
        <v>235</v>
      </c>
      <c r="B26" s="178" t="s">
        <v>508</v>
      </c>
      <c r="C26" s="165"/>
      <c r="D26" s="248"/>
      <c r="E26" s="101"/>
    </row>
    <row r="27" spans="1:5" s="49" customFormat="1" ht="12" customHeight="1">
      <c r="A27" s="195" t="s">
        <v>290</v>
      </c>
      <c r="B27" s="178" t="s">
        <v>355</v>
      </c>
      <c r="C27" s="165"/>
      <c r="D27" s="248">
        <v>18940425</v>
      </c>
      <c r="E27" s="101">
        <v>18940425</v>
      </c>
    </row>
    <row r="28" spans="1:5" s="49" customFormat="1" ht="12" customHeight="1" thickBot="1">
      <c r="A28" s="196" t="s">
        <v>291</v>
      </c>
      <c r="B28" s="179" t="s">
        <v>356</v>
      </c>
      <c r="C28" s="167"/>
      <c r="D28" s="249"/>
      <c r="E28" s="103"/>
    </row>
    <row r="29" spans="1:5" s="49" customFormat="1" ht="12" customHeight="1" thickBot="1">
      <c r="A29" s="25" t="s">
        <v>292</v>
      </c>
      <c r="B29" s="19" t="s">
        <v>656</v>
      </c>
      <c r="C29" s="170">
        <f>SUM(C30:C36)</f>
        <v>0</v>
      </c>
      <c r="D29" s="170">
        <f>SUM(D30:D36)</f>
        <v>0</v>
      </c>
      <c r="E29" s="206">
        <f>SUM(E30:E36)</f>
        <v>0</v>
      </c>
    </row>
    <row r="30" spans="1:5" s="49" customFormat="1" ht="12" customHeight="1">
      <c r="A30" s="194" t="s">
        <v>357</v>
      </c>
      <c r="B30" s="177" t="str">
        <f>'Z_1.1.sz.mell.'!B33</f>
        <v>Magánszemélyek kommunális adója</v>
      </c>
      <c r="C30" s="166"/>
      <c r="D30" s="166"/>
      <c r="E30" s="102"/>
    </row>
    <row r="31" spans="1:5" s="49" customFormat="1" ht="12" customHeight="1">
      <c r="A31" s="195" t="s">
        <v>358</v>
      </c>
      <c r="B31" s="177" t="str">
        <f>'Z_1.1.sz.mell.'!B34</f>
        <v>Idegenforgalmi adó </v>
      </c>
      <c r="C31" s="165"/>
      <c r="D31" s="165"/>
      <c r="E31" s="101"/>
    </row>
    <row r="32" spans="1:5" s="49" customFormat="1" ht="12" customHeight="1">
      <c r="A32" s="195" t="s">
        <v>359</v>
      </c>
      <c r="B32" s="177" t="str">
        <f>'Z_1.1.sz.mell.'!B35</f>
        <v>Iparűzési adó</v>
      </c>
      <c r="C32" s="165"/>
      <c r="D32" s="165"/>
      <c r="E32" s="101"/>
    </row>
    <row r="33" spans="1:5" s="49" customFormat="1" ht="12" customHeight="1">
      <c r="A33" s="195" t="s">
        <v>360</v>
      </c>
      <c r="B33" s="177" t="str">
        <f>'Z_1.1.sz.mell.'!B36</f>
        <v>Talajterhelési díj</v>
      </c>
      <c r="C33" s="165"/>
      <c r="D33" s="165"/>
      <c r="E33" s="101"/>
    </row>
    <row r="34" spans="1:5" s="49" customFormat="1" ht="12" customHeight="1">
      <c r="A34" s="195" t="s">
        <v>660</v>
      </c>
      <c r="B34" s="177" t="str">
        <f>'Z_1.1.sz.mell.'!B37</f>
        <v>Gépjárműadó</v>
      </c>
      <c r="C34" s="165"/>
      <c r="D34" s="165"/>
      <c r="E34" s="101"/>
    </row>
    <row r="35" spans="1:5" s="49" customFormat="1" ht="12" customHeight="1">
      <c r="A35" s="195" t="s">
        <v>661</v>
      </c>
      <c r="B35" s="177" t="str">
        <f>'Z_1.1.sz.mell.'!B38</f>
        <v>Telekadó</v>
      </c>
      <c r="C35" s="165"/>
      <c r="D35" s="165"/>
      <c r="E35" s="101"/>
    </row>
    <row r="36" spans="1:5" s="49" customFormat="1" ht="12" customHeight="1" thickBot="1">
      <c r="A36" s="196" t="s">
        <v>662</v>
      </c>
      <c r="B36" s="177" t="str">
        <f>'Z_1.1.sz.mell.'!B39</f>
        <v>Egyéb közhatalmi bevételek</v>
      </c>
      <c r="C36" s="167"/>
      <c r="D36" s="167"/>
      <c r="E36" s="103"/>
    </row>
    <row r="37" spans="1:5" s="49" customFormat="1" ht="12" customHeight="1" thickBot="1">
      <c r="A37" s="25" t="s">
        <v>190</v>
      </c>
      <c r="B37" s="19" t="s">
        <v>515</v>
      </c>
      <c r="C37" s="164">
        <f>SUM(C38:C48)</f>
        <v>4516000</v>
      </c>
      <c r="D37" s="246">
        <f>SUM(D38:D48)</f>
        <v>5292825</v>
      </c>
      <c r="E37" s="100">
        <f>SUM(E38:E48)</f>
        <v>5292825</v>
      </c>
    </row>
    <row r="38" spans="1:5" s="49" customFormat="1" ht="12" customHeight="1">
      <c r="A38" s="194" t="s">
        <v>236</v>
      </c>
      <c r="B38" s="177" t="s">
        <v>364</v>
      </c>
      <c r="C38" s="166">
        <v>3500000</v>
      </c>
      <c r="D38" s="247">
        <v>3515820</v>
      </c>
      <c r="E38" s="102">
        <v>3515820</v>
      </c>
    </row>
    <row r="39" spans="1:5" s="49" customFormat="1" ht="12" customHeight="1">
      <c r="A39" s="195" t="s">
        <v>237</v>
      </c>
      <c r="B39" s="178" t="s">
        <v>365</v>
      </c>
      <c r="C39" s="165"/>
      <c r="D39" s="248">
        <v>748031</v>
      </c>
      <c r="E39" s="101">
        <v>748031</v>
      </c>
    </row>
    <row r="40" spans="1:5" s="49" customFormat="1" ht="12" customHeight="1">
      <c r="A40" s="195" t="s">
        <v>238</v>
      </c>
      <c r="B40" s="178" t="s">
        <v>366</v>
      </c>
      <c r="C40" s="165"/>
      <c r="D40" s="248"/>
      <c r="E40" s="101"/>
    </row>
    <row r="41" spans="1:5" s="49" customFormat="1" ht="12" customHeight="1">
      <c r="A41" s="195" t="s">
        <v>294</v>
      </c>
      <c r="B41" s="178" t="s">
        <v>367</v>
      </c>
      <c r="C41" s="165">
        <v>800000</v>
      </c>
      <c r="D41" s="248">
        <v>651180</v>
      </c>
      <c r="E41" s="101">
        <v>651180</v>
      </c>
    </row>
    <row r="42" spans="1:5" s="49" customFormat="1" ht="12" customHeight="1">
      <c r="A42" s="195" t="s">
        <v>295</v>
      </c>
      <c r="B42" s="178" t="s">
        <v>368</v>
      </c>
      <c r="C42" s="165"/>
      <c r="D42" s="248"/>
      <c r="E42" s="101"/>
    </row>
    <row r="43" spans="1:5" s="49" customFormat="1" ht="12" customHeight="1">
      <c r="A43" s="195" t="s">
        <v>296</v>
      </c>
      <c r="B43" s="178" t="s">
        <v>369</v>
      </c>
      <c r="C43" s="165">
        <v>216000</v>
      </c>
      <c r="D43" s="248">
        <v>377789</v>
      </c>
      <c r="E43" s="101">
        <v>377789</v>
      </c>
    </row>
    <row r="44" spans="1:5" s="49" customFormat="1" ht="12" customHeight="1">
      <c r="A44" s="195" t="s">
        <v>297</v>
      </c>
      <c r="B44" s="178" t="s">
        <v>370</v>
      </c>
      <c r="C44" s="165"/>
      <c r="D44" s="248"/>
      <c r="E44" s="101"/>
    </row>
    <row r="45" spans="1:5" s="49" customFormat="1" ht="12" customHeight="1">
      <c r="A45" s="195" t="s">
        <v>298</v>
      </c>
      <c r="B45" s="178" t="s">
        <v>663</v>
      </c>
      <c r="C45" s="165"/>
      <c r="D45" s="248">
        <v>5</v>
      </c>
      <c r="E45" s="101">
        <v>5</v>
      </c>
    </row>
    <row r="46" spans="1:5" s="49" customFormat="1" ht="12" customHeight="1">
      <c r="A46" s="195" t="s">
        <v>362</v>
      </c>
      <c r="B46" s="178" t="s">
        <v>372</v>
      </c>
      <c r="C46" s="168"/>
      <c r="D46" s="280"/>
      <c r="E46" s="104"/>
    </row>
    <row r="47" spans="1:5" s="49" customFormat="1" ht="12" customHeight="1">
      <c r="A47" s="196" t="s">
        <v>363</v>
      </c>
      <c r="B47" s="179" t="s">
        <v>517</v>
      </c>
      <c r="C47" s="169"/>
      <c r="D47" s="281"/>
      <c r="E47" s="105"/>
    </row>
    <row r="48" spans="1:5" s="49" customFormat="1" ht="12" customHeight="1" thickBot="1">
      <c r="A48" s="196" t="s">
        <v>516</v>
      </c>
      <c r="B48" s="179" t="s">
        <v>373</v>
      </c>
      <c r="C48" s="169"/>
      <c r="D48" s="281"/>
      <c r="E48" s="105"/>
    </row>
    <row r="49" spans="1:5" s="49" customFormat="1" ht="12" customHeight="1" thickBot="1">
      <c r="A49" s="25" t="s">
        <v>191</v>
      </c>
      <c r="B49" s="19" t="s">
        <v>374</v>
      </c>
      <c r="C49" s="164">
        <f>SUM(C50:C54)</f>
        <v>0</v>
      </c>
      <c r="D49" s="246">
        <f>SUM(D50:D54)</f>
        <v>0</v>
      </c>
      <c r="E49" s="100">
        <f>SUM(E50:E54)</f>
        <v>0</v>
      </c>
    </row>
    <row r="50" spans="1:5" s="49" customFormat="1" ht="12" customHeight="1">
      <c r="A50" s="194" t="s">
        <v>239</v>
      </c>
      <c r="B50" s="177" t="s">
        <v>378</v>
      </c>
      <c r="C50" s="217"/>
      <c r="D50" s="282"/>
      <c r="E50" s="106"/>
    </row>
    <row r="51" spans="1:5" s="49" customFormat="1" ht="12" customHeight="1">
      <c r="A51" s="195" t="s">
        <v>240</v>
      </c>
      <c r="B51" s="178" t="s">
        <v>379</v>
      </c>
      <c r="C51" s="168"/>
      <c r="D51" s="280"/>
      <c r="E51" s="104"/>
    </row>
    <row r="52" spans="1:5" s="49" customFormat="1" ht="12" customHeight="1">
      <c r="A52" s="195" t="s">
        <v>375</v>
      </c>
      <c r="B52" s="178" t="s">
        <v>380</v>
      </c>
      <c r="C52" s="168"/>
      <c r="D52" s="280"/>
      <c r="E52" s="104"/>
    </row>
    <row r="53" spans="1:5" s="49" customFormat="1" ht="12" customHeight="1">
      <c r="A53" s="195" t="s">
        <v>376</v>
      </c>
      <c r="B53" s="178" t="s">
        <v>381</v>
      </c>
      <c r="C53" s="168"/>
      <c r="D53" s="280"/>
      <c r="E53" s="104"/>
    </row>
    <row r="54" spans="1:5" s="49" customFormat="1" ht="12" customHeight="1" thickBot="1">
      <c r="A54" s="196" t="s">
        <v>377</v>
      </c>
      <c r="B54" s="179" t="s">
        <v>382</v>
      </c>
      <c r="C54" s="169"/>
      <c r="D54" s="281"/>
      <c r="E54" s="105"/>
    </row>
    <row r="55" spans="1:5" s="49" customFormat="1" ht="12" customHeight="1" thickBot="1">
      <c r="A55" s="25" t="s">
        <v>299</v>
      </c>
      <c r="B55" s="19" t="s">
        <v>383</v>
      </c>
      <c r="C55" s="164">
        <f>SUM(C56:C58)</f>
        <v>0</v>
      </c>
      <c r="D55" s="246">
        <f>SUM(D56:D58)</f>
        <v>0</v>
      </c>
      <c r="E55" s="100">
        <f>SUM(E56:E58)</f>
        <v>0</v>
      </c>
    </row>
    <row r="56" spans="1:5" s="49" customFormat="1" ht="12" customHeight="1">
      <c r="A56" s="194" t="s">
        <v>241</v>
      </c>
      <c r="B56" s="177" t="s">
        <v>384</v>
      </c>
      <c r="C56" s="166"/>
      <c r="D56" s="247"/>
      <c r="E56" s="102"/>
    </row>
    <row r="57" spans="1:5" s="49" customFormat="1" ht="12" customHeight="1">
      <c r="A57" s="195" t="s">
        <v>242</v>
      </c>
      <c r="B57" s="178" t="s">
        <v>509</v>
      </c>
      <c r="C57" s="165"/>
      <c r="D57" s="248"/>
      <c r="E57" s="101"/>
    </row>
    <row r="58" spans="1:5" s="49" customFormat="1" ht="12" customHeight="1">
      <c r="A58" s="195" t="s">
        <v>387</v>
      </c>
      <c r="B58" s="178" t="s">
        <v>385</v>
      </c>
      <c r="C58" s="165"/>
      <c r="D58" s="248"/>
      <c r="E58" s="101"/>
    </row>
    <row r="59" spans="1:5" s="49" customFormat="1" ht="12" customHeight="1" thickBot="1">
      <c r="A59" s="196" t="s">
        <v>388</v>
      </c>
      <c r="B59" s="179" t="s">
        <v>386</v>
      </c>
      <c r="C59" s="167"/>
      <c r="D59" s="249"/>
      <c r="E59" s="103"/>
    </row>
    <row r="60" spans="1:5" s="49" customFormat="1" ht="12" customHeight="1" thickBot="1">
      <c r="A60" s="25" t="s">
        <v>193</v>
      </c>
      <c r="B60" s="107" t="s">
        <v>389</v>
      </c>
      <c r="C60" s="164">
        <f>SUM(C61:C63)</f>
        <v>0</v>
      </c>
      <c r="D60" s="246">
        <f>SUM(D61:D63)</f>
        <v>15921738</v>
      </c>
      <c r="E60" s="100">
        <f>SUM(E61:E63)</f>
        <v>15921738</v>
      </c>
    </row>
    <row r="61" spans="1:5" s="49" customFormat="1" ht="12" customHeight="1">
      <c r="A61" s="194" t="s">
        <v>300</v>
      </c>
      <c r="B61" s="177" t="s">
        <v>391</v>
      </c>
      <c r="C61" s="168"/>
      <c r="D61" s="280"/>
      <c r="E61" s="104"/>
    </row>
    <row r="62" spans="1:5" s="49" customFormat="1" ht="12" customHeight="1">
      <c r="A62" s="195" t="s">
        <v>301</v>
      </c>
      <c r="B62" s="178" t="s">
        <v>510</v>
      </c>
      <c r="C62" s="168"/>
      <c r="D62" s="280"/>
      <c r="E62" s="104"/>
    </row>
    <row r="63" spans="1:5" s="49" customFormat="1" ht="12" customHeight="1">
      <c r="A63" s="195" t="s">
        <v>324</v>
      </c>
      <c r="B63" s="178" t="s">
        <v>392</v>
      </c>
      <c r="C63" s="168"/>
      <c r="D63" s="280">
        <v>15921738</v>
      </c>
      <c r="E63" s="104">
        <v>15921738</v>
      </c>
    </row>
    <row r="64" spans="1:5" s="49" customFormat="1" ht="12" customHeight="1" thickBot="1">
      <c r="A64" s="196" t="s">
        <v>390</v>
      </c>
      <c r="B64" s="179" t="s">
        <v>393</v>
      </c>
      <c r="C64" s="168"/>
      <c r="D64" s="280"/>
      <c r="E64" s="104"/>
    </row>
    <row r="65" spans="1:5" s="49" customFormat="1" ht="12" customHeight="1" thickBot="1">
      <c r="A65" s="25" t="s">
        <v>194</v>
      </c>
      <c r="B65" s="19" t="s">
        <v>394</v>
      </c>
      <c r="C65" s="170">
        <f>+C8+C15+C22+C29+C37+C49+C55+C60</f>
        <v>8255296</v>
      </c>
      <c r="D65" s="250">
        <f>+D8+D15+D22+D29+D37+D49+D55+D60</f>
        <v>54804178</v>
      </c>
      <c r="E65" s="206">
        <f>+E8+E15+E22+E29+E37+E49+E55+E60</f>
        <v>54804178</v>
      </c>
    </row>
    <row r="66" spans="1:5" s="49" customFormat="1" ht="12" customHeight="1" thickBot="1">
      <c r="A66" s="197" t="s">
        <v>479</v>
      </c>
      <c r="B66" s="107" t="s">
        <v>396</v>
      </c>
      <c r="C66" s="164">
        <f>SUM(C67:C69)</f>
        <v>0</v>
      </c>
      <c r="D66" s="246">
        <f>SUM(D67:D69)</f>
        <v>0</v>
      </c>
      <c r="E66" s="100">
        <f>SUM(E67:E69)</f>
        <v>0</v>
      </c>
    </row>
    <row r="67" spans="1:5" s="49" customFormat="1" ht="12" customHeight="1">
      <c r="A67" s="194" t="s">
        <v>424</v>
      </c>
      <c r="B67" s="177" t="s">
        <v>397</v>
      </c>
      <c r="C67" s="168"/>
      <c r="D67" s="280"/>
      <c r="E67" s="104"/>
    </row>
    <row r="68" spans="1:5" s="49" customFormat="1" ht="12" customHeight="1">
      <c r="A68" s="195" t="s">
        <v>433</v>
      </c>
      <c r="B68" s="178" t="s">
        <v>398</v>
      </c>
      <c r="C68" s="168"/>
      <c r="D68" s="280"/>
      <c r="E68" s="104"/>
    </row>
    <row r="69" spans="1:5" s="49" customFormat="1" ht="12" customHeight="1" thickBot="1">
      <c r="A69" s="196" t="s">
        <v>434</v>
      </c>
      <c r="B69" s="180" t="s">
        <v>399</v>
      </c>
      <c r="C69" s="168"/>
      <c r="D69" s="283"/>
      <c r="E69" s="104"/>
    </row>
    <row r="70" spans="1:5" s="49" customFormat="1" ht="12" customHeight="1" thickBot="1">
      <c r="A70" s="197" t="s">
        <v>400</v>
      </c>
      <c r="B70" s="107" t="s">
        <v>401</v>
      </c>
      <c r="C70" s="164">
        <f>SUM(C71:C74)</f>
        <v>0</v>
      </c>
      <c r="D70" s="164">
        <f>SUM(D71:D74)</f>
        <v>0</v>
      </c>
      <c r="E70" s="100">
        <f>SUM(E71:E74)</f>
        <v>0</v>
      </c>
    </row>
    <row r="71" spans="1:5" s="49" customFormat="1" ht="12" customHeight="1">
      <c r="A71" s="194" t="s">
        <v>278</v>
      </c>
      <c r="B71" s="301" t="s">
        <v>402</v>
      </c>
      <c r="C71" s="168"/>
      <c r="D71" s="168"/>
      <c r="E71" s="104"/>
    </row>
    <row r="72" spans="1:5" s="49" customFormat="1" ht="12" customHeight="1">
      <c r="A72" s="195" t="s">
        <v>279</v>
      </c>
      <c r="B72" s="301" t="s">
        <v>670</v>
      </c>
      <c r="C72" s="168"/>
      <c r="D72" s="168"/>
      <c r="E72" s="104"/>
    </row>
    <row r="73" spans="1:5" s="49" customFormat="1" ht="12" customHeight="1">
      <c r="A73" s="195" t="s">
        <v>425</v>
      </c>
      <c r="B73" s="301" t="s">
        <v>403</v>
      </c>
      <c r="C73" s="168"/>
      <c r="D73" s="168"/>
      <c r="E73" s="104"/>
    </row>
    <row r="74" spans="1:5" s="49" customFormat="1" ht="12" customHeight="1" thickBot="1">
      <c r="A74" s="196" t="s">
        <v>426</v>
      </c>
      <c r="B74" s="302" t="s">
        <v>671</v>
      </c>
      <c r="C74" s="168"/>
      <c r="D74" s="168"/>
      <c r="E74" s="104"/>
    </row>
    <row r="75" spans="1:5" s="49" customFormat="1" ht="12" customHeight="1" thickBot="1">
      <c r="A75" s="197" t="s">
        <v>404</v>
      </c>
      <c r="B75" s="107" t="s">
        <v>405</v>
      </c>
      <c r="C75" s="164">
        <f>SUM(C76:C77)</f>
        <v>11048234</v>
      </c>
      <c r="D75" s="164">
        <f>SUM(D76:D77)</f>
        <v>11521281</v>
      </c>
      <c r="E75" s="100">
        <f>SUM(E76:E77)</f>
        <v>11521281</v>
      </c>
    </row>
    <row r="76" spans="1:5" s="49" customFormat="1" ht="12" customHeight="1">
      <c r="A76" s="194" t="s">
        <v>427</v>
      </c>
      <c r="B76" s="177" t="s">
        <v>406</v>
      </c>
      <c r="C76" s="168">
        <v>11048234</v>
      </c>
      <c r="D76" s="168">
        <v>11521281</v>
      </c>
      <c r="E76" s="104">
        <v>11521281</v>
      </c>
    </row>
    <row r="77" spans="1:5" s="49" customFormat="1" ht="12" customHeight="1" thickBot="1">
      <c r="A77" s="196" t="s">
        <v>428</v>
      </c>
      <c r="B77" s="179" t="s">
        <v>407</v>
      </c>
      <c r="C77" s="168"/>
      <c r="D77" s="168"/>
      <c r="E77" s="104"/>
    </row>
    <row r="78" spans="1:5" s="48" customFormat="1" ht="12" customHeight="1" thickBot="1">
      <c r="A78" s="197" t="s">
        <v>408</v>
      </c>
      <c r="B78" s="107" t="s">
        <v>409</v>
      </c>
      <c r="C78" s="164">
        <f>SUM(C79:C81)</f>
        <v>0</v>
      </c>
      <c r="D78" s="164">
        <f>SUM(D79:D81)</f>
        <v>0</v>
      </c>
      <c r="E78" s="100">
        <f>SUM(E79:E81)</f>
        <v>0</v>
      </c>
    </row>
    <row r="79" spans="1:5" s="49" customFormat="1" ht="12" customHeight="1">
      <c r="A79" s="194" t="s">
        <v>429</v>
      </c>
      <c r="B79" s="177" t="s">
        <v>410</v>
      </c>
      <c r="C79" s="168"/>
      <c r="D79" s="168"/>
      <c r="E79" s="104"/>
    </row>
    <row r="80" spans="1:5" s="49" customFormat="1" ht="12" customHeight="1">
      <c r="A80" s="195" t="s">
        <v>430</v>
      </c>
      <c r="B80" s="178" t="s">
        <v>411</v>
      </c>
      <c r="C80" s="168"/>
      <c r="D80" s="168"/>
      <c r="E80" s="104"/>
    </row>
    <row r="81" spans="1:5" s="49" customFormat="1" ht="12" customHeight="1" thickBot="1">
      <c r="A81" s="196" t="s">
        <v>431</v>
      </c>
      <c r="B81" s="179" t="s">
        <v>672</v>
      </c>
      <c r="C81" s="168"/>
      <c r="D81" s="168"/>
      <c r="E81" s="104"/>
    </row>
    <row r="82" spans="1:5" s="49" customFormat="1" ht="12" customHeight="1" thickBot="1">
      <c r="A82" s="197" t="s">
        <v>412</v>
      </c>
      <c r="B82" s="107" t="s">
        <v>432</v>
      </c>
      <c r="C82" s="164">
        <f>SUM(C83:C86)</f>
        <v>0</v>
      </c>
      <c r="D82" s="164">
        <f>SUM(D83:D86)</f>
        <v>0</v>
      </c>
      <c r="E82" s="100">
        <f>SUM(E83:E86)</f>
        <v>0</v>
      </c>
    </row>
    <row r="83" spans="1:5" s="49" customFormat="1" ht="12" customHeight="1">
      <c r="A83" s="198" t="s">
        <v>413</v>
      </c>
      <c r="B83" s="177" t="s">
        <v>414</v>
      </c>
      <c r="C83" s="168"/>
      <c r="D83" s="168"/>
      <c r="E83" s="104"/>
    </row>
    <row r="84" spans="1:5" s="49" customFormat="1" ht="12" customHeight="1">
      <c r="A84" s="199" t="s">
        <v>415</v>
      </c>
      <c r="B84" s="178" t="s">
        <v>416</v>
      </c>
      <c r="C84" s="168"/>
      <c r="D84" s="168"/>
      <c r="E84" s="104"/>
    </row>
    <row r="85" spans="1:5" s="49" customFormat="1" ht="12" customHeight="1">
      <c r="A85" s="199" t="s">
        <v>417</v>
      </c>
      <c r="B85" s="178" t="s">
        <v>418</v>
      </c>
      <c r="C85" s="168"/>
      <c r="D85" s="168"/>
      <c r="E85" s="104"/>
    </row>
    <row r="86" spans="1:5" s="48" customFormat="1" ht="12" customHeight="1" thickBot="1">
      <c r="A86" s="200" t="s">
        <v>419</v>
      </c>
      <c r="B86" s="179" t="s">
        <v>420</v>
      </c>
      <c r="C86" s="168"/>
      <c r="D86" s="168"/>
      <c r="E86" s="104"/>
    </row>
    <row r="87" spans="1:5" s="48" customFormat="1" ht="12" customHeight="1" thickBot="1">
      <c r="A87" s="197" t="s">
        <v>421</v>
      </c>
      <c r="B87" s="107" t="s">
        <v>556</v>
      </c>
      <c r="C87" s="220"/>
      <c r="D87" s="220"/>
      <c r="E87" s="221"/>
    </row>
    <row r="88" spans="1:5" s="48" customFormat="1" ht="12" customHeight="1" thickBot="1">
      <c r="A88" s="197" t="s">
        <v>574</v>
      </c>
      <c r="B88" s="107" t="s">
        <v>422</v>
      </c>
      <c r="C88" s="220"/>
      <c r="D88" s="220"/>
      <c r="E88" s="221"/>
    </row>
    <row r="89" spans="1:5" s="48" customFormat="1" ht="12" customHeight="1" thickBot="1">
      <c r="A89" s="197" t="s">
        <v>575</v>
      </c>
      <c r="B89" s="184" t="s">
        <v>559</v>
      </c>
      <c r="C89" s="170">
        <f>+C66+C70+C75+C78+C82+C88+C87</f>
        <v>11048234</v>
      </c>
      <c r="D89" s="170">
        <f>+D66+D70+D75+D78+D82+D88+D87</f>
        <v>11521281</v>
      </c>
      <c r="E89" s="206">
        <f>+E66+E70+E75+E78+E82+E88+E87</f>
        <v>11521281</v>
      </c>
    </row>
    <row r="90" spans="1:5" s="48" customFormat="1" ht="12" customHeight="1" thickBot="1">
      <c r="A90" s="201" t="s">
        <v>576</v>
      </c>
      <c r="B90" s="185" t="s">
        <v>577</v>
      </c>
      <c r="C90" s="170">
        <f>+C65+C89</f>
        <v>19303530</v>
      </c>
      <c r="D90" s="170">
        <f>+D65+D89</f>
        <v>66325459</v>
      </c>
      <c r="E90" s="206">
        <f>+E65+E89</f>
        <v>66325459</v>
      </c>
    </row>
    <row r="91" spans="1:3" s="49" customFormat="1" ht="15" customHeight="1" thickBot="1">
      <c r="A91" s="84"/>
      <c r="B91" s="85"/>
      <c r="C91" s="146"/>
    </row>
    <row r="92" spans="1:5" s="42" customFormat="1" ht="16.5" customHeight="1" thickBot="1">
      <c r="A92" s="929" t="s">
        <v>220</v>
      </c>
      <c r="B92" s="930"/>
      <c r="C92" s="930"/>
      <c r="D92" s="930"/>
      <c r="E92" s="931"/>
    </row>
    <row r="93" spans="1:5" s="50" customFormat="1" ht="12" customHeight="1" thickBot="1">
      <c r="A93" s="171" t="s">
        <v>186</v>
      </c>
      <c r="B93" s="24" t="s">
        <v>581</v>
      </c>
      <c r="C93" s="163">
        <f>+C94+C95+C96+C97+C98+C111</f>
        <v>16303530</v>
      </c>
      <c r="D93" s="163">
        <f>+D94+D95+D96+D97+D98+D111</f>
        <v>21083307</v>
      </c>
      <c r="E93" s="229">
        <f>+E94+E95+E96+E97+E98+E111</f>
        <v>16998760</v>
      </c>
    </row>
    <row r="94" spans="1:5" ht="12" customHeight="1">
      <c r="A94" s="202" t="s">
        <v>243</v>
      </c>
      <c r="B94" s="8" t="s">
        <v>215</v>
      </c>
      <c r="C94" s="236">
        <v>5600000</v>
      </c>
      <c r="D94" s="236">
        <v>6515425</v>
      </c>
      <c r="E94" s="230">
        <v>6439901</v>
      </c>
    </row>
    <row r="95" spans="1:5" ht="12" customHeight="1">
      <c r="A95" s="195" t="s">
        <v>244</v>
      </c>
      <c r="B95" s="6" t="s">
        <v>302</v>
      </c>
      <c r="C95" s="165">
        <v>1063530</v>
      </c>
      <c r="D95" s="165">
        <v>1206327</v>
      </c>
      <c r="E95" s="101">
        <v>1180228</v>
      </c>
    </row>
    <row r="96" spans="1:5" ht="12" customHeight="1">
      <c r="A96" s="195" t="s">
        <v>245</v>
      </c>
      <c r="B96" s="6" t="s">
        <v>270</v>
      </c>
      <c r="C96" s="167">
        <v>7640000</v>
      </c>
      <c r="D96" s="165">
        <v>10361555</v>
      </c>
      <c r="E96" s="103">
        <v>6869706</v>
      </c>
    </row>
    <row r="97" spans="1:5" ht="12" customHeight="1">
      <c r="A97" s="195" t="s">
        <v>246</v>
      </c>
      <c r="B97" s="9" t="s">
        <v>303</v>
      </c>
      <c r="C97" s="167"/>
      <c r="D97" s="249"/>
      <c r="E97" s="103"/>
    </row>
    <row r="98" spans="1:5" ht="12" customHeight="1">
      <c r="A98" s="195" t="s">
        <v>255</v>
      </c>
      <c r="B98" s="17" t="s">
        <v>304</v>
      </c>
      <c r="C98" s="167">
        <v>2000000</v>
      </c>
      <c r="D98" s="249">
        <v>3000000</v>
      </c>
      <c r="E98" s="103">
        <v>2508925</v>
      </c>
    </row>
    <row r="99" spans="1:5" ht="12" customHeight="1">
      <c r="A99" s="195" t="s">
        <v>247</v>
      </c>
      <c r="B99" s="6" t="s">
        <v>578</v>
      </c>
      <c r="C99" s="167"/>
      <c r="D99" s="249"/>
      <c r="E99" s="103"/>
    </row>
    <row r="100" spans="1:5" ht="12" customHeight="1">
      <c r="A100" s="195" t="s">
        <v>248</v>
      </c>
      <c r="B100" s="60" t="s">
        <v>522</v>
      </c>
      <c r="C100" s="167"/>
      <c r="D100" s="249"/>
      <c r="E100" s="103"/>
    </row>
    <row r="101" spans="1:5" ht="12" customHeight="1">
      <c r="A101" s="195" t="s">
        <v>256</v>
      </c>
      <c r="B101" s="60" t="s">
        <v>521</v>
      </c>
      <c r="C101" s="167"/>
      <c r="D101" s="249"/>
      <c r="E101" s="103"/>
    </row>
    <row r="102" spans="1:5" ht="12" customHeight="1">
      <c r="A102" s="195" t="s">
        <v>257</v>
      </c>
      <c r="B102" s="60" t="s">
        <v>438</v>
      </c>
      <c r="C102" s="167"/>
      <c r="D102" s="249"/>
      <c r="E102" s="103"/>
    </row>
    <row r="103" spans="1:5" ht="12" customHeight="1">
      <c r="A103" s="195" t="s">
        <v>258</v>
      </c>
      <c r="B103" s="61" t="s">
        <v>439</v>
      </c>
      <c r="C103" s="167"/>
      <c r="D103" s="249"/>
      <c r="E103" s="103"/>
    </row>
    <row r="104" spans="1:5" ht="12" customHeight="1">
      <c r="A104" s="195" t="s">
        <v>259</v>
      </c>
      <c r="B104" s="61" t="s">
        <v>440</v>
      </c>
      <c r="C104" s="167"/>
      <c r="D104" s="249"/>
      <c r="E104" s="103"/>
    </row>
    <row r="105" spans="1:5" ht="12" customHeight="1">
      <c r="A105" s="195" t="s">
        <v>261</v>
      </c>
      <c r="B105" s="60" t="s">
        <v>441</v>
      </c>
      <c r="C105" s="167"/>
      <c r="D105" s="249"/>
      <c r="E105" s="103"/>
    </row>
    <row r="106" spans="1:5" ht="12" customHeight="1">
      <c r="A106" s="195" t="s">
        <v>305</v>
      </c>
      <c r="B106" s="60" t="s">
        <v>442</v>
      </c>
      <c r="C106" s="167"/>
      <c r="D106" s="249"/>
      <c r="E106" s="103"/>
    </row>
    <row r="107" spans="1:5" ht="12" customHeight="1">
      <c r="A107" s="195" t="s">
        <v>436</v>
      </c>
      <c r="B107" s="61" t="s">
        <v>443</v>
      </c>
      <c r="C107" s="165"/>
      <c r="D107" s="249"/>
      <c r="E107" s="103"/>
    </row>
    <row r="108" spans="1:5" ht="12" customHeight="1">
      <c r="A108" s="203" t="s">
        <v>437</v>
      </c>
      <c r="B108" s="62" t="s">
        <v>444</v>
      </c>
      <c r="C108" s="167"/>
      <c r="D108" s="249"/>
      <c r="E108" s="103"/>
    </row>
    <row r="109" spans="1:5" ht="12" customHeight="1">
      <c r="A109" s="195" t="s">
        <v>519</v>
      </c>
      <c r="B109" s="62" t="s">
        <v>445</v>
      </c>
      <c r="C109" s="167"/>
      <c r="D109" s="249"/>
      <c r="E109" s="103"/>
    </row>
    <row r="110" spans="1:5" ht="12" customHeight="1">
      <c r="A110" s="195" t="s">
        <v>520</v>
      </c>
      <c r="B110" s="61" t="s">
        <v>446</v>
      </c>
      <c r="C110" s="165">
        <v>2000000</v>
      </c>
      <c r="D110" s="248">
        <v>3000000</v>
      </c>
      <c r="E110" s="101">
        <v>2508925</v>
      </c>
    </row>
    <row r="111" spans="1:5" ht="12" customHeight="1">
      <c r="A111" s="195" t="s">
        <v>524</v>
      </c>
      <c r="B111" s="9" t="s">
        <v>216</v>
      </c>
      <c r="C111" s="165"/>
      <c r="D111" s="248"/>
      <c r="E111" s="101"/>
    </row>
    <row r="112" spans="1:5" ht="12" customHeight="1">
      <c r="A112" s="196" t="s">
        <v>525</v>
      </c>
      <c r="B112" s="6" t="s">
        <v>579</v>
      </c>
      <c r="C112" s="167"/>
      <c r="D112" s="249"/>
      <c r="E112" s="103"/>
    </row>
    <row r="113" spans="1:5" ht="12" customHeight="1" thickBot="1">
      <c r="A113" s="204" t="s">
        <v>526</v>
      </c>
      <c r="B113" s="63" t="s">
        <v>580</v>
      </c>
      <c r="C113" s="237"/>
      <c r="D113" s="286"/>
      <c r="E113" s="231"/>
    </row>
    <row r="114" spans="1:5" ht="12" customHeight="1" thickBot="1">
      <c r="A114" s="25" t="s">
        <v>187</v>
      </c>
      <c r="B114" s="23" t="s">
        <v>447</v>
      </c>
      <c r="C114" s="164">
        <f>+C115+C117+C119</f>
        <v>3000000</v>
      </c>
      <c r="D114" s="246">
        <f>+D115+D117+D119</f>
        <v>32901447</v>
      </c>
      <c r="E114" s="100">
        <f>+E115+E117+E119</f>
        <v>32901447</v>
      </c>
    </row>
    <row r="115" spans="1:5" ht="12" customHeight="1">
      <c r="A115" s="194" t="s">
        <v>249</v>
      </c>
      <c r="B115" s="6" t="s">
        <v>323</v>
      </c>
      <c r="C115" s="166"/>
      <c r="D115" s="247">
        <v>19872532</v>
      </c>
      <c r="E115" s="102">
        <v>19872532</v>
      </c>
    </row>
    <row r="116" spans="1:5" ht="12" customHeight="1">
      <c r="A116" s="194" t="s">
        <v>250</v>
      </c>
      <c r="B116" s="10" t="s">
        <v>451</v>
      </c>
      <c r="C116" s="166"/>
      <c r="D116" s="247"/>
      <c r="E116" s="102"/>
    </row>
    <row r="117" spans="1:5" ht="12" customHeight="1">
      <c r="A117" s="194" t="s">
        <v>251</v>
      </c>
      <c r="B117" s="10" t="s">
        <v>306</v>
      </c>
      <c r="C117" s="165"/>
      <c r="D117" s="248"/>
      <c r="E117" s="101"/>
    </row>
    <row r="118" spans="1:5" ht="12" customHeight="1">
      <c r="A118" s="194" t="s">
        <v>252</v>
      </c>
      <c r="B118" s="10" t="s">
        <v>452</v>
      </c>
      <c r="C118" s="165"/>
      <c r="D118" s="248"/>
      <c r="E118" s="101"/>
    </row>
    <row r="119" spans="1:5" ht="12" customHeight="1">
      <c r="A119" s="194" t="s">
        <v>253</v>
      </c>
      <c r="B119" s="109" t="s">
        <v>325</v>
      </c>
      <c r="C119" s="165">
        <v>3000000</v>
      </c>
      <c r="D119" s="248">
        <v>13028915</v>
      </c>
      <c r="E119" s="101">
        <v>13028915</v>
      </c>
    </row>
    <row r="120" spans="1:5" ht="12" customHeight="1">
      <c r="A120" s="194" t="s">
        <v>260</v>
      </c>
      <c r="B120" s="108" t="s">
        <v>511</v>
      </c>
      <c r="C120" s="165"/>
      <c r="D120" s="248"/>
      <c r="E120" s="101"/>
    </row>
    <row r="121" spans="1:5" ht="12" customHeight="1">
      <c r="A121" s="194" t="s">
        <v>262</v>
      </c>
      <c r="B121" s="173" t="s">
        <v>457</v>
      </c>
      <c r="C121" s="165"/>
      <c r="D121" s="248"/>
      <c r="E121" s="101"/>
    </row>
    <row r="122" spans="1:5" ht="12" customHeight="1">
      <c r="A122" s="194" t="s">
        <v>307</v>
      </c>
      <c r="B122" s="61" t="s">
        <v>440</v>
      </c>
      <c r="C122" s="165"/>
      <c r="D122" s="248"/>
      <c r="E122" s="101"/>
    </row>
    <row r="123" spans="1:5" ht="12" customHeight="1">
      <c r="A123" s="194" t="s">
        <v>308</v>
      </c>
      <c r="B123" s="61" t="s">
        <v>456</v>
      </c>
      <c r="C123" s="165"/>
      <c r="D123" s="248"/>
      <c r="E123" s="101"/>
    </row>
    <row r="124" spans="1:5" ht="12" customHeight="1">
      <c r="A124" s="194" t="s">
        <v>309</v>
      </c>
      <c r="B124" s="61" t="s">
        <v>455</v>
      </c>
      <c r="C124" s="165"/>
      <c r="D124" s="248"/>
      <c r="E124" s="101"/>
    </row>
    <row r="125" spans="1:5" ht="12" customHeight="1">
      <c r="A125" s="194" t="s">
        <v>448</v>
      </c>
      <c r="B125" s="61" t="s">
        <v>443</v>
      </c>
      <c r="C125" s="165"/>
      <c r="D125" s="248">
        <v>2028915</v>
      </c>
      <c r="E125" s="101">
        <v>2028915</v>
      </c>
    </row>
    <row r="126" spans="1:5" ht="12" customHeight="1">
      <c r="A126" s="194" t="s">
        <v>449</v>
      </c>
      <c r="B126" s="61" t="s">
        <v>454</v>
      </c>
      <c r="C126" s="165">
        <v>3000000</v>
      </c>
      <c r="D126" s="248">
        <v>11000000</v>
      </c>
      <c r="E126" s="101">
        <v>11000000</v>
      </c>
    </row>
    <row r="127" spans="1:5" ht="12" customHeight="1" thickBot="1">
      <c r="A127" s="203" t="s">
        <v>450</v>
      </c>
      <c r="B127" s="61" t="s">
        <v>453</v>
      </c>
      <c r="C127" s="167"/>
      <c r="D127" s="249"/>
      <c r="E127" s="103"/>
    </row>
    <row r="128" spans="1:5" ht="12" customHeight="1" thickBot="1">
      <c r="A128" s="25" t="s">
        <v>188</v>
      </c>
      <c r="B128" s="54" t="s">
        <v>529</v>
      </c>
      <c r="C128" s="164">
        <f>+C93+C114</f>
        <v>19303530</v>
      </c>
      <c r="D128" s="246">
        <f>+D93+D114</f>
        <v>53984754</v>
      </c>
      <c r="E128" s="100">
        <f>+E93+E114</f>
        <v>49900207</v>
      </c>
    </row>
    <row r="129" spans="1:5" ht="12" customHeight="1" thickBot="1">
      <c r="A129" s="25" t="s">
        <v>189</v>
      </c>
      <c r="B129" s="54" t="s">
        <v>530</v>
      </c>
      <c r="C129" s="164">
        <f>+C130+C131+C132</f>
        <v>0</v>
      </c>
      <c r="D129" s="246">
        <f>+D130+D131+D132</f>
        <v>0</v>
      </c>
      <c r="E129" s="100">
        <f>+E130+E131+E132</f>
        <v>0</v>
      </c>
    </row>
    <row r="130" spans="1:5" s="50" customFormat="1" ht="12" customHeight="1">
      <c r="A130" s="194" t="s">
        <v>357</v>
      </c>
      <c r="B130" s="7" t="s">
        <v>584</v>
      </c>
      <c r="C130" s="165"/>
      <c r="D130" s="248"/>
      <c r="E130" s="101"/>
    </row>
    <row r="131" spans="1:5" ht="12" customHeight="1">
      <c r="A131" s="194" t="s">
        <v>358</v>
      </c>
      <c r="B131" s="7" t="s">
        <v>538</v>
      </c>
      <c r="C131" s="165"/>
      <c r="D131" s="248"/>
      <c r="E131" s="101"/>
    </row>
    <row r="132" spans="1:5" ht="12" customHeight="1" thickBot="1">
      <c r="A132" s="203" t="s">
        <v>359</v>
      </c>
      <c r="B132" s="5" t="s">
        <v>583</v>
      </c>
      <c r="C132" s="165"/>
      <c r="D132" s="248"/>
      <c r="E132" s="101"/>
    </row>
    <row r="133" spans="1:5" ht="12" customHeight="1" thickBot="1">
      <c r="A133" s="25" t="s">
        <v>190</v>
      </c>
      <c r="B133" s="54" t="s">
        <v>531</v>
      </c>
      <c r="C133" s="164">
        <f>+C134+C135+C136+C137+C138+C139</f>
        <v>0</v>
      </c>
      <c r="D133" s="246">
        <f>+D134+D135+D136+D137+D138+D139</f>
        <v>0</v>
      </c>
      <c r="E133" s="100">
        <f>+E134+E135+E136+E137+E138+E139</f>
        <v>0</v>
      </c>
    </row>
    <row r="134" spans="1:5" ht="12" customHeight="1">
      <c r="A134" s="194" t="s">
        <v>236</v>
      </c>
      <c r="B134" s="7" t="s">
        <v>540</v>
      </c>
      <c r="C134" s="165"/>
      <c r="D134" s="248"/>
      <c r="E134" s="101"/>
    </row>
    <row r="135" spans="1:5" ht="12" customHeight="1">
      <c r="A135" s="194" t="s">
        <v>237</v>
      </c>
      <c r="B135" s="7" t="s">
        <v>532</v>
      </c>
      <c r="C135" s="165"/>
      <c r="D135" s="248"/>
      <c r="E135" s="101"/>
    </row>
    <row r="136" spans="1:5" ht="12" customHeight="1">
      <c r="A136" s="194" t="s">
        <v>238</v>
      </c>
      <c r="B136" s="7" t="s">
        <v>533</v>
      </c>
      <c r="C136" s="165"/>
      <c r="D136" s="248"/>
      <c r="E136" s="101"/>
    </row>
    <row r="137" spans="1:5" ht="12" customHeight="1">
      <c r="A137" s="194" t="s">
        <v>294</v>
      </c>
      <c r="B137" s="7" t="s">
        <v>582</v>
      </c>
      <c r="C137" s="165"/>
      <c r="D137" s="248"/>
      <c r="E137" s="101"/>
    </row>
    <row r="138" spans="1:5" ht="12" customHeight="1">
      <c r="A138" s="194" t="s">
        <v>295</v>
      </c>
      <c r="B138" s="7" t="s">
        <v>535</v>
      </c>
      <c r="C138" s="165"/>
      <c r="D138" s="248"/>
      <c r="E138" s="101"/>
    </row>
    <row r="139" spans="1:5" s="50" customFormat="1" ht="12" customHeight="1" thickBot="1">
      <c r="A139" s="203" t="s">
        <v>296</v>
      </c>
      <c r="B139" s="5" t="s">
        <v>536</v>
      </c>
      <c r="C139" s="165"/>
      <c r="D139" s="248"/>
      <c r="E139" s="101"/>
    </row>
    <row r="140" spans="1:11" ht="12" customHeight="1" thickBot="1">
      <c r="A140" s="25" t="s">
        <v>191</v>
      </c>
      <c r="B140" s="54" t="s">
        <v>597</v>
      </c>
      <c r="C140" s="170">
        <f>+C141+C142+C144+C145+C143</f>
        <v>0</v>
      </c>
      <c r="D140" s="250">
        <f>+D141+D142+D144+D145+D143</f>
        <v>12340705</v>
      </c>
      <c r="E140" s="206">
        <f>+E141+E142+E144+E145+E143</f>
        <v>726485</v>
      </c>
      <c r="K140" s="93"/>
    </row>
    <row r="141" spans="1:5" ht="12.75">
      <c r="A141" s="194" t="s">
        <v>239</v>
      </c>
      <c r="B141" s="7" t="s">
        <v>458</v>
      </c>
      <c r="C141" s="165"/>
      <c r="D141" s="248"/>
      <c r="E141" s="101"/>
    </row>
    <row r="142" spans="1:5" ht="12" customHeight="1">
      <c r="A142" s="194" t="s">
        <v>240</v>
      </c>
      <c r="B142" s="7" t="s">
        <v>459</v>
      </c>
      <c r="C142" s="165"/>
      <c r="D142" s="248"/>
      <c r="E142" s="101"/>
    </row>
    <row r="143" spans="1:5" ht="12" customHeight="1">
      <c r="A143" s="194" t="s">
        <v>375</v>
      </c>
      <c r="B143" s="7" t="s">
        <v>596</v>
      </c>
      <c r="C143" s="165"/>
      <c r="D143" s="248">
        <v>12340705</v>
      </c>
      <c r="E143" s="737">
        <v>726485</v>
      </c>
    </row>
    <row r="144" spans="1:5" s="50" customFormat="1" ht="12" customHeight="1">
      <c r="A144" s="194" t="s">
        <v>376</v>
      </c>
      <c r="B144" s="7" t="s">
        <v>545</v>
      </c>
      <c r="C144" s="165"/>
      <c r="D144" s="248"/>
      <c r="E144" s="101"/>
    </row>
    <row r="145" spans="1:5" s="50" customFormat="1" ht="12" customHeight="1" thickBot="1">
      <c r="A145" s="203" t="s">
        <v>377</v>
      </c>
      <c r="B145" s="5" t="s">
        <v>475</v>
      </c>
      <c r="C145" s="165"/>
      <c r="D145" s="248"/>
      <c r="E145" s="101"/>
    </row>
    <row r="146" spans="1:5" s="50" customFormat="1" ht="12" customHeight="1" thickBot="1">
      <c r="A146" s="25" t="s">
        <v>192</v>
      </c>
      <c r="B146" s="54" t="s">
        <v>546</v>
      </c>
      <c r="C146" s="239">
        <f>+C147+C148+C149+C150+C151</f>
        <v>0</v>
      </c>
      <c r="D146" s="251">
        <f>+D147+D148+D149+D150+D151</f>
        <v>0</v>
      </c>
      <c r="E146" s="233">
        <f>+E147+E148+E149+E150+E151</f>
        <v>0</v>
      </c>
    </row>
    <row r="147" spans="1:5" s="50" customFormat="1" ht="12" customHeight="1">
      <c r="A147" s="194" t="s">
        <v>241</v>
      </c>
      <c r="B147" s="7" t="s">
        <v>541</v>
      </c>
      <c r="C147" s="165"/>
      <c r="D147" s="248"/>
      <c r="E147" s="101"/>
    </row>
    <row r="148" spans="1:5" s="50" customFormat="1" ht="12" customHeight="1">
      <c r="A148" s="194" t="s">
        <v>242</v>
      </c>
      <c r="B148" s="7" t="s">
        <v>548</v>
      </c>
      <c r="C148" s="165"/>
      <c r="D148" s="248"/>
      <c r="E148" s="101"/>
    </row>
    <row r="149" spans="1:5" s="50" customFormat="1" ht="12" customHeight="1">
      <c r="A149" s="194" t="s">
        <v>387</v>
      </c>
      <c r="B149" s="7" t="s">
        <v>543</v>
      </c>
      <c r="C149" s="165"/>
      <c r="D149" s="248"/>
      <c r="E149" s="101"/>
    </row>
    <row r="150" spans="1:5" s="50" customFormat="1" ht="12" customHeight="1">
      <c r="A150" s="194" t="s">
        <v>388</v>
      </c>
      <c r="B150" s="7" t="s">
        <v>585</v>
      </c>
      <c r="C150" s="165"/>
      <c r="D150" s="248"/>
      <c r="E150" s="101"/>
    </row>
    <row r="151" spans="1:5" ht="12.75" customHeight="1" thickBot="1">
      <c r="A151" s="203" t="s">
        <v>547</v>
      </c>
      <c r="B151" s="5" t="s">
        <v>550</v>
      </c>
      <c r="C151" s="167"/>
      <c r="D151" s="249"/>
      <c r="E151" s="103"/>
    </row>
    <row r="152" spans="1:5" ht="12.75" customHeight="1" thickBot="1">
      <c r="A152" s="228" t="s">
        <v>193</v>
      </c>
      <c r="B152" s="54" t="s">
        <v>551</v>
      </c>
      <c r="C152" s="239"/>
      <c r="D152" s="251"/>
      <c r="E152" s="233"/>
    </row>
    <row r="153" spans="1:5" ht="12.75" customHeight="1" thickBot="1">
      <c r="A153" s="228" t="s">
        <v>194</v>
      </c>
      <c r="B153" s="54" t="s">
        <v>552</v>
      </c>
      <c r="C153" s="239"/>
      <c r="D153" s="251"/>
      <c r="E153" s="233"/>
    </row>
    <row r="154" spans="1:5" ht="12" customHeight="1" thickBot="1">
      <c r="A154" s="25" t="s">
        <v>195</v>
      </c>
      <c r="B154" s="54" t="s">
        <v>554</v>
      </c>
      <c r="C154" s="241">
        <f>+C129+C133+C140+C146+C152+C153</f>
        <v>0</v>
      </c>
      <c r="D154" s="253">
        <f>+D129+D133+D140+D146+D152+D153</f>
        <v>12340705</v>
      </c>
      <c r="E154" s="235">
        <f>+E129+E133+E140+E146+E152+E153</f>
        <v>726485</v>
      </c>
    </row>
    <row r="155" spans="1:5" ht="15" customHeight="1" thickBot="1">
      <c r="A155" s="205" t="s">
        <v>196</v>
      </c>
      <c r="B155" s="151" t="s">
        <v>553</v>
      </c>
      <c r="C155" s="241">
        <f>+C128+C154</f>
        <v>19303530</v>
      </c>
      <c r="D155" s="253">
        <f>+D128+D154</f>
        <v>66325459</v>
      </c>
      <c r="E155" s="235">
        <f>+E128+E154</f>
        <v>50626692</v>
      </c>
    </row>
    <row r="156" spans="1:5" ht="13.5" thickBot="1">
      <c r="A156" s="154"/>
      <c r="B156" s="155"/>
      <c r="C156" s="627">
        <f>C90-C155</f>
        <v>0</v>
      </c>
      <c r="D156" s="627">
        <f>D90-D155</f>
        <v>0</v>
      </c>
      <c r="E156" s="156"/>
    </row>
    <row r="157" spans="1:5" ht="15" customHeight="1" thickBot="1">
      <c r="A157" s="295" t="s">
        <v>665</v>
      </c>
      <c r="B157" s="296"/>
      <c r="C157" s="285">
        <v>2</v>
      </c>
      <c r="D157" s="285">
        <v>2</v>
      </c>
      <c r="E157" s="284">
        <v>2</v>
      </c>
    </row>
    <row r="158" spans="1:5" ht="14.25" customHeight="1" thickBot="1">
      <c r="A158" s="297" t="s">
        <v>666</v>
      </c>
      <c r="B158" s="298"/>
      <c r="C158" s="285">
        <v>0</v>
      </c>
      <c r="D158" s="285">
        <v>0</v>
      </c>
      <c r="E158" s="284">
        <v>0</v>
      </c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4" sqref="E4"/>
    </sheetView>
  </sheetViews>
  <sheetFormatPr defaultColWidth="9.00390625" defaultRowHeight="12.75"/>
  <cols>
    <col min="1" max="1" width="16.125" style="157" customWidth="1"/>
    <col min="2" max="2" width="62.00390625" style="158" customWidth="1"/>
    <col min="3" max="3" width="14.125" style="159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17"/>
      <c r="B1" s="932" t="str">
        <f>CONCATENATE("6.1.3. melléklet ",Z_ALAPADATOK!A7," ",Z_ALAPADATOK!B7," ",Z_ALAPADATOK!C7," ",Z_ALAPADATOK!D7," ",Z_ALAPADATOK!E7," ",Z_ALAPADATOK!F7," ",Z_ALAPADATOK!G7," ",Z_ALAPADATOK!H7)</f>
        <v>6.1.3. melléklet a … / 2020. ( … ) önkormányzati rendelethez</v>
      </c>
      <c r="C1" s="933"/>
      <c r="D1" s="933"/>
      <c r="E1" s="933"/>
    </row>
    <row r="2" spans="1:5" s="46" customFormat="1" ht="21" customHeight="1" thickBot="1">
      <c r="A2" s="326" t="s">
        <v>224</v>
      </c>
      <c r="B2" s="934" t="str">
        <f>CONCATENATE(Z_ALAPADATOK!A3)</f>
        <v>Elek Város Önkormányzata</v>
      </c>
      <c r="C2" s="934"/>
      <c r="D2" s="934"/>
      <c r="E2" s="327" t="s">
        <v>218</v>
      </c>
    </row>
    <row r="3" spans="1:5" s="46" customFormat="1" ht="24.75" thickBot="1">
      <c r="A3" s="326" t="s">
        <v>315</v>
      </c>
      <c r="B3" s="934" t="s">
        <v>595</v>
      </c>
      <c r="C3" s="934"/>
      <c r="D3" s="934"/>
      <c r="E3" s="328" t="s">
        <v>222</v>
      </c>
    </row>
    <row r="4" spans="1:5" s="47" customFormat="1" ht="15.75" customHeight="1" thickBot="1">
      <c r="A4" s="320"/>
      <c r="B4" s="320"/>
      <c r="C4" s="321"/>
      <c r="D4" s="322"/>
      <c r="E4" s="321" t="str">
        <f>'Z_6.1.2.sz.mell'!E4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CONCATENATE('Z_6.1.2.sz.mell'!E5)</f>
        <v>Teljesítés
2019. XII. 31.</v>
      </c>
    </row>
    <row r="6" spans="1:5" s="42" customFormat="1" ht="12.75" customHeight="1" thickBot="1">
      <c r="A6" s="72" t="s">
        <v>565</v>
      </c>
      <c r="B6" s="73" t="s">
        <v>566</v>
      </c>
      <c r="C6" s="73" t="s">
        <v>567</v>
      </c>
      <c r="D6" s="279" t="s">
        <v>569</v>
      </c>
      <c r="E6" s="74" t="s">
        <v>568</v>
      </c>
    </row>
    <row r="7" spans="1:5" s="42" customFormat="1" ht="15.75" customHeight="1" thickBot="1">
      <c r="A7" s="929" t="s">
        <v>219</v>
      </c>
      <c r="B7" s="930"/>
      <c r="C7" s="930"/>
      <c r="D7" s="930"/>
      <c r="E7" s="931"/>
    </row>
    <row r="8" spans="1:5" s="42" customFormat="1" ht="12" customHeight="1" thickBot="1">
      <c r="A8" s="25" t="s">
        <v>186</v>
      </c>
      <c r="B8" s="19" t="s">
        <v>342</v>
      </c>
      <c r="C8" s="164">
        <f>+C9+C10+C11+C12+C13+C14</f>
        <v>0</v>
      </c>
      <c r="D8" s="246">
        <f>+D9+D10+D11+D12+D13+D14</f>
        <v>0</v>
      </c>
      <c r="E8" s="100">
        <f>+E9+E10+E11+E12+E13+E14</f>
        <v>0</v>
      </c>
    </row>
    <row r="9" spans="1:5" s="48" customFormat="1" ht="12" customHeight="1">
      <c r="A9" s="194" t="s">
        <v>243</v>
      </c>
      <c r="B9" s="177" t="s">
        <v>343</v>
      </c>
      <c r="C9" s="166"/>
      <c r="D9" s="247"/>
      <c r="E9" s="102"/>
    </row>
    <row r="10" spans="1:5" s="49" customFormat="1" ht="12" customHeight="1">
      <c r="A10" s="195" t="s">
        <v>244</v>
      </c>
      <c r="B10" s="178" t="s">
        <v>344</v>
      </c>
      <c r="C10" s="165"/>
      <c r="D10" s="248"/>
      <c r="E10" s="101"/>
    </row>
    <row r="11" spans="1:5" s="49" customFormat="1" ht="12" customHeight="1">
      <c r="A11" s="195" t="s">
        <v>245</v>
      </c>
      <c r="B11" s="178" t="s">
        <v>345</v>
      </c>
      <c r="C11" s="165"/>
      <c r="D11" s="248"/>
      <c r="E11" s="101"/>
    </row>
    <row r="12" spans="1:5" s="49" customFormat="1" ht="12" customHeight="1">
      <c r="A12" s="195" t="s">
        <v>246</v>
      </c>
      <c r="B12" s="178" t="s">
        <v>346</v>
      </c>
      <c r="C12" s="165"/>
      <c r="D12" s="248"/>
      <c r="E12" s="101"/>
    </row>
    <row r="13" spans="1:5" s="49" customFormat="1" ht="12" customHeight="1">
      <c r="A13" s="195" t="s">
        <v>277</v>
      </c>
      <c r="B13" s="178" t="s">
        <v>573</v>
      </c>
      <c r="C13" s="165"/>
      <c r="D13" s="248"/>
      <c r="E13" s="101"/>
    </row>
    <row r="14" spans="1:5" s="48" customFormat="1" ht="12" customHeight="1" thickBot="1">
      <c r="A14" s="196" t="s">
        <v>247</v>
      </c>
      <c r="B14" s="179" t="s">
        <v>514</v>
      </c>
      <c r="C14" s="165"/>
      <c r="D14" s="248"/>
      <c r="E14" s="101"/>
    </row>
    <row r="15" spans="1:5" s="48" customFormat="1" ht="12" customHeight="1" thickBot="1">
      <c r="A15" s="25" t="s">
        <v>187</v>
      </c>
      <c r="B15" s="107" t="s">
        <v>347</v>
      </c>
      <c r="C15" s="164">
        <f>+C16+C17+C18+C19+C20</f>
        <v>0</v>
      </c>
      <c r="D15" s="246">
        <f>+D16+D17+D18+D19+D20</f>
        <v>0</v>
      </c>
      <c r="E15" s="100">
        <f>+E16+E17+E18+E19+E20</f>
        <v>0</v>
      </c>
    </row>
    <row r="16" spans="1:5" s="48" customFormat="1" ht="12" customHeight="1">
      <c r="A16" s="194" t="s">
        <v>249</v>
      </c>
      <c r="B16" s="177" t="s">
        <v>348</v>
      </c>
      <c r="C16" s="166"/>
      <c r="D16" s="247"/>
      <c r="E16" s="102"/>
    </row>
    <row r="17" spans="1:5" s="48" customFormat="1" ht="12" customHeight="1">
      <c r="A17" s="195" t="s">
        <v>250</v>
      </c>
      <c r="B17" s="178" t="s">
        <v>349</v>
      </c>
      <c r="C17" s="165"/>
      <c r="D17" s="248"/>
      <c r="E17" s="101"/>
    </row>
    <row r="18" spans="1:5" s="48" customFormat="1" ht="12" customHeight="1">
      <c r="A18" s="195" t="s">
        <v>251</v>
      </c>
      <c r="B18" s="178" t="s">
        <v>505</v>
      </c>
      <c r="C18" s="165"/>
      <c r="D18" s="248"/>
      <c r="E18" s="101"/>
    </row>
    <row r="19" spans="1:5" s="48" customFormat="1" ht="12" customHeight="1">
      <c r="A19" s="195" t="s">
        <v>252</v>
      </c>
      <c r="B19" s="178" t="s">
        <v>506</v>
      </c>
      <c r="C19" s="165"/>
      <c r="D19" s="248"/>
      <c r="E19" s="101"/>
    </row>
    <row r="20" spans="1:5" s="48" customFormat="1" ht="12" customHeight="1">
      <c r="A20" s="195" t="s">
        <v>253</v>
      </c>
      <c r="B20" s="178" t="s">
        <v>350</v>
      </c>
      <c r="C20" s="165"/>
      <c r="D20" s="248"/>
      <c r="E20" s="101"/>
    </row>
    <row r="21" spans="1:5" s="49" customFormat="1" ht="12" customHeight="1" thickBot="1">
      <c r="A21" s="196" t="s">
        <v>260</v>
      </c>
      <c r="B21" s="179" t="s">
        <v>351</v>
      </c>
      <c r="C21" s="167"/>
      <c r="D21" s="249"/>
      <c r="E21" s="103"/>
    </row>
    <row r="22" spans="1:5" s="49" customFormat="1" ht="12" customHeight="1" thickBot="1">
      <c r="A22" s="25" t="s">
        <v>188</v>
      </c>
      <c r="B22" s="19" t="s">
        <v>352</v>
      </c>
      <c r="C22" s="164">
        <f>+C23+C24+C25+C26+C27</f>
        <v>0</v>
      </c>
      <c r="D22" s="246">
        <f>+D23+D24+D25+D26+D27</f>
        <v>0</v>
      </c>
      <c r="E22" s="100">
        <f>+E23+E24+E25+E26+E27</f>
        <v>0</v>
      </c>
    </row>
    <row r="23" spans="1:5" s="49" customFormat="1" ht="12" customHeight="1">
      <c r="A23" s="194" t="s">
        <v>232</v>
      </c>
      <c r="B23" s="177" t="s">
        <v>353</v>
      </c>
      <c r="C23" s="166"/>
      <c r="D23" s="247"/>
      <c r="E23" s="102"/>
    </row>
    <row r="24" spans="1:5" s="48" customFormat="1" ht="12" customHeight="1">
      <c r="A24" s="195" t="s">
        <v>233</v>
      </c>
      <c r="B24" s="178" t="s">
        <v>354</v>
      </c>
      <c r="C24" s="165"/>
      <c r="D24" s="248"/>
      <c r="E24" s="101"/>
    </row>
    <row r="25" spans="1:5" s="49" customFormat="1" ht="12" customHeight="1">
      <c r="A25" s="195" t="s">
        <v>234</v>
      </c>
      <c r="B25" s="178" t="s">
        <v>507</v>
      </c>
      <c r="C25" s="165"/>
      <c r="D25" s="248"/>
      <c r="E25" s="101"/>
    </row>
    <row r="26" spans="1:5" s="49" customFormat="1" ht="12" customHeight="1">
      <c r="A26" s="195" t="s">
        <v>235</v>
      </c>
      <c r="B26" s="178" t="s">
        <v>508</v>
      </c>
      <c r="C26" s="165"/>
      <c r="D26" s="248"/>
      <c r="E26" s="101"/>
    </row>
    <row r="27" spans="1:5" s="49" customFormat="1" ht="12" customHeight="1">
      <c r="A27" s="195" t="s">
        <v>290</v>
      </c>
      <c r="B27" s="178" t="s">
        <v>355</v>
      </c>
      <c r="C27" s="165"/>
      <c r="D27" s="248"/>
      <c r="E27" s="101"/>
    </row>
    <row r="28" spans="1:5" s="49" customFormat="1" ht="12" customHeight="1" thickBot="1">
      <c r="A28" s="196" t="s">
        <v>291</v>
      </c>
      <c r="B28" s="179" t="s">
        <v>356</v>
      </c>
      <c r="C28" s="167"/>
      <c r="D28" s="249"/>
      <c r="E28" s="103"/>
    </row>
    <row r="29" spans="1:5" s="49" customFormat="1" ht="12" customHeight="1" thickBot="1">
      <c r="A29" s="25" t="s">
        <v>292</v>
      </c>
      <c r="B29" s="19" t="s">
        <v>656</v>
      </c>
      <c r="C29" s="170">
        <f>SUM(C30:C36)</f>
        <v>0</v>
      </c>
      <c r="D29" s="170">
        <f>SUM(D30:D36)</f>
        <v>0</v>
      </c>
      <c r="E29" s="206">
        <f>SUM(E30:E36)</f>
        <v>0</v>
      </c>
    </row>
    <row r="30" spans="1:5" s="49" customFormat="1" ht="12" customHeight="1">
      <c r="A30" s="194" t="s">
        <v>357</v>
      </c>
      <c r="B30" s="177" t="str">
        <f>'Z_1.1.sz.mell.'!B33</f>
        <v>Magánszemélyek kommunális adója</v>
      </c>
      <c r="C30" s="166"/>
      <c r="D30" s="166"/>
      <c r="E30" s="102"/>
    </row>
    <row r="31" spans="1:5" s="49" customFormat="1" ht="12" customHeight="1">
      <c r="A31" s="195" t="s">
        <v>358</v>
      </c>
      <c r="B31" s="177" t="str">
        <f>'Z_1.1.sz.mell.'!B34</f>
        <v>Idegenforgalmi adó </v>
      </c>
      <c r="C31" s="165"/>
      <c r="D31" s="165"/>
      <c r="E31" s="101"/>
    </row>
    <row r="32" spans="1:5" s="49" customFormat="1" ht="12" customHeight="1">
      <c r="A32" s="195" t="s">
        <v>359</v>
      </c>
      <c r="B32" s="177" t="str">
        <f>'Z_1.1.sz.mell.'!B35</f>
        <v>Iparűzési adó</v>
      </c>
      <c r="C32" s="165"/>
      <c r="D32" s="165"/>
      <c r="E32" s="101"/>
    </row>
    <row r="33" spans="1:5" s="49" customFormat="1" ht="12" customHeight="1">
      <c r="A33" s="195" t="s">
        <v>360</v>
      </c>
      <c r="B33" s="177" t="str">
        <f>'Z_1.1.sz.mell.'!B36</f>
        <v>Talajterhelési díj</v>
      </c>
      <c r="C33" s="165"/>
      <c r="D33" s="165"/>
      <c r="E33" s="101"/>
    </row>
    <row r="34" spans="1:5" s="49" customFormat="1" ht="12" customHeight="1">
      <c r="A34" s="195" t="s">
        <v>660</v>
      </c>
      <c r="B34" s="177" t="str">
        <f>'Z_1.1.sz.mell.'!B37</f>
        <v>Gépjárműadó</v>
      </c>
      <c r="C34" s="165"/>
      <c r="D34" s="165"/>
      <c r="E34" s="101"/>
    </row>
    <row r="35" spans="1:5" s="49" customFormat="1" ht="12" customHeight="1">
      <c r="A35" s="195" t="s">
        <v>661</v>
      </c>
      <c r="B35" s="177" t="str">
        <f>'Z_1.1.sz.mell.'!B38</f>
        <v>Telekadó</v>
      </c>
      <c r="C35" s="165"/>
      <c r="D35" s="165"/>
      <c r="E35" s="101"/>
    </row>
    <row r="36" spans="1:5" s="49" customFormat="1" ht="12" customHeight="1" thickBot="1">
      <c r="A36" s="196" t="s">
        <v>662</v>
      </c>
      <c r="B36" s="177" t="str">
        <f>'Z_1.1.sz.mell.'!B39</f>
        <v>Egyéb közhatalmi bevételek</v>
      </c>
      <c r="C36" s="167"/>
      <c r="D36" s="167"/>
      <c r="E36" s="103"/>
    </row>
    <row r="37" spans="1:5" s="49" customFormat="1" ht="12" customHeight="1" thickBot="1">
      <c r="A37" s="25" t="s">
        <v>190</v>
      </c>
      <c r="B37" s="19" t="s">
        <v>515</v>
      </c>
      <c r="C37" s="164">
        <f>SUM(C38:C48)</f>
        <v>0</v>
      </c>
      <c r="D37" s="246">
        <f>SUM(D38:D48)</f>
        <v>0</v>
      </c>
      <c r="E37" s="100">
        <f>SUM(E38:E48)</f>
        <v>0</v>
      </c>
    </row>
    <row r="38" spans="1:5" s="49" customFormat="1" ht="12" customHeight="1">
      <c r="A38" s="194" t="s">
        <v>236</v>
      </c>
      <c r="B38" s="177" t="s">
        <v>364</v>
      </c>
      <c r="C38" s="166"/>
      <c r="D38" s="247"/>
      <c r="E38" s="102"/>
    </row>
    <row r="39" spans="1:5" s="49" customFormat="1" ht="12" customHeight="1">
      <c r="A39" s="195" t="s">
        <v>237</v>
      </c>
      <c r="B39" s="178" t="s">
        <v>365</v>
      </c>
      <c r="C39" s="165"/>
      <c r="D39" s="248"/>
      <c r="E39" s="101"/>
    </row>
    <row r="40" spans="1:5" s="49" customFormat="1" ht="12" customHeight="1">
      <c r="A40" s="195" t="s">
        <v>238</v>
      </c>
      <c r="B40" s="178" t="s">
        <v>366</v>
      </c>
      <c r="C40" s="165"/>
      <c r="D40" s="248"/>
      <c r="E40" s="101"/>
    </row>
    <row r="41" spans="1:5" s="49" customFormat="1" ht="12" customHeight="1">
      <c r="A41" s="195" t="s">
        <v>294</v>
      </c>
      <c r="B41" s="178" t="s">
        <v>367</v>
      </c>
      <c r="C41" s="165"/>
      <c r="D41" s="248"/>
      <c r="E41" s="101"/>
    </row>
    <row r="42" spans="1:5" s="49" customFormat="1" ht="12" customHeight="1">
      <c r="A42" s="195" t="s">
        <v>295</v>
      </c>
      <c r="B42" s="178" t="s">
        <v>368</v>
      </c>
      <c r="C42" s="165"/>
      <c r="D42" s="248"/>
      <c r="E42" s="101"/>
    </row>
    <row r="43" spans="1:5" s="49" customFormat="1" ht="12" customHeight="1">
      <c r="A43" s="195" t="s">
        <v>296</v>
      </c>
      <c r="B43" s="178" t="s">
        <v>369</v>
      </c>
      <c r="C43" s="165"/>
      <c r="D43" s="248"/>
      <c r="E43" s="101"/>
    </row>
    <row r="44" spans="1:5" s="49" customFormat="1" ht="12" customHeight="1">
      <c r="A44" s="195" t="s">
        <v>297</v>
      </c>
      <c r="B44" s="178" t="s">
        <v>370</v>
      </c>
      <c r="C44" s="165"/>
      <c r="D44" s="248"/>
      <c r="E44" s="101"/>
    </row>
    <row r="45" spans="1:5" s="49" customFormat="1" ht="12" customHeight="1">
      <c r="A45" s="195" t="s">
        <v>298</v>
      </c>
      <c r="B45" s="178" t="s">
        <v>663</v>
      </c>
      <c r="C45" s="165"/>
      <c r="D45" s="248"/>
      <c r="E45" s="101"/>
    </row>
    <row r="46" spans="1:5" s="49" customFormat="1" ht="12" customHeight="1">
      <c r="A46" s="195" t="s">
        <v>362</v>
      </c>
      <c r="B46" s="178" t="s">
        <v>372</v>
      </c>
      <c r="C46" s="168"/>
      <c r="D46" s="280"/>
      <c r="E46" s="104"/>
    </row>
    <row r="47" spans="1:5" s="49" customFormat="1" ht="12" customHeight="1">
      <c r="A47" s="196" t="s">
        <v>363</v>
      </c>
      <c r="B47" s="179" t="s">
        <v>517</v>
      </c>
      <c r="C47" s="169"/>
      <c r="D47" s="281"/>
      <c r="E47" s="105"/>
    </row>
    <row r="48" spans="1:5" s="49" customFormat="1" ht="12" customHeight="1" thickBot="1">
      <c r="A48" s="196" t="s">
        <v>516</v>
      </c>
      <c r="B48" s="179" t="s">
        <v>373</v>
      </c>
      <c r="C48" s="169"/>
      <c r="D48" s="281"/>
      <c r="E48" s="105"/>
    </row>
    <row r="49" spans="1:5" s="49" customFormat="1" ht="12" customHeight="1" thickBot="1">
      <c r="A49" s="25" t="s">
        <v>191</v>
      </c>
      <c r="B49" s="19" t="s">
        <v>374</v>
      </c>
      <c r="C49" s="164">
        <f>SUM(C50:C54)</f>
        <v>0</v>
      </c>
      <c r="D49" s="246">
        <f>SUM(D50:D54)</f>
        <v>0</v>
      </c>
      <c r="E49" s="100">
        <f>SUM(E50:E54)</f>
        <v>0</v>
      </c>
    </row>
    <row r="50" spans="1:5" s="49" customFormat="1" ht="12" customHeight="1">
      <c r="A50" s="194" t="s">
        <v>239</v>
      </c>
      <c r="B50" s="177" t="s">
        <v>378</v>
      </c>
      <c r="C50" s="217"/>
      <c r="D50" s="282"/>
      <c r="E50" s="106"/>
    </row>
    <row r="51" spans="1:5" s="49" customFormat="1" ht="12" customHeight="1">
      <c r="A51" s="195" t="s">
        <v>240</v>
      </c>
      <c r="B51" s="178" t="s">
        <v>379</v>
      </c>
      <c r="C51" s="168"/>
      <c r="D51" s="280"/>
      <c r="E51" s="104"/>
    </row>
    <row r="52" spans="1:5" s="49" customFormat="1" ht="12" customHeight="1">
      <c r="A52" s="195" t="s">
        <v>375</v>
      </c>
      <c r="B52" s="178" t="s">
        <v>380</v>
      </c>
      <c r="C52" s="168"/>
      <c r="D52" s="280"/>
      <c r="E52" s="104"/>
    </row>
    <row r="53" spans="1:5" s="49" customFormat="1" ht="12" customHeight="1">
      <c r="A53" s="195" t="s">
        <v>376</v>
      </c>
      <c r="B53" s="178" t="s">
        <v>381</v>
      </c>
      <c r="C53" s="168"/>
      <c r="D53" s="280"/>
      <c r="E53" s="104"/>
    </row>
    <row r="54" spans="1:5" s="49" customFormat="1" ht="12" customHeight="1" thickBot="1">
      <c r="A54" s="196" t="s">
        <v>377</v>
      </c>
      <c r="B54" s="179" t="s">
        <v>382</v>
      </c>
      <c r="C54" s="169"/>
      <c r="D54" s="281"/>
      <c r="E54" s="105"/>
    </row>
    <row r="55" spans="1:5" s="49" customFormat="1" ht="12" customHeight="1" thickBot="1">
      <c r="A55" s="25" t="s">
        <v>299</v>
      </c>
      <c r="B55" s="19" t="s">
        <v>383</v>
      </c>
      <c r="C55" s="164">
        <f>SUM(C56:C58)</f>
        <v>0</v>
      </c>
      <c r="D55" s="246">
        <f>SUM(D56:D58)</f>
        <v>0</v>
      </c>
      <c r="E55" s="100">
        <f>SUM(E56:E58)</f>
        <v>0</v>
      </c>
    </row>
    <row r="56" spans="1:5" s="49" customFormat="1" ht="12" customHeight="1">
      <c r="A56" s="194" t="s">
        <v>241</v>
      </c>
      <c r="B56" s="177" t="s">
        <v>384</v>
      </c>
      <c r="C56" s="166"/>
      <c r="D56" s="247"/>
      <c r="E56" s="102"/>
    </row>
    <row r="57" spans="1:5" s="49" customFormat="1" ht="12" customHeight="1">
      <c r="A57" s="195" t="s">
        <v>242</v>
      </c>
      <c r="B57" s="178" t="s">
        <v>509</v>
      </c>
      <c r="C57" s="165"/>
      <c r="D57" s="248"/>
      <c r="E57" s="101"/>
    </row>
    <row r="58" spans="1:5" s="49" customFormat="1" ht="12" customHeight="1">
      <c r="A58" s="195" t="s">
        <v>387</v>
      </c>
      <c r="B58" s="178" t="s">
        <v>385</v>
      </c>
      <c r="C58" s="165"/>
      <c r="D58" s="248"/>
      <c r="E58" s="101"/>
    </row>
    <row r="59" spans="1:5" s="49" customFormat="1" ht="12" customHeight="1" thickBot="1">
      <c r="A59" s="196" t="s">
        <v>388</v>
      </c>
      <c r="B59" s="179" t="s">
        <v>386</v>
      </c>
      <c r="C59" s="167"/>
      <c r="D59" s="249"/>
      <c r="E59" s="103"/>
    </row>
    <row r="60" spans="1:5" s="49" customFormat="1" ht="12" customHeight="1" thickBot="1">
      <c r="A60" s="25" t="s">
        <v>193</v>
      </c>
      <c r="B60" s="107" t="s">
        <v>389</v>
      </c>
      <c r="C60" s="164">
        <f>SUM(C61:C63)</f>
        <v>0</v>
      </c>
      <c r="D60" s="246">
        <f>SUM(D61:D63)</f>
        <v>0</v>
      </c>
      <c r="E60" s="100">
        <f>SUM(E61:E63)</f>
        <v>0</v>
      </c>
    </row>
    <row r="61" spans="1:5" s="49" customFormat="1" ht="12" customHeight="1">
      <c r="A61" s="194" t="s">
        <v>300</v>
      </c>
      <c r="B61" s="177" t="s">
        <v>391</v>
      </c>
      <c r="C61" s="168"/>
      <c r="D61" s="280"/>
      <c r="E61" s="104"/>
    </row>
    <row r="62" spans="1:5" s="49" customFormat="1" ht="12" customHeight="1">
      <c r="A62" s="195" t="s">
        <v>301</v>
      </c>
      <c r="B62" s="178" t="s">
        <v>510</v>
      </c>
      <c r="C62" s="168"/>
      <c r="D62" s="280"/>
      <c r="E62" s="104"/>
    </row>
    <row r="63" spans="1:5" s="49" customFormat="1" ht="12" customHeight="1">
      <c r="A63" s="195" t="s">
        <v>324</v>
      </c>
      <c r="B63" s="178" t="s">
        <v>392</v>
      </c>
      <c r="C63" s="168"/>
      <c r="D63" s="280"/>
      <c r="E63" s="104"/>
    </row>
    <row r="64" spans="1:5" s="49" customFormat="1" ht="12" customHeight="1" thickBot="1">
      <c r="A64" s="196" t="s">
        <v>390</v>
      </c>
      <c r="B64" s="179" t="s">
        <v>393</v>
      </c>
      <c r="C64" s="168"/>
      <c r="D64" s="280"/>
      <c r="E64" s="104"/>
    </row>
    <row r="65" spans="1:5" s="49" customFormat="1" ht="12" customHeight="1" thickBot="1">
      <c r="A65" s="25" t="s">
        <v>194</v>
      </c>
      <c r="B65" s="19" t="s">
        <v>394</v>
      </c>
      <c r="C65" s="170">
        <f>+C8+C15+C22+C29+C37+C49+C55+C60</f>
        <v>0</v>
      </c>
      <c r="D65" s="250">
        <f>+D8+D15+D22+D29+D37+D49+D55+D60</f>
        <v>0</v>
      </c>
      <c r="E65" s="206">
        <f>+E8+E15+E22+E29+E37+E49+E55+E60</f>
        <v>0</v>
      </c>
    </row>
    <row r="66" spans="1:5" s="49" customFormat="1" ht="12" customHeight="1" thickBot="1">
      <c r="A66" s="197" t="s">
        <v>479</v>
      </c>
      <c r="B66" s="107" t="s">
        <v>396</v>
      </c>
      <c r="C66" s="164">
        <f>SUM(C67:C69)</f>
        <v>0</v>
      </c>
      <c r="D66" s="246">
        <f>SUM(D67:D69)</f>
        <v>0</v>
      </c>
      <c r="E66" s="100">
        <f>SUM(E67:E69)</f>
        <v>0</v>
      </c>
    </row>
    <row r="67" spans="1:5" s="49" customFormat="1" ht="12" customHeight="1">
      <c r="A67" s="194" t="s">
        <v>424</v>
      </c>
      <c r="B67" s="177" t="s">
        <v>397</v>
      </c>
      <c r="C67" s="168"/>
      <c r="D67" s="280"/>
      <c r="E67" s="104"/>
    </row>
    <row r="68" spans="1:5" s="49" customFormat="1" ht="12" customHeight="1">
      <c r="A68" s="195" t="s">
        <v>433</v>
      </c>
      <c r="B68" s="178" t="s">
        <v>398</v>
      </c>
      <c r="C68" s="168"/>
      <c r="D68" s="280"/>
      <c r="E68" s="104"/>
    </row>
    <row r="69" spans="1:5" s="49" customFormat="1" ht="12" customHeight="1" thickBot="1">
      <c r="A69" s="196" t="s">
        <v>434</v>
      </c>
      <c r="B69" s="180" t="s">
        <v>399</v>
      </c>
      <c r="C69" s="168"/>
      <c r="D69" s="283"/>
      <c r="E69" s="104"/>
    </row>
    <row r="70" spans="1:5" s="49" customFormat="1" ht="12" customHeight="1" thickBot="1">
      <c r="A70" s="197" t="s">
        <v>400</v>
      </c>
      <c r="B70" s="107" t="s">
        <v>401</v>
      </c>
      <c r="C70" s="164">
        <f>SUM(C71:C74)</f>
        <v>0</v>
      </c>
      <c r="D70" s="164">
        <f>SUM(D71:D74)</f>
        <v>0</v>
      </c>
      <c r="E70" s="100">
        <f>SUM(E71:E74)</f>
        <v>0</v>
      </c>
    </row>
    <row r="71" spans="1:5" s="49" customFormat="1" ht="12" customHeight="1">
      <c r="A71" s="194" t="s">
        <v>278</v>
      </c>
      <c r="B71" s="301" t="s">
        <v>402</v>
      </c>
      <c r="C71" s="168"/>
      <c r="D71" s="168"/>
      <c r="E71" s="104"/>
    </row>
    <row r="72" spans="1:5" s="49" customFormat="1" ht="12" customHeight="1">
      <c r="A72" s="195" t="s">
        <v>279</v>
      </c>
      <c r="B72" s="301" t="s">
        <v>670</v>
      </c>
      <c r="C72" s="168"/>
      <c r="D72" s="168"/>
      <c r="E72" s="104"/>
    </row>
    <row r="73" spans="1:5" s="49" customFormat="1" ht="12" customHeight="1">
      <c r="A73" s="195" t="s">
        <v>425</v>
      </c>
      <c r="B73" s="301" t="s">
        <v>403</v>
      </c>
      <c r="C73" s="168"/>
      <c r="D73" s="168"/>
      <c r="E73" s="104"/>
    </row>
    <row r="74" spans="1:5" s="49" customFormat="1" ht="12" customHeight="1" thickBot="1">
      <c r="A74" s="196" t="s">
        <v>426</v>
      </c>
      <c r="B74" s="302" t="s">
        <v>671</v>
      </c>
      <c r="C74" s="168"/>
      <c r="D74" s="168"/>
      <c r="E74" s="104"/>
    </row>
    <row r="75" spans="1:5" s="49" customFormat="1" ht="12" customHeight="1" thickBot="1">
      <c r="A75" s="197" t="s">
        <v>404</v>
      </c>
      <c r="B75" s="107" t="s">
        <v>405</v>
      </c>
      <c r="C75" s="164">
        <f>SUM(C76:C77)</f>
        <v>0</v>
      </c>
      <c r="D75" s="164">
        <f>SUM(D76:D77)</f>
        <v>0</v>
      </c>
      <c r="E75" s="100">
        <f>SUM(E76:E77)</f>
        <v>0</v>
      </c>
    </row>
    <row r="76" spans="1:5" s="49" customFormat="1" ht="12" customHeight="1">
      <c r="A76" s="194" t="s">
        <v>427</v>
      </c>
      <c r="B76" s="177" t="s">
        <v>406</v>
      </c>
      <c r="C76" s="168"/>
      <c r="D76" s="168"/>
      <c r="E76" s="104"/>
    </row>
    <row r="77" spans="1:5" s="49" customFormat="1" ht="12" customHeight="1" thickBot="1">
      <c r="A77" s="196" t="s">
        <v>428</v>
      </c>
      <c r="B77" s="179" t="s">
        <v>407</v>
      </c>
      <c r="C77" s="168"/>
      <c r="D77" s="168"/>
      <c r="E77" s="104"/>
    </row>
    <row r="78" spans="1:5" s="48" customFormat="1" ht="12" customHeight="1" thickBot="1">
      <c r="A78" s="197" t="s">
        <v>408</v>
      </c>
      <c r="B78" s="107" t="s">
        <v>409</v>
      </c>
      <c r="C78" s="164">
        <f>SUM(C79:C81)</f>
        <v>0</v>
      </c>
      <c r="D78" s="164">
        <f>SUM(D79:D81)</f>
        <v>0</v>
      </c>
      <c r="E78" s="100">
        <f>SUM(E79:E81)</f>
        <v>0</v>
      </c>
    </row>
    <row r="79" spans="1:5" s="49" customFormat="1" ht="12" customHeight="1">
      <c r="A79" s="194" t="s">
        <v>429</v>
      </c>
      <c r="B79" s="177" t="s">
        <v>410</v>
      </c>
      <c r="C79" s="168"/>
      <c r="D79" s="168"/>
      <c r="E79" s="104"/>
    </row>
    <row r="80" spans="1:5" s="49" customFormat="1" ht="12" customHeight="1">
      <c r="A80" s="195" t="s">
        <v>430</v>
      </c>
      <c r="B80" s="178" t="s">
        <v>411</v>
      </c>
      <c r="C80" s="168"/>
      <c r="D80" s="168"/>
      <c r="E80" s="104"/>
    </row>
    <row r="81" spans="1:5" s="49" customFormat="1" ht="12" customHeight="1" thickBot="1">
      <c r="A81" s="196" t="s">
        <v>431</v>
      </c>
      <c r="B81" s="179" t="s">
        <v>672</v>
      </c>
      <c r="C81" s="168"/>
      <c r="D81" s="168"/>
      <c r="E81" s="104"/>
    </row>
    <row r="82" spans="1:5" s="49" customFormat="1" ht="12" customHeight="1" thickBot="1">
      <c r="A82" s="197" t="s">
        <v>412</v>
      </c>
      <c r="B82" s="107" t="s">
        <v>432</v>
      </c>
      <c r="C82" s="164">
        <f>SUM(C83:C86)</f>
        <v>0</v>
      </c>
      <c r="D82" s="164">
        <f>SUM(D83:D86)</f>
        <v>0</v>
      </c>
      <c r="E82" s="100">
        <f>SUM(E83:E86)</f>
        <v>0</v>
      </c>
    </row>
    <row r="83" spans="1:5" s="49" customFormat="1" ht="12" customHeight="1">
      <c r="A83" s="198" t="s">
        <v>413</v>
      </c>
      <c r="B83" s="177" t="s">
        <v>414</v>
      </c>
      <c r="C83" s="168"/>
      <c r="D83" s="168"/>
      <c r="E83" s="104"/>
    </row>
    <row r="84" spans="1:5" s="49" customFormat="1" ht="12" customHeight="1">
      <c r="A84" s="199" t="s">
        <v>415</v>
      </c>
      <c r="B84" s="178" t="s">
        <v>416</v>
      </c>
      <c r="C84" s="168"/>
      <c r="D84" s="168"/>
      <c r="E84" s="104"/>
    </row>
    <row r="85" spans="1:5" s="49" customFormat="1" ht="12" customHeight="1">
      <c r="A85" s="199" t="s">
        <v>417</v>
      </c>
      <c r="B85" s="178" t="s">
        <v>418</v>
      </c>
      <c r="C85" s="168"/>
      <c r="D85" s="168"/>
      <c r="E85" s="104"/>
    </row>
    <row r="86" spans="1:5" s="48" customFormat="1" ht="12" customHeight="1" thickBot="1">
      <c r="A86" s="200" t="s">
        <v>419</v>
      </c>
      <c r="B86" s="179" t="s">
        <v>420</v>
      </c>
      <c r="C86" s="168"/>
      <c r="D86" s="168"/>
      <c r="E86" s="104"/>
    </row>
    <row r="87" spans="1:5" s="48" customFormat="1" ht="12" customHeight="1" thickBot="1">
      <c r="A87" s="197" t="s">
        <v>421</v>
      </c>
      <c r="B87" s="107" t="s">
        <v>556</v>
      </c>
      <c r="C87" s="220"/>
      <c r="D87" s="220"/>
      <c r="E87" s="221"/>
    </row>
    <row r="88" spans="1:5" s="48" customFormat="1" ht="12" customHeight="1" thickBot="1">
      <c r="A88" s="197" t="s">
        <v>574</v>
      </c>
      <c r="B88" s="107" t="s">
        <v>422</v>
      </c>
      <c r="C88" s="220"/>
      <c r="D88" s="220"/>
      <c r="E88" s="221"/>
    </row>
    <row r="89" spans="1:5" s="48" customFormat="1" ht="12" customHeight="1" thickBot="1">
      <c r="A89" s="197" t="s">
        <v>575</v>
      </c>
      <c r="B89" s="184" t="s">
        <v>559</v>
      </c>
      <c r="C89" s="170">
        <f>+C66+C70+C75+C78+C82+C88+C87</f>
        <v>0</v>
      </c>
      <c r="D89" s="170">
        <f>+D66+D70+D75+D78+D82+D88+D87</f>
        <v>0</v>
      </c>
      <c r="E89" s="206">
        <f>+E66+E70+E75+E78+E82+E88+E87</f>
        <v>0</v>
      </c>
    </row>
    <row r="90" spans="1:5" s="48" customFormat="1" ht="12" customHeight="1" thickBot="1">
      <c r="A90" s="201" t="s">
        <v>576</v>
      </c>
      <c r="B90" s="185" t="s">
        <v>577</v>
      </c>
      <c r="C90" s="170">
        <f>+C65+C89</f>
        <v>0</v>
      </c>
      <c r="D90" s="170">
        <f>+D65+D89</f>
        <v>0</v>
      </c>
      <c r="E90" s="206">
        <f>+E65+E89</f>
        <v>0</v>
      </c>
    </row>
    <row r="91" spans="1:3" s="49" customFormat="1" ht="15" customHeight="1" thickBot="1">
      <c r="A91" s="84"/>
      <c r="B91" s="85"/>
      <c r="C91" s="146"/>
    </row>
    <row r="92" spans="1:5" s="42" customFormat="1" ht="16.5" customHeight="1" thickBot="1">
      <c r="A92" s="929" t="s">
        <v>220</v>
      </c>
      <c r="B92" s="930"/>
      <c r="C92" s="930"/>
      <c r="D92" s="930"/>
      <c r="E92" s="931"/>
    </row>
    <row r="93" spans="1:5" s="50" customFormat="1" ht="12" customHeight="1" thickBot="1">
      <c r="A93" s="171" t="s">
        <v>186</v>
      </c>
      <c r="B93" s="24" t="s">
        <v>581</v>
      </c>
      <c r="C93" s="163">
        <f>+C94+C95+C96+C97+C98+C111</f>
        <v>0</v>
      </c>
      <c r="D93" s="163">
        <f>+D94+D95+D96+D97+D98+D111</f>
        <v>0</v>
      </c>
      <c r="E93" s="229">
        <f>+E94+E95+E96+E97+E98+E111</f>
        <v>0</v>
      </c>
    </row>
    <row r="94" spans="1:5" ht="12" customHeight="1">
      <c r="A94" s="202" t="s">
        <v>243</v>
      </c>
      <c r="B94" s="8" t="s">
        <v>215</v>
      </c>
      <c r="C94" s="236"/>
      <c r="D94" s="236"/>
      <c r="E94" s="230"/>
    </row>
    <row r="95" spans="1:5" ht="12" customHeight="1">
      <c r="A95" s="195" t="s">
        <v>244</v>
      </c>
      <c r="B95" s="6" t="s">
        <v>302</v>
      </c>
      <c r="C95" s="165"/>
      <c r="D95" s="165"/>
      <c r="E95" s="101"/>
    </row>
    <row r="96" spans="1:5" ht="12" customHeight="1">
      <c r="A96" s="195" t="s">
        <v>245</v>
      </c>
      <c r="B96" s="6" t="s">
        <v>270</v>
      </c>
      <c r="C96" s="167"/>
      <c r="D96" s="165"/>
      <c r="E96" s="103"/>
    </row>
    <row r="97" spans="1:5" ht="12" customHeight="1">
      <c r="A97" s="195" t="s">
        <v>246</v>
      </c>
      <c r="B97" s="9" t="s">
        <v>303</v>
      </c>
      <c r="C97" s="167"/>
      <c r="D97" s="249"/>
      <c r="E97" s="103"/>
    </row>
    <row r="98" spans="1:5" ht="12" customHeight="1">
      <c r="A98" s="195" t="s">
        <v>255</v>
      </c>
      <c r="B98" s="17" t="s">
        <v>304</v>
      </c>
      <c r="C98" s="167"/>
      <c r="D98" s="249"/>
      <c r="E98" s="103"/>
    </row>
    <row r="99" spans="1:5" ht="12" customHeight="1">
      <c r="A99" s="195" t="s">
        <v>247</v>
      </c>
      <c r="B99" s="6" t="s">
        <v>578</v>
      </c>
      <c r="C99" s="167"/>
      <c r="D99" s="249"/>
      <c r="E99" s="103"/>
    </row>
    <row r="100" spans="1:5" ht="12" customHeight="1">
      <c r="A100" s="195" t="s">
        <v>248</v>
      </c>
      <c r="B100" s="60" t="s">
        <v>522</v>
      </c>
      <c r="C100" s="167"/>
      <c r="D100" s="249"/>
      <c r="E100" s="103"/>
    </row>
    <row r="101" spans="1:5" ht="12" customHeight="1">
      <c r="A101" s="195" t="s">
        <v>256</v>
      </c>
      <c r="B101" s="60" t="s">
        <v>521</v>
      </c>
      <c r="C101" s="167"/>
      <c r="D101" s="249"/>
      <c r="E101" s="103"/>
    </row>
    <row r="102" spans="1:5" ht="12" customHeight="1">
      <c r="A102" s="195" t="s">
        <v>257</v>
      </c>
      <c r="B102" s="60" t="s">
        <v>438</v>
      </c>
      <c r="C102" s="167"/>
      <c r="D102" s="249"/>
      <c r="E102" s="103"/>
    </row>
    <row r="103" spans="1:5" ht="12" customHeight="1">
      <c r="A103" s="195" t="s">
        <v>258</v>
      </c>
      <c r="B103" s="61" t="s">
        <v>439</v>
      </c>
      <c r="C103" s="167"/>
      <c r="D103" s="249"/>
      <c r="E103" s="103"/>
    </row>
    <row r="104" spans="1:5" ht="12" customHeight="1">
      <c r="A104" s="195" t="s">
        <v>259</v>
      </c>
      <c r="B104" s="61" t="s">
        <v>440</v>
      </c>
      <c r="C104" s="167"/>
      <c r="D104" s="249"/>
      <c r="E104" s="103"/>
    </row>
    <row r="105" spans="1:5" ht="12" customHeight="1">
      <c r="A105" s="195" t="s">
        <v>261</v>
      </c>
      <c r="B105" s="60" t="s">
        <v>441</v>
      </c>
      <c r="C105" s="167"/>
      <c r="D105" s="249"/>
      <c r="E105" s="103"/>
    </row>
    <row r="106" spans="1:5" ht="12" customHeight="1">
      <c r="A106" s="195" t="s">
        <v>305</v>
      </c>
      <c r="B106" s="60" t="s">
        <v>442</v>
      </c>
      <c r="C106" s="167"/>
      <c r="D106" s="249"/>
      <c r="E106" s="103"/>
    </row>
    <row r="107" spans="1:5" ht="12" customHeight="1">
      <c r="A107" s="195" t="s">
        <v>436</v>
      </c>
      <c r="B107" s="61" t="s">
        <v>443</v>
      </c>
      <c r="C107" s="165"/>
      <c r="D107" s="249"/>
      <c r="E107" s="103"/>
    </row>
    <row r="108" spans="1:5" ht="12" customHeight="1">
      <c r="A108" s="203" t="s">
        <v>437</v>
      </c>
      <c r="B108" s="62" t="s">
        <v>444</v>
      </c>
      <c r="C108" s="167"/>
      <c r="D108" s="249"/>
      <c r="E108" s="103"/>
    </row>
    <row r="109" spans="1:5" ht="12" customHeight="1">
      <c r="A109" s="195" t="s">
        <v>519</v>
      </c>
      <c r="B109" s="62" t="s">
        <v>445</v>
      </c>
      <c r="C109" s="167"/>
      <c r="D109" s="249"/>
      <c r="E109" s="103"/>
    </row>
    <row r="110" spans="1:5" ht="12" customHeight="1">
      <c r="A110" s="195" t="s">
        <v>520</v>
      </c>
      <c r="B110" s="61" t="s">
        <v>446</v>
      </c>
      <c r="C110" s="165"/>
      <c r="D110" s="248"/>
      <c r="E110" s="101"/>
    </row>
    <row r="111" spans="1:5" ht="12" customHeight="1">
      <c r="A111" s="195" t="s">
        <v>524</v>
      </c>
      <c r="B111" s="9" t="s">
        <v>216</v>
      </c>
      <c r="C111" s="165"/>
      <c r="D111" s="248"/>
      <c r="E111" s="101"/>
    </row>
    <row r="112" spans="1:5" ht="12" customHeight="1">
      <c r="A112" s="196" t="s">
        <v>525</v>
      </c>
      <c r="B112" s="6" t="s">
        <v>579</v>
      </c>
      <c r="C112" s="167"/>
      <c r="D112" s="249"/>
      <c r="E112" s="103"/>
    </row>
    <row r="113" spans="1:5" ht="12" customHeight="1" thickBot="1">
      <c r="A113" s="204" t="s">
        <v>526</v>
      </c>
      <c r="B113" s="63" t="s">
        <v>580</v>
      </c>
      <c r="C113" s="237"/>
      <c r="D113" s="286"/>
      <c r="E113" s="231"/>
    </row>
    <row r="114" spans="1:5" ht="12" customHeight="1" thickBot="1">
      <c r="A114" s="25" t="s">
        <v>187</v>
      </c>
      <c r="B114" s="23" t="s">
        <v>447</v>
      </c>
      <c r="C114" s="164">
        <f>+C115+C117+C119</f>
        <v>0</v>
      </c>
      <c r="D114" s="246">
        <f>+D115+D117+D119</f>
        <v>0</v>
      </c>
      <c r="E114" s="100">
        <f>+E115+E117+E119</f>
        <v>0</v>
      </c>
    </row>
    <row r="115" spans="1:5" ht="12" customHeight="1">
      <c r="A115" s="194" t="s">
        <v>249</v>
      </c>
      <c r="B115" s="6" t="s">
        <v>323</v>
      </c>
      <c r="C115" s="166"/>
      <c r="D115" s="247"/>
      <c r="E115" s="102"/>
    </row>
    <row r="116" spans="1:5" ht="12" customHeight="1">
      <c r="A116" s="194" t="s">
        <v>250</v>
      </c>
      <c r="B116" s="10" t="s">
        <v>451</v>
      </c>
      <c r="C116" s="166"/>
      <c r="D116" s="247"/>
      <c r="E116" s="102"/>
    </row>
    <row r="117" spans="1:5" ht="12" customHeight="1">
      <c r="A117" s="194" t="s">
        <v>251</v>
      </c>
      <c r="B117" s="10" t="s">
        <v>306</v>
      </c>
      <c r="C117" s="165"/>
      <c r="D117" s="248"/>
      <c r="E117" s="101"/>
    </row>
    <row r="118" spans="1:5" ht="12" customHeight="1">
      <c r="A118" s="194" t="s">
        <v>252</v>
      </c>
      <c r="B118" s="10" t="s">
        <v>452</v>
      </c>
      <c r="C118" s="165"/>
      <c r="D118" s="248"/>
      <c r="E118" s="101"/>
    </row>
    <row r="119" spans="1:5" ht="12" customHeight="1">
      <c r="A119" s="194" t="s">
        <v>253</v>
      </c>
      <c r="B119" s="109" t="s">
        <v>325</v>
      </c>
      <c r="C119" s="165"/>
      <c r="D119" s="248"/>
      <c r="E119" s="101"/>
    </row>
    <row r="120" spans="1:5" ht="12" customHeight="1">
      <c r="A120" s="194" t="s">
        <v>260</v>
      </c>
      <c r="B120" s="108" t="s">
        <v>511</v>
      </c>
      <c r="C120" s="165"/>
      <c r="D120" s="248"/>
      <c r="E120" s="101"/>
    </row>
    <row r="121" spans="1:5" ht="12" customHeight="1">
      <c r="A121" s="194" t="s">
        <v>262</v>
      </c>
      <c r="B121" s="173" t="s">
        <v>457</v>
      </c>
      <c r="C121" s="165"/>
      <c r="D121" s="248"/>
      <c r="E121" s="101"/>
    </row>
    <row r="122" spans="1:5" ht="12" customHeight="1">
      <c r="A122" s="194" t="s">
        <v>307</v>
      </c>
      <c r="B122" s="61" t="s">
        <v>440</v>
      </c>
      <c r="C122" s="165"/>
      <c r="D122" s="248"/>
      <c r="E122" s="101"/>
    </row>
    <row r="123" spans="1:5" ht="12" customHeight="1">
      <c r="A123" s="194" t="s">
        <v>308</v>
      </c>
      <c r="B123" s="61" t="s">
        <v>456</v>
      </c>
      <c r="C123" s="165"/>
      <c r="D123" s="248"/>
      <c r="E123" s="101"/>
    </row>
    <row r="124" spans="1:5" ht="12" customHeight="1">
      <c r="A124" s="194" t="s">
        <v>309</v>
      </c>
      <c r="B124" s="61" t="s">
        <v>455</v>
      </c>
      <c r="C124" s="165"/>
      <c r="D124" s="248"/>
      <c r="E124" s="101"/>
    </row>
    <row r="125" spans="1:5" ht="12" customHeight="1">
      <c r="A125" s="194" t="s">
        <v>448</v>
      </c>
      <c r="B125" s="61" t="s">
        <v>443</v>
      </c>
      <c r="C125" s="165"/>
      <c r="D125" s="248"/>
      <c r="E125" s="101"/>
    </row>
    <row r="126" spans="1:5" ht="12" customHeight="1">
      <c r="A126" s="194" t="s">
        <v>449</v>
      </c>
      <c r="B126" s="61" t="s">
        <v>454</v>
      </c>
      <c r="C126" s="165"/>
      <c r="D126" s="248"/>
      <c r="E126" s="101"/>
    </row>
    <row r="127" spans="1:5" ht="12" customHeight="1" thickBot="1">
      <c r="A127" s="203" t="s">
        <v>450</v>
      </c>
      <c r="B127" s="61" t="s">
        <v>453</v>
      </c>
      <c r="C127" s="167"/>
      <c r="D127" s="249"/>
      <c r="E127" s="103"/>
    </row>
    <row r="128" spans="1:5" ht="12" customHeight="1" thickBot="1">
      <c r="A128" s="25" t="s">
        <v>188</v>
      </c>
      <c r="B128" s="54" t="s">
        <v>529</v>
      </c>
      <c r="C128" s="164">
        <f>+C93+C114</f>
        <v>0</v>
      </c>
      <c r="D128" s="246">
        <f>+D93+D114</f>
        <v>0</v>
      </c>
      <c r="E128" s="100">
        <f>+E93+E114</f>
        <v>0</v>
      </c>
    </row>
    <row r="129" spans="1:5" ht="12" customHeight="1" thickBot="1">
      <c r="A129" s="25" t="s">
        <v>189</v>
      </c>
      <c r="B129" s="54" t="s">
        <v>530</v>
      </c>
      <c r="C129" s="164">
        <f>+C130+C131+C132</f>
        <v>0</v>
      </c>
      <c r="D129" s="246">
        <f>+D130+D131+D132</f>
        <v>0</v>
      </c>
      <c r="E129" s="100">
        <f>+E130+E131+E132</f>
        <v>0</v>
      </c>
    </row>
    <row r="130" spans="1:5" s="50" customFormat="1" ht="12" customHeight="1">
      <c r="A130" s="194" t="s">
        <v>357</v>
      </c>
      <c r="B130" s="7" t="s">
        <v>584</v>
      </c>
      <c r="C130" s="165"/>
      <c r="D130" s="248"/>
      <c r="E130" s="101"/>
    </row>
    <row r="131" spans="1:5" ht="12" customHeight="1">
      <c r="A131" s="194" t="s">
        <v>358</v>
      </c>
      <c r="B131" s="7" t="s">
        <v>538</v>
      </c>
      <c r="C131" s="165"/>
      <c r="D131" s="248"/>
      <c r="E131" s="101"/>
    </row>
    <row r="132" spans="1:5" ht="12" customHeight="1" thickBot="1">
      <c r="A132" s="203" t="s">
        <v>359</v>
      </c>
      <c r="B132" s="5" t="s">
        <v>583</v>
      </c>
      <c r="C132" s="165"/>
      <c r="D132" s="248"/>
      <c r="E132" s="101"/>
    </row>
    <row r="133" spans="1:5" ht="12" customHeight="1" thickBot="1">
      <c r="A133" s="25" t="s">
        <v>190</v>
      </c>
      <c r="B133" s="54" t="s">
        <v>531</v>
      </c>
      <c r="C133" s="164">
        <f>+C134+C135+C136+C137+C138+C139</f>
        <v>0</v>
      </c>
      <c r="D133" s="246">
        <f>+D134+D135+D136+D137+D138+D139</f>
        <v>0</v>
      </c>
      <c r="E133" s="100">
        <f>+E134+E135+E136+E137+E138+E139</f>
        <v>0</v>
      </c>
    </row>
    <row r="134" spans="1:5" ht="12" customHeight="1">
      <c r="A134" s="194" t="s">
        <v>236</v>
      </c>
      <c r="B134" s="7" t="s">
        <v>540</v>
      </c>
      <c r="C134" s="165"/>
      <c r="D134" s="248"/>
      <c r="E134" s="101"/>
    </row>
    <row r="135" spans="1:5" ht="12" customHeight="1">
      <c r="A135" s="194" t="s">
        <v>237</v>
      </c>
      <c r="B135" s="7" t="s">
        <v>532</v>
      </c>
      <c r="C135" s="165"/>
      <c r="D135" s="248"/>
      <c r="E135" s="101"/>
    </row>
    <row r="136" spans="1:5" ht="12" customHeight="1">
      <c r="A136" s="194" t="s">
        <v>238</v>
      </c>
      <c r="B136" s="7" t="s">
        <v>533</v>
      </c>
      <c r="C136" s="165"/>
      <c r="D136" s="248"/>
      <c r="E136" s="101"/>
    </row>
    <row r="137" spans="1:5" ht="12" customHeight="1">
      <c r="A137" s="194" t="s">
        <v>294</v>
      </c>
      <c r="B137" s="7" t="s">
        <v>582</v>
      </c>
      <c r="C137" s="165"/>
      <c r="D137" s="248"/>
      <c r="E137" s="101"/>
    </row>
    <row r="138" spans="1:5" ht="12" customHeight="1">
      <c r="A138" s="194" t="s">
        <v>295</v>
      </c>
      <c r="B138" s="7" t="s">
        <v>535</v>
      </c>
      <c r="C138" s="165"/>
      <c r="D138" s="248"/>
      <c r="E138" s="101"/>
    </row>
    <row r="139" spans="1:5" s="50" customFormat="1" ht="12" customHeight="1" thickBot="1">
      <c r="A139" s="203" t="s">
        <v>296</v>
      </c>
      <c r="B139" s="5" t="s">
        <v>536</v>
      </c>
      <c r="C139" s="165"/>
      <c r="D139" s="248"/>
      <c r="E139" s="101"/>
    </row>
    <row r="140" spans="1:11" ht="12" customHeight="1" thickBot="1">
      <c r="A140" s="25" t="s">
        <v>191</v>
      </c>
      <c r="B140" s="54" t="s">
        <v>597</v>
      </c>
      <c r="C140" s="170">
        <f>+C141+C142+C144+C145+C143</f>
        <v>0</v>
      </c>
      <c r="D140" s="250">
        <f>+D141+D142+D144+D145+D143</f>
        <v>0</v>
      </c>
      <c r="E140" s="206">
        <f>+E141+E142+E144+E145+E143</f>
        <v>0</v>
      </c>
      <c r="K140" s="93"/>
    </row>
    <row r="141" spans="1:5" ht="12.75">
      <c r="A141" s="194" t="s">
        <v>239</v>
      </c>
      <c r="B141" s="7" t="s">
        <v>458</v>
      </c>
      <c r="C141" s="165"/>
      <c r="D141" s="248"/>
      <c r="E141" s="101"/>
    </row>
    <row r="142" spans="1:5" ht="12" customHeight="1">
      <c r="A142" s="194" t="s">
        <v>240</v>
      </c>
      <c r="B142" s="7" t="s">
        <v>459</v>
      </c>
      <c r="C142" s="165"/>
      <c r="D142" s="248"/>
      <c r="E142" s="101"/>
    </row>
    <row r="143" spans="1:5" ht="12" customHeight="1">
      <c r="A143" s="194" t="s">
        <v>375</v>
      </c>
      <c r="B143" s="7" t="s">
        <v>596</v>
      </c>
      <c r="C143" s="165"/>
      <c r="D143" s="248"/>
      <c r="E143" s="101"/>
    </row>
    <row r="144" spans="1:5" s="50" customFormat="1" ht="12" customHeight="1">
      <c r="A144" s="194" t="s">
        <v>376</v>
      </c>
      <c r="B144" s="7" t="s">
        <v>545</v>
      </c>
      <c r="C144" s="165"/>
      <c r="D144" s="248"/>
      <c r="E144" s="101"/>
    </row>
    <row r="145" spans="1:5" s="50" customFormat="1" ht="12" customHeight="1" thickBot="1">
      <c r="A145" s="203" t="s">
        <v>377</v>
      </c>
      <c r="B145" s="5" t="s">
        <v>475</v>
      </c>
      <c r="C145" s="165"/>
      <c r="D145" s="248"/>
      <c r="E145" s="101"/>
    </row>
    <row r="146" spans="1:5" s="50" customFormat="1" ht="12" customHeight="1" thickBot="1">
      <c r="A146" s="25" t="s">
        <v>192</v>
      </c>
      <c r="B146" s="54" t="s">
        <v>546</v>
      </c>
      <c r="C146" s="239">
        <f>+C147+C148+C149+C150+C151</f>
        <v>0</v>
      </c>
      <c r="D146" s="251">
        <f>+D147+D148+D149+D150+D151</f>
        <v>0</v>
      </c>
      <c r="E146" s="233">
        <f>+E147+E148+E149+E150+E151</f>
        <v>0</v>
      </c>
    </row>
    <row r="147" spans="1:5" s="50" customFormat="1" ht="12" customHeight="1">
      <c r="A147" s="194" t="s">
        <v>241</v>
      </c>
      <c r="B147" s="7" t="s">
        <v>541</v>
      </c>
      <c r="C147" s="165"/>
      <c r="D147" s="248"/>
      <c r="E147" s="101"/>
    </row>
    <row r="148" spans="1:5" s="50" customFormat="1" ht="12" customHeight="1">
      <c r="A148" s="194" t="s">
        <v>242</v>
      </c>
      <c r="B148" s="7" t="s">
        <v>548</v>
      </c>
      <c r="C148" s="165"/>
      <c r="D148" s="248"/>
      <c r="E148" s="101"/>
    </row>
    <row r="149" spans="1:5" s="50" customFormat="1" ht="12" customHeight="1">
      <c r="A149" s="194" t="s">
        <v>387</v>
      </c>
      <c r="B149" s="7" t="s">
        <v>543</v>
      </c>
      <c r="C149" s="165"/>
      <c r="D149" s="248"/>
      <c r="E149" s="101"/>
    </row>
    <row r="150" spans="1:5" s="50" customFormat="1" ht="12" customHeight="1">
      <c r="A150" s="194" t="s">
        <v>388</v>
      </c>
      <c r="B150" s="7" t="s">
        <v>585</v>
      </c>
      <c r="C150" s="165"/>
      <c r="D150" s="248"/>
      <c r="E150" s="101"/>
    </row>
    <row r="151" spans="1:5" ht="12.75" customHeight="1" thickBot="1">
      <c r="A151" s="203" t="s">
        <v>547</v>
      </c>
      <c r="B151" s="5" t="s">
        <v>550</v>
      </c>
      <c r="C151" s="167"/>
      <c r="D151" s="249"/>
      <c r="E151" s="103"/>
    </row>
    <row r="152" spans="1:5" ht="12.75" customHeight="1" thickBot="1">
      <c r="A152" s="228" t="s">
        <v>193</v>
      </c>
      <c r="B152" s="54" t="s">
        <v>551</v>
      </c>
      <c r="C152" s="239"/>
      <c r="D152" s="251"/>
      <c r="E152" s="233"/>
    </row>
    <row r="153" spans="1:5" ht="12.75" customHeight="1" thickBot="1">
      <c r="A153" s="228" t="s">
        <v>194</v>
      </c>
      <c r="B153" s="54" t="s">
        <v>552</v>
      </c>
      <c r="C153" s="239"/>
      <c r="D153" s="251"/>
      <c r="E153" s="233"/>
    </row>
    <row r="154" spans="1:5" ht="12" customHeight="1" thickBot="1">
      <c r="A154" s="25" t="s">
        <v>195</v>
      </c>
      <c r="B154" s="54" t="s">
        <v>554</v>
      </c>
      <c r="C154" s="241">
        <f>+C129+C133+C140+C146+C152+C153</f>
        <v>0</v>
      </c>
      <c r="D154" s="253">
        <f>+D129+D133+D140+D146+D152+D153</f>
        <v>0</v>
      </c>
      <c r="E154" s="235">
        <f>+E129+E133+E140+E146+E152+E153</f>
        <v>0</v>
      </c>
    </row>
    <row r="155" spans="1:5" ht="15" customHeight="1" thickBot="1">
      <c r="A155" s="205" t="s">
        <v>196</v>
      </c>
      <c r="B155" s="151" t="s">
        <v>553</v>
      </c>
      <c r="C155" s="241">
        <f>+C128+C154</f>
        <v>0</v>
      </c>
      <c r="D155" s="253">
        <f>+D128+D154</f>
        <v>0</v>
      </c>
      <c r="E155" s="235">
        <f>+E128+E154</f>
        <v>0</v>
      </c>
    </row>
    <row r="156" spans="1:5" ht="13.5" thickBot="1">
      <c r="A156" s="154"/>
      <c r="B156" s="155"/>
      <c r="C156" s="627">
        <f>C90-C155</f>
        <v>0</v>
      </c>
      <c r="D156" s="627">
        <f>D90-D155</f>
        <v>0</v>
      </c>
      <c r="E156" s="156"/>
    </row>
    <row r="157" spans="1:5" ht="15" customHeight="1" thickBot="1">
      <c r="A157" s="295" t="s">
        <v>665</v>
      </c>
      <c r="B157" s="296"/>
      <c r="C157" s="285"/>
      <c r="D157" s="285"/>
      <c r="E157" s="284"/>
    </row>
    <row r="158" spans="1:5" ht="14.25" customHeight="1" thickBot="1">
      <c r="A158" s="297" t="s">
        <v>666</v>
      </c>
      <c r="B158" s="298"/>
      <c r="C158" s="285"/>
      <c r="D158" s="285"/>
      <c r="E158" s="284"/>
    </row>
  </sheetData>
  <sheetProtection sheet="1" formatCells="0"/>
  <mergeCells count="5">
    <mergeCell ref="A92:E92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22">
      <selection activeCell="G35" sqref="G35"/>
    </sheetView>
  </sheetViews>
  <sheetFormatPr defaultColWidth="9.00390625" defaultRowHeight="12.75"/>
  <cols>
    <col min="1" max="1" width="13.00390625" style="89" customWidth="1"/>
    <col min="2" max="2" width="59.0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32" t="str">
        <f>CONCATENATE("6.2. melléklet ",Z_ALAPADATOK!A7," ",Z_ALAPADATOK!B7," ",Z_ALAPADATOK!C7," ",Z_ALAPADATOK!D7," ",Z_ALAPADATOK!E7," ",Z_ALAPADATOK!F7," ",Z_ALAPADATOK!G7," ",Z_ALAPADATOK!H7)</f>
        <v>6.2. melléklet a … / 2020. ( … ) önkormányzati rendelethez</v>
      </c>
      <c r="C1" s="933"/>
      <c r="D1" s="933"/>
      <c r="E1" s="933"/>
    </row>
    <row r="2" spans="1:5" s="212" customFormat="1" ht="24.75" thickBot="1">
      <c r="A2" s="318" t="s">
        <v>633</v>
      </c>
      <c r="B2" s="937" t="s">
        <v>39</v>
      </c>
      <c r="C2" s="938"/>
      <c r="D2" s="939"/>
      <c r="E2" s="319" t="s">
        <v>222</v>
      </c>
    </row>
    <row r="3" spans="1:5" s="212" customFormat="1" ht="24.75" thickBot="1">
      <c r="A3" s="318" t="s">
        <v>315</v>
      </c>
      <c r="B3" s="937" t="s">
        <v>483</v>
      </c>
      <c r="C3" s="938"/>
      <c r="D3" s="939"/>
      <c r="E3" s="319" t="s">
        <v>218</v>
      </c>
    </row>
    <row r="4" spans="1:5" s="213" customFormat="1" ht="15.75" customHeight="1" thickBot="1">
      <c r="A4" s="320"/>
      <c r="B4" s="935" t="s">
        <v>502</v>
      </c>
      <c r="C4" s="936"/>
      <c r="D4" s="936"/>
      <c r="E4" s="321" t="str">
        <f>'Z_6.1.3.sz.mell'!E4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CONCATENATE('Z_6.1.3.sz.mell'!E5)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465000</v>
      </c>
      <c r="D8" s="117">
        <f>SUM(D9:D19)</f>
        <v>663723</v>
      </c>
      <c r="E8" s="145">
        <f>SUM(E9:E19)</f>
        <v>663723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>
        <v>140000</v>
      </c>
      <c r="D10" s="114">
        <v>276790</v>
      </c>
      <c r="E10" s="260">
        <v>276790</v>
      </c>
    </row>
    <row r="11" spans="1:5" s="150" customFormat="1" ht="12" customHeight="1">
      <c r="A11" s="208" t="s">
        <v>245</v>
      </c>
      <c r="B11" s="6" t="s">
        <v>366</v>
      </c>
      <c r="C11" s="114">
        <v>320000</v>
      </c>
      <c r="D11" s="114">
        <v>381444</v>
      </c>
      <c r="E11" s="260">
        <v>381444</v>
      </c>
    </row>
    <row r="12" spans="1:5" s="150" customFormat="1" ht="12" customHeight="1">
      <c r="A12" s="208" t="s">
        <v>246</v>
      </c>
      <c r="B12" s="6" t="s">
        <v>367</v>
      </c>
      <c r="C12" s="114"/>
      <c r="D12" s="114"/>
      <c r="E12" s="260"/>
    </row>
    <row r="13" spans="1:5" s="150" customFormat="1" ht="12" customHeight="1">
      <c r="A13" s="208" t="s">
        <v>277</v>
      </c>
      <c r="B13" s="6" t="s">
        <v>368</v>
      </c>
      <c r="C13" s="114"/>
      <c r="D13" s="114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114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114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66"/>
      <c r="E16" s="264"/>
    </row>
    <row r="17" spans="1:5" s="215" customFormat="1" ht="12" customHeight="1">
      <c r="A17" s="208" t="s">
        <v>257</v>
      </c>
      <c r="B17" s="6" t="s">
        <v>372</v>
      </c>
      <c r="C17" s="114"/>
      <c r="D17" s="114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11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>
        <v>5000</v>
      </c>
      <c r="D19" s="116">
        <v>5489</v>
      </c>
      <c r="E19" s="261">
        <v>5489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117">
        <f>SUM(D21:D23)</f>
        <v>6005933</v>
      </c>
      <c r="E20" s="145">
        <f>SUM(E21:E23)</f>
        <v>6005933</v>
      </c>
    </row>
    <row r="21" spans="1:5" s="215" customFormat="1" ht="12" customHeight="1">
      <c r="A21" s="208" t="s">
        <v>249</v>
      </c>
      <c r="B21" s="7" t="s">
        <v>348</v>
      </c>
      <c r="C21" s="114"/>
      <c r="D21" s="114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114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114">
        <v>6005933</v>
      </c>
      <c r="E23" s="260">
        <v>6005933</v>
      </c>
    </row>
    <row r="24" spans="1:5" s="215" customFormat="1" ht="12" customHeight="1" thickBot="1">
      <c r="A24" s="208" t="s">
        <v>252</v>
      </c>
      <c r="B24" s="6" t="s">
        <v>587</v>
      </c>
      <c r="C24" s="114"/>
      <c r="D24" s="114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0"/>
      <c r="E25" s="144"/>
    </row>
    <row r="26" spans="1:5" s="215" customFormat="1" ht="12" customHeight="1" thickBot="1">
      <c r="A26" s="76" t="s">
        <v>189</v>
      </c>
      <c r="B26" s="54" t="s">
        <v>588</v>
      </c>
      <c r="C26" s="117">
        <f>+C27+C28+C29</f>
        <v>0</v>
      </c>
      <c r="D26" s="117">
        <f>+D27+D28+D29</f>
        <v>0</v>
      </c>
      <c r="E26" s="145">
        <f>+E27+E28+E29</f>
        <v>0</v>
      </c>
    </row>
    <row r="27" spans="1:5" s="215" customFormat="1" ht="12" customHeight="1">
      <c r="A27" s="209" t="s">
        <v>357</v>
      </c>
      <c r="B27" s="210" t="s">
        <v>353</v>
      </c>
      <c r="C27" s="267"/>
      <c r="D27" s="267"/>
      <c r="E27" s="265"/>
    </row>
    <row r="28" spans="1:5" s="215" customFormat="1" ht="12" customHeight="1">
      <c r="A28" s="209" t="s">
        <v>358</v>
      </c>
      <c r="B28" s="210" t="s">
        <v>487</v>
      </c>
      <c r="C28" s="114"/>
      <c r="D28" s="114"/>
      <c r="E28" s="260"/>
    </row>
    <row r="29" spans="1:5" s="215" customFormat="1" ht="12" customHeight="1">
      <c r="A29" s="209" t="s">
        <v>359</v>
      </c>
      <c r="B29" s="211" t="s">
        <v>490</v>
      </c>
      <c r="C29" s="114"/>
      <c r="D29" s="114"/>
      <c r="E29" s="260"/>
    </row>
    <row r="30" spans="1:5" s="215" customFormat="1" ht="12" customHeight="1" thickBot="1">
      <c r="A30" s="208" t="s">
        <v>360</v>
      </c>
      <c r="B30" s="59" t="s">
        <v>589</v>
      </c>
      <c r="C30" s="45"/>
      <c r="D30" s="45"/>
      <c r="E30" s="289"/>
    </row>
    <row r="31" spans="1:5" s="215" customFormat="1" ht="12" customHeight="1" thickBot="1">
      <c r="A31" s="76" t="s">
        <v>190</v>
      </c>
      <c r="B31" s="54" t="s">
        <v>491</v>
      </c>
      <c r="C31" s="117">
        <f>+C32+C33+C34</f>
        <v>0</v>
      </c>
      <c r="D31" s="117">
        <f>+D32+D33+D34</f>
        <v>0</v>
      </c>
      <c r="E31" s="145">
        <f>+E32+E33+E34</f>
        <v>0</v>
      </c>
    </row>
    <row r="32" spans="1:5" s="215" customFormat="1" ht="12" customHeight="1">
      <c r="A32" s="209" t="s">
        <v>236</v>
      </c>
      <c r="B32" s="210" t="s">
        <v>378</v>
      </c>
      <c r="C32" s="267"/>
      <c r="D32" s="267"/>
      <c r="E32" s="265"/>
    </row>
    <row r="33" spans="1:5" s="215" customFormat="1" ht="12" customHeight="1">
      <c r="A33" s="209" t="s">
        <v>237</v>
      </c>
      <c r="B33" s="211" t="s">
        <v>379</v>
      </c>
      <c r="C33" s="118"/>
      <c r="D33" s="118"/>
      <c r="E33" s="262"/>
    </row>
    <row r="34" spans="1:5" s="215" customFormat="1" ht="12" customHeight="1" thickBot="1">
      <c r="A34" s="208" t="s">
        <v>238</v>
      </c>
      <c r="B34" s="59" t="s">
        <v>380</v>
      </c>
      <c r="C34" s="45"/>
      <c r="D34" s="45"/>
      <c r="E34" s="289"/>
    </row>
    <row r="35" spans="1:5" s="150" customFormat="1" ht="12" customHeight="1" thickBot="1">
      <c r="A35" s="76" t="s">
        <v>191</v>
      </c>
      <c r="B35" s="54" t="s">
        <v>463</v>
      </c>
      <c r="C35" s="290"/>
      <c r="D35" s="290"/>
      <c r="E35" s="144"/>
    </row>
    <row r="36" spans="1:5" s="150" customFormat="1" ht="12" customHeight="1" thickBot="1">
      <c r="A36" s="76" t="s">
        <v>192</v>
      </c>
      <c r="B36" s="54" t="s">
        <v>492</v>
      </c>
      <c r="C36" s="290"/>
      <c r="D36" s="290"/>
      <c r="E36" s="144"/>
    </row>
    <row r="37" spans="1:5" s="150" customFormat="1" ht="12" customHeight="1" thickBot="1">
      <c r="A37" s="72" t="s">
        <v>193</v>
      </c>
      <c r="B37" s="54" t="s">
        <v>493</v>
      </c>
      <c r="C37" s="117">
        <f>+C8+C20+C25+C26+C31+C35+C36</f>
        <v>465000</v>
      </c>
      <c r="D37" s="117">
        <f>+D8+D20+D25+D26+D31+D35+D36</f>
        <v>6669656</v>
      </c>
      <c r="E37" s="145">
        <f>+E8+E20+E25+E26+E31+E35+E36</f>
        <v>6669656</v>
      </c>
    </row>
    <row r="38" spans="1:5" s="150" customFormat="1" ht="12" customHeight="1" thickBot="1">
      <c r="A38" s="82" t="s">
        <v>194</v>
      </c>
      <c r="B38" s="54" t="s">
        <v>494</v>
      </c>
      <c r="C38" s="117">
        <f>+C39+C40+C41</f>
        <v>122712049</v>
      </c>
      <c r="D38" s="117">
        <f>+D39+D40+D41</f>
        <v>124869028</v>
      </c>
      <c r="E38" s="145">
        <f>+E39+E40+E41</f>
        <v>124869028</v>
      </c>
    </row>
    <row r="39" spans="1:5" s="150" customFormat="1" ht="12" customHeight="1">
      <c r="A39" s="207" t="s">
        <v>495</v>
      </c>
      <c r="B39" s="748" t="s">
        <v>330</v>
      </c>
      <c r="C39" s="749"/>
      <c r="D39" s="749">
        <v>267897</v>
      </c>
      <c r="E39" s="847">
        <v>267897</v>
      </c>
    </row>
    <row r="40" spans="1:5" s="150" customFormat="1" ht="12" customHeight="1">
      <c r="A40" s="209" t="s">
        <v>496</v>
      </c>
      <c r="B40" s="211" t="s">
        <v>180</v>
      </c>
      <c r="C40" s="44"/>
      <c r="D40" s="44"/>
      <c r="E40" s="751"/>
    </row>
    <row r="41" spans="1:5" s="215" customFormat="1" ht="12" customHeight="1" thickBot="1">
      <c r="A41" s="752" t="s">
        <v>497</v>
      </c>
      <c r="B41" s="59" t="s">
        <v>498</v>
      </c>
      <c r="C41" s="848">
        <v>122712049</v>
      </c>
      <c r="D41" s="848">
        <v>124601131</v>
      </c>
      <c r="E41" s="849">
        <v>124601131</v>
      </c>
    </row>
    <row r="42" spans="1:5" s="215" customFormat="1" ht="15" customHeight="1" thickBot="1">
      <c r="A42" s="82" t="s">
        <v>195</v>
      </c>
      <c r="B42" s="83" t="s">
        <v>499</v>
      </c>
      <c r="C42" s="291">
        <f>+C37+C38</f>
        <v>123177049</v>
      </c>
      <c r="D42" s="291">
        <f>+D37+D38</f>
        <v>131538684</v>
      </c>
      <c r="E42" s="148">
        <f>+E37+E38</f>
        <v>131538684</v>
      </c>
    </row>
    <row r="43" spans="1:3" s="215" customFormat="1" ht="15" customHeight="1">
      <c r="A43" s="84"/>
      <c r="B43" s="85"/>
      <c r="C43" s="146"/>
    </row>
    <row r="44" spans="1:3" ht="13.5" thickBot="1">
      <c r="A44" s="86"/>
      <c r="B44" s="87"/>
      <c r="C44" s="147"/>
    </row>
    <row r="45" spans="1:5" s="214" customFormat="1" ht="16.5" customHeight="1" thickBot="1">
      <c r="A45" s="929" t="s">
        <v>220</v>
      </c>
      <c r="B45" s="930"/>
      <c r="C45" s="930"/>
      <c r="D45" s="930"/>
      <c r="E45" s="931"/>
    </row>
    <row r="46" spans="1:5" s="216" customFormat="1" ht="12" customHeight="1" thickBot="1">
      <c r="A46" s="76" t="s">
        <v>186</v>
      </c>
      <c r="B46" s="54" t="s">
        <v>500</v>
      </c>
      <c r="C46" s="117">
        <f>SUM(C47:C51)</f>
        <v>122542049</v>
      </c>
      <c r="D46" s="117">
        <f>SUM(D47:D51)</f>
        <v>130385569</v>
      </c>
      <c r="E46" s="145">
        <f>SUM(E47:E51)</f>
        <v>130108251</v>
      </c>
    </row>
    <row r="47" spans="1:5" ht="12" customHeight="1">
      <c r="A47" s="208" t="s">
        <v>243</v>
      </c>
      <c r="B47" s="7" t="s">
        <v>215</v>
      </c>
      <c r="C47" s="267">
        <v>88787078</v>
      </c>
      <c r="D47" s="267">
        <v>98052237</v>
      </c>
      <c r="E47" s="265">
        <v>98052237</v>
      </c>
    </row>
    <row r="48" spans="1:5" ht="12" customHeight="1">
      <c r="A48" s="208" t="s">
        <v>244</v>
      </c>
      <c r="B48" s="6" t="s">
        <v>302</v>
      </c>
      <c r="C48" s="44">
        <v>17509971</v>
      </c>
      <c r="D48" s="44">
        <v>18627819</v>
      </c>
      <c r="E48" s="263">
        <v>18627819</v>
      </c>
    </row>
    <row r="49" spans="1:5" ht="12" customHeight="1">
      <c r="A49" s="208" t="s">
        <v>245</v>
      </c>
      <c r="B49" s="6" t="s">
        <v>270</v>
      </c>
      <c r="C49" s="44">
        <v>16245000</v>
      </c>
      <c r="D49" s="44">
        <v>13552786</v>
      </c>
      <c r="E49" s="263">
        <v>13275468</v>
      </c>
    </row>
    <row r="50" spans="1:5" ht="12" customHeight="1">
      <c r="A50" s="208" t="s">
        <v>246</v>
      </c>
      <c r="B50" s="6" t="s">
        <v>303</v>
      </c>
      <c r="C50" s="44"/>
      <c r="D50" s="44"/>
      <c r="E50" s="263"/>
    </row>
    <row r="51" spans="1:5" ht="12" customHeight="1" thickBot="1">
      <c r="A51" s="208" t="s">
        <v>277</v>
      </c>
      <c r="B51" s="6" t="s">
        <v>304</v>
      </c>
      <c r="C51" s="44"/>
      <c r="D51" s="44">
        <v>152727</v>
      </c>
      <c r="E51" s="263">
        <v>152727</v>
      </c>
    </row>
    <row r="52" spans="1:5" ht="12" customHeight="1" thickBot="1">
      <c r="A52" s="76" t="s">
        <v>187</v>
      </c>
      <c r="B52" s="54" t="s">
        <v>501</v>
      </c>
      <c r="C52" s="117">
        <f>SUM(C53:C55)</f>
        <v>635000</v>
      </c>
      <c r="D52" s="117">
        <f>SUM(D53:D55)</f>
        <v>1153115</v>
      </c>
      <c r="E52" s="145">
        <f>SUM(E53:E55)</f>
        <v>1153115</v>
      </c>
    </row>
    <row r="53" spans="1:5" s="216" customFormat="1" ht="12" customHeight="1">
      <c r="A53" s="208" t="s">
        <v>249</v>
      </c>
      <c r="B53" s="7" t="s">
        <v>323</v>
      </c>
      <c r="C53" s="267">
        <v>635000</v>
      </c>
      <c r="D53" s="267">
        <v>1153115</v>
      </c>
      <c r="E53" s="265">
        <v>1153115</v>
      </c>
    </row>
    <row r="54" spans="1:5" ht="12" customHeight="1">
      <c r="A54" s="208" t="s">
        <v>250</v>
      </c>
      <c r="B54" s="6" t="s">
        <v>306</v>
      </c>
      <c r="C54" s="44"/>
      <c r="D54" s="44"/>
      <c r="E54" s="263"/>
    </row>
    <row r="55" spans="1:5" ht="12" customHeight="1">
      <c r="A55" s="208" t="s">
        <v>251</v>
      </c>
      <c r="B55" s="6" t="s">
        <v>221</v>
      </c>
      <c r="C55" s="44"/>
      <c r="D55" s="44"/>
      <c r="E55" s="263"/>
    </row>
    <row r="56" spans="1:5" ht="12" customHeight="1" thickBot="1">
      <c r="A56" s="208" t="s">
        <v>252</v>
      </c>
      <c r="B56" s="6" t="s">
        <v>590</v>
      </c>
      <c r="C56" s="44"/>
      <c r="D56" s="44"/>
      <c r="E56" s="263"/>
    </row>
    <row r="57" spans="1:5" ht="12" customHeight="1" thickBot="1">
      <c r="A57" s="76" t="s">
        <v>188</v>
      </c>
      <c r="B57" s="54" t="s">
        <v>182</v>
      </c>
      <c r="C57" s="290"/>
      <c r="D57" s="290"/>
      <c r="E57" s="144"/>
    </row>
    <row r="58" spans="1:5" ht="15" customHeight="1" thickBot="1">
      <c r="A58" s="76" t="s">
        <v>189</v>
      </c>
      <c r="B58" s="88" t="s">
        <v>594</v>
      </c>
      <c r="C58" s="291">
        <f>+C46+C52+C57</f>
        <v>123177049</v>
      </c>
      <c r="D58" s="291">
        <f>+D46+D52+D57</f>
        <v>131538684</v>
      </c>
      <c r="E58" s="148">
        <f>+E46+E52+E57</f>
        <v>131261366</v>
      </c>
    </row>
    <row r="59" spans="3:5" ht="13.5" thickBot="1">
      <c r="C59" s="627">
        <f>C42-C58</f>
        <v>0</v>
      </c>
      <c r="D59" s="627">
        <f>D42-D58</f>
        <v>0</v>
      </c>
      <c r="E59" s="149"/>
    </row>
    <row r="60" spans="1:5" ht="15" customHeight="1" thickBot="1">
      <c r="A60" s="295" t="s">
        <v>665</v>
      </c>
      <c r="B60" s="296"/>
      <c r="C60" s="285">
        <v>23</v>
      </c>
      <c r="D60" s="285">
        <v>23</v>
      </c>
      <c r="E60" s="284">
        <v>22</v>
      </c>
    </row>
    <row r="61" spans="1:5" ht="14.25" customHeight="1" thickBot="1">
      <c r="A61" s="297" t="s">
        <v>666</v>
      </c>
      <c r="B61" s="298"/>
      <c r="C61" s="285">
        <v>0</v>
      </c>
      <c r="D61" s="285">
        <v>0</v>
      </c>
      <c r="E61" s="284">
        <v>0</v>
      </c>
    </row>
  </sheetData>
  <sheetProtection formatCells="0"/>
  <mergeCells count="6">
    <mergeCell ref="A7:E7"/>
    <mergeCell ref="A45:E45"/>
    <mergeCell ref="B1:E1"/>
    <mergeCell ref="B4:D4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20" zoomScaleNormal="120" workbookViewId="0" topLeftCell="A40">
      <selection activeCell="G45" sqref="G45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32" t="str">
        <f>CONCATENATE(Z_ALAPADATOK!M13," melléklet ",Z_ALAPADATOK!A7," ",Z_ALAPADATOK!B7," ",Z_ALAPADATOK!C7," ",Z_ALAPADATOK!D7," ",Z_ALAPADATOK!E7," ",Z_ALAPADATOK!F7," ",Z_ALAPADATOK!G7," ",Z_ALAPADATOK!H7)</f>
        <v>6.3. melléklet a … / 2020. ( … ) önkormányzati rendelethez</v>
      </c>
      <c r="C1" s="933"/>
      <c r="D1" s="933"/>
      <c r="E1" s="933"/>
    </row>
    <row r="2" spans="1:5" s="212" customFormat="1" ht="25.5" customHeight="1" thickBot="1">
      <c r="A2" s="318" t="s">
        <v>633</v>
      </c>
      <c r="B2" s="937" t="str">
        <f>CONCATENATE(Z_ALAPADATOK!B13)</f>
        <v>Elek Város Óvoda-Bölcsőde</v>
      </c>
      <c r="C2" s="938"/>
      <c r="D2" s="939"/>
      <c r="E2" s="319" t="s">
        <v>223</v>
      </c>
    </row>
    <row r="3" spans="1:5" s="212" customFormat="1" ht="24.75" thickBot="1">
      <c r="A3" s="318" t="s">
        <v>315</v>
      </c>
      <c r="B3" s="937" t="s">
        <v>483</v>
      </c>
      <c r="C3" s="938"/>
      <c r="D3" s="939"/>
      <c r="E3" s="319" t="s">
        <v>218</v>
      </c>
    </row>
    <row r="4" spans="1:5" s="213" customFormat="1" ht="15.75" customHeight="1" thickBot="1">
      <c r="A4" s="320"/>
      <c r="B4" s="937" t="s">
        <v>502</v>
      </c>
      <c r="C4" s="938"/>
      <c r="D4" s="939"/>
      <c r="E4" s="321" t="str">
        <f>'Z_6.1.3.sz.mell'!E4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CONCATENATE('Z_6.1.3.sz.mell'!E5)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440000</v>
      </c>
      <c r="D8" s="117">
        <f>SUM(D9:D19)</f>
        <v>471599</v>
      </c>
      <c r="E8" s="119">
        <f>SUM(E9:E19)</f>
        <v>471599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/>
      <c r="D10" s="255"/>
      <c r="E10" s="260"/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>
        <v>434000</v>
      </c>
      <c r="D13" s="255">
        <v>468000</v>
      </c>
      <c r="E13" s="260">
        <v>468000</v>
      </c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/>
      <c r="E16" s="264"/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>
        <v>6000</v>
      </c>
      <c r="D19" s="256">
        <v>3599</v>
      </c>
      <c r="E19" s="261">
        <v>3599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100000</v>
      </c>
      <c r="E20" s="145">
        <f>SUM(E21:E23)</f>
        <v>100000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>
        <v>100000</v>
      </c>
      <c r="E23" s="260">
        <v>100000</v>
      </c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90000</v>
      </c>
      <c r="E26" s="145">
        <f>+E27+E28</f>
        <v>90000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22.5">
      <c r="A28" s="209" t="s">
        <v>358</v>
      </c>
      <c r="B28" s="211" t="s">
        <v>490</v>
      </c>
      <c r="C28" s="118"/>
      <c r="D28" s="258">
        <v>90000</v>
      </c>
      <c r="E28" s="262">
        <v>90000</v>
      </c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>
        <v>31000</v>
      </c>
      <c r="E34" s="144">
        <v>31000</v>
      </c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440000</v>
      </c>
      <c r="D36" s="257">
        <f>+D8+D20+D25+D26+D30+D34+D35</f>
        <v>692599</v>
      </c>
      <c r="E36" s="145">
        <f>+E8+E20+E25+E26+E30+E34+E35</f>
        <v>692599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101941315</v>
      </c>
      <c r="D37" s="257">
        <f>+D38+D39+D40</f>
        <v>102819545</v>
      </c>
      <c r="E37" s="145">
        <f>+E38+E39+E40</f>
        <v>102699134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>
        <v>33420</v>
      </c>
      <c r="E38" s="265">
        <v>33420</v>
      </c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>
        <v>101941315</v>
      </c>
      <c r="D40" s="294">
        <v>102786125</v>
      </c>
      <c r="E40" s="289">
        <v>102665714</v>
      </c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102381315</v>
      </c>
      <c r="D41" s="287">
        <f>+D36+D37</f>
        <v>103512144</v>
      </c>
      <c r="E41" s="148">
        <f>+E36+E37</f>
        <v>103391733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102214315</v>
      </c>
      <c r="D45" s="257">
        <f>SUM(D46:D50)</f>
        <v>103210134</v>
      </c>
      <c r="E45" s="145">
        <f>SUM(E46:E50)</f>
        <v>103041216</v>
      </c>
    </row>
    <row r="46" spans="1:5" ht="12" customHeight="1">
      <c r="A46" s="208" t="s">
        <v>243</v>
      </c>
      <c r="B46" s="7" t="s">
        <v>215</v>
      </c>
      <c r="C46" s="267">
        <v>78069001</v>
      </c>
      <c r="D46" s="56">
        <v>80360430</v>
      </c>
      <c r="E46" s="265">
        <v>80360430</v>
      </c>
    </row>
    <row r="47" spans="1:5" ht="12" customHeight="1">
      <c r="A47" s="208" t="s">
        <v>244</v>
      </c>
      <c r="B47" s="6" t="s">
        <v>302</v>
      </c>
      <c r="C47" s="44">
        <v>15221314</v>
      </c>
      <c r="D47" s="57">
        <v>15244979</v>
      </c>
      <c r="E47" s="263">
        <v>15244979</v>
      </c>
    </row>
    <row r="48" spans="1:5" ht="12" customHeight="1">
      <c r="A48" s="208" t="s">
        <v>245</v>
      </c>
      <c r="B48" s="6" t="s">
        <v>270</v>
      </c>
      <c r="C48" s="44">
        <v>8924000</v>
      </c>
      <c r="D48" s="57">
        <v>7604725</v>
      </c>
      <c r="E48" s="263">
        <v>7435807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167000</v>
      </c>
      <c r="D51" s="257">
        <f>SUM(D52:D54)</f>
        <v>302010</v>
      </c>
      <c r="E51" s="145">
        <f>SUM(E52:E54)</f>
        <v>302010</v>
      </c>
    </row>
    <row r="52" spans="1:5" s="216" customFormat="1" ht="12" customHeight="1">
      <c r="A52" s="208" t="s">
        <v>249</v>
      </c>
      <c r="B52" s="7" t="s">
        <v>323</v>
      </c>
      <c r="C52" s="267">
        <v>167000</v>
      </c>
      <c r="D52" s="56">
        <v>302010</v>
      </c>
      <c r="E52" s="265">
        <v>302010</v>
      </c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102381315</v>
      </c>
      <c r="D57" s="287">
        <f>+D45+D51+D56</f>
        <v>103512144</v>
      </c>
      <c r="E57" s="148">
        <f>+E45+E51+E56</f>
        <v>103343226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23</v>
      </c>
      <c r="D59" s="285">
        <v>23</v>
      </c>
      <c r="E59" s="284">
        <v>22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formatCells="0"/>
  <mergeCells count="6">
    <mergeCell ref="A7:E7"/>
    <mergeCell ref="A44:E44"/>
    <mergeCell ref="B1:E1"/>
    <mergeCell ref="B4:D4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4">
      <selection activeCell="B24" sqref="B24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612"/>
      <c r="B1" s="710">
        <f>Z_TARTALOMJEGYZÉK!A1</f>
        <v>2019</v>
      </c>
      <c r="C1" s="710" t="s">
        <v>6</v>
      </c>
      <c r="D1" s="710"/>
      <c r="E1" s="612"/>
      <c r="F1" s="612"/>
      <c r="G1" s="612"/>
      <c r="H1" s="612"/>
      <c r="I1" s="612"/>
    </row>
    <row r="2" spans="1:9" ht="15.75">
      <c r="A2" s="852" t="s">
        <v>673</v>
      </c>
      <c r="B2" s="852"/>
      <c r="C2" s="852"/>
      <c r="D2" s="852"/>
      <c r="E2" s="852"/>
      <c r="F2" s="852"/>
      <c r="G2" s="612"/>
      <c r="H2" s="612"/>
      <c r="I2" s="612"/>
    </row>
    <row r="3" spans="1:9" ht="15.75">
      <c r="A3" s="855" t="s">
        <v>38</v>
      </c>
      <c r="B3" s="855"/>
      <c r="C3" s="855"/>
      <c r="D3" s="855"/>
      <c r="E3" s="855"/>
      <c r="F3" s="855"/>
      <c r="G3" s="855"/>
      <c r="H3" s="612"/>
      <c r="I3" s="612"/>
    </row>
    <row r="4" spans="1:9" ht="12.75">
      <c r="A4" s="612"/>
      <c r="B4" s="612"/>
      <c r="C4" s="612"/>
      <c r="D4" s="612"/>
      <c r="E4" s="612"/>
      <c r="F4" s="612"/>
      <c r="G4" s="612"/>
      <c r="H4" s="612"/>
      <c r="I4" s="612"/>
    </row>
    <row r="5" spans="1:9" ht="12.75">
      <c r="A5" s="612"/>
      <c r="B5" s="612"/>
      <c r="C5" s="612"/>
      <c r="D5" s="612"/>
      <c r="E5" s="612"/>
      <c r="F5" s="612"/>
      <c r="G5" s="612"/>
      <c r="H5" s="612"/>
      <c r="I5" s="612"/>
    </row>
    <row r="6" spans="1:9" ht="14.25">
      <c r="A6" s="711" t="s">
        <v>978</v>
      </c>
      <c r="B6" s="612"/>
      <c r="C6" s="612"/>
      <c r="D6" s="612"/>
      <c r="E6" s="612"/>
      <c r="F6" s="612"/>
      <c r="G6" s="612"/>
      <c r="H6" s="612"/>
      <c r="I6" s="612"/>
    </row>
    <row r="7" spans="1:9" ht="12.75">
      <c r="A7" s="712" t="s">
        <v>971</v>
      </c>
      <c r="B7" s="653" t="s">
        <v>972</v>
      </c>
      <c r="C7" s="612" t="s">
        <v>973</v>
      </c>
      <c r="D7" s="612" t="str">
        <f>CONCATENATE(Z_TARTALOMJEGYZÉK!A1+1,".")</f>
        <v>2020.</v>
      </c>
      <c r="E7" s="612" t="s">
        <v>974</v>
      </c>
      <c r="F7" s="653" t="s">
        <v>972</v>
      </c>
      <c r="G7" s="612" t="s">
        <v>975</v>
      </c>
      <c r="H7" s="612" t="s">
        <v>976</v>
      </c>
      <c r="I7" s="612"/>
    </row>
    <row r="8" spans="1:9" ht="12.75">
      <c r="A8" s="712"/>
      <c r="B8" s="713"/>
      <c r="C8" s="612"/>
      <c r="D8" s="612"/>
      <c r="E8" s="612"/>
      <c r="F8" s="713"/>
      <c r="G8" s="612"/>
      <c r="H8" s="612"/>
      <c r="I8" s="612"/>
    </row>
    <row r="9" spans="1:9" ht="12.75">
      <c r="A9" s="712"/>
      <c r="B9" s="713"/>
      <c r="C9" s="612"/>
      <c r="D9" s="612"/>
      <c r="E9" s="612"/>
      <c r="F9" s="713"/>
      <c r="G9" s="612"/>
      <c r="H9" s="612"/>
      <c r="I9" s="612"/>
    </row>
    <row r="10" spans="1:9" ht="13.5" thickBot="1">
      <c r="A10" s="612"/>
      <c r="B10" s="612"/>
      <c r="C10" s="612"/>
      <c r="D10" s="612"/>
      <c r="E10" s="612"/>
      <c r="F10" s="612"/>
      <c r="G10" s="612"/>
      <c r="H10" s="656" t="s">
        <v>17</v>
      </c>
      <c r="I10" s="612"/>
    </row>
    <row r="11" spans="1:13" ht="17.25" thickBot="1" thickTop="1">
      <c r="A11" s="853" t="s">
        <v>39</v>
      </c>
      <c r="B11" s="854"/>
      <c r="C11" s="854"/>
      <c r="D11" s="854"/>
      <c r="E11" s="854"/>
      <c r="F11" s="854"/>
      <c r="G11" s="854"/>
      <c r="H11" s="714" t="s">
        <v>25</v>
      </c>
      <c r="I11" s="612"/>
      <c r="J11" s="657" t="s">
        <v>191</v>
      </c>
      <c r="K11">
        <f>IF($H$11="Nem","",2)</f>
        <v>2</v>
      </c>
      <c r="L11" t="s">
        <v>18</v>
      </c>
      <c r="M11" t="str">
        <f>CONCATENATE(J11,K11,L11)</f>
        <v>6.2.</v>
      </c>
    </row>
    <row r="12" spans="1:9" ht="13.5" thickTop="1">
      <c r="A12" s="612"/>
      <c r="B12" s="612"/>
      <c r="C12" s="612"/>
      <c r="D12" s="612"/>
      <c r="E12" s="612"/>
      <c r="F12" s="612"/>
      <c r="G12" s="612"/>
      <c r="H12" s="612"/>
      <c r="I12" s="612"/>
    </row>
    <row r="13" spans="1:13" ht="14.25">
      <c r="A13" s="715" t="s">
        <v>674</v>
      </c>
      <c r="B13" s="856" t="s">
        <v>40</v>
      </c>
      <c r="C13" s="857"/>
      <c r="D13" s="857"/>
      <c r="E13" s="857"/>
      <c r="F13" s="857"/>
      <c r="G13" s="857"/>
      <c r="H13" s="612"/>
      <c r="I13" s="612"/>
      <c r="J13" s="657" t="s">
        <v>191</v>
      </c>
      <c r="K13">
        <f>IF(H11="Nem",2,3)</f>
        <v>3</v>
      </c>
      <c r="L13" t="s">
        <v>18</v>
      </c>
      <c r="M13" t="str">
        <f>CONCATENATE(J13,K13,L13)</f>
        <v>6.3.</v>
      </c>
    </row>
    <row r="14" spans="1:9" ht="14.25">
      <c r="A14" s="612"/>
      <c r="B14" s="654"/>
      <c r="C14" s="612"/>
      <c r="D14" s="612"/>
      <c r="E14" s="612"/>
      <c r="F14" s="612"/>
      <c r="G14" s="612"/>
      <c r="H14" s="612"/>
      <c r="I14" s="612"/>
    </row>
    <row r="15" spans="1:13" ht="14.25">
      <c r="A15" s="715" t="s">
        <v>675</v>
      </c>
      <c r="B15" s="856" t="s">
        <v>41</v>
      </c>
      <c r="C15" s="857"/>
      <c r="D15" s="857"/>
      <c r="E15" s="857"/>
      <c r="F15" s="857"/>
      <c r="G15" s="857"/>
      <c r="H15" s="612"/>
      <c r="I15" s="612"/>
      <c r="J15" s="657" t="s">
        <v>191</v>
      </c>
      <c r="K15">
        <f>K13+1</f>
        <v>4</v>
      </c>
      <c r="L15" t="s">
        <v>18</v>
      </c>
      <c r="M15" t="str">
        <f>CONCATENATE(J15,K15,L15)</f>
        <v>6.4.</v>
      </c>
    </row>
    <row r="16" spans="1:9" ht="14.25">
      <c r="A16" s="612"/>
      <c r="B16" s="654"/>
      <c r="C16" s="612"/>
      <c r="D16" s="612"/>
      <c r="E16" s="612"/>
      <c r="F16" s="612"/>
      <c r="G16" s="612"/>
      <c r="H16" s="612"/>
      <c r="I16" s="612"/>
    </row>
    <row r="17" spans="1:13" ht="14.25">
      <c r="A17" s="715" t="s">
        <v>676</v>
      </c>
      <c r="B17" s="856" t="s">
        <v>42</v>
      </c>
      <c r="C17" s="857"/>
      <c r="D17" s="857"/>
      <c r="E17" s="857"/>
      <c r="F17" s="857"/>
      <c r="G17" s="857"/>
      <c r="H17" s="612"/>
      <c r="I17" s="612"/>
      <c r="J17" s="657" t="s">
        <v>191</v>
      </c>
      <c r="K17">
        <f>K15+1</f>
        <v>5</v>
      </c>
      <c r="L17" t="s">
        <v>18</v>
      </c>
      <c r="M17" t="str">
        <f>CONCATENATE(J17,K17,L17)</f>
        <v>6.5.</v>
      </c>
    </row>
    <row r="18" spans="1:9" ht="14.25">
      <c r="A18" s="612"/>
      <c r="B18" s="654"/>
      <c r="C18" s="612"/>
      <c r="D18" s="612"/>
      <c r="E18" s="612"/>
      <c r="F18" s="612"/>
      <c r="G18" s="612"/>
      <c r="H18" s="612"/>
      <c r="I18" s="612"/>
    </row>
    <row r="19" spans="1:13" ht="14.25">
      <c r="A19" s="715"/>
      <c r="B19" s="858"/>
      <c r="C19" s="859"/>
      <c r="D19" s="859"/>
      <c r="E19" s="859"/>
      <c r="F19" s="859"/>
      <c r="G19" s="859"/>
      <c r="H19" s="612"/>
      <c r="I19" s="612"/>
      <c r="J19" s="657" t="s">
        <v>191</v>
      </c>
      <c r="K19">
        <f>K17+1</f>
        <v>6</v>
      </c>
      <c r="L19" t="s">
        <v>18</v>
      </c>
      <c r="M19" t="str">
        <f>CONCATENATE(J19,K19,L19)</f>
        <v>6.6.</v>
      </c>
    </row>
    <row r="20" spans="1:9" ht="14.25">
      <c r="A20" s="612"/>
      <c r="B20" s="722"/>
      <c r="C20" s="723"/>
      <c r="D20" s="723"/>
      <c r="E20" s="723"/>
      <c r="F20" s="723"/>
      <c r="G20" s="723"/>
      <c r="H20" s="612"/>
      <c r="I20" s="612"/>
    </row>
    <row r="21" spans="1:13" ht="14.25">
      <c r="A21" s="715"/>
      <c r="B21" s="858"/>
      <c r="C21" s="859"/>
      <c r="D21" s="859"/>
      <c r="E21" s="859"/>
      <c r="F21" s="859"/>
      <c r="G21" s="859"/>
      <c r="H21" s="612"/>
      <c r="I21" s="612"/>
      <c r="J21" s="657" t="s">
        <v>191</v>
      </c>
      <c r="K21">
        <f>K19+1</f>
        <v>7</v>
      </c>
      <c r="L21" t="s">
        <v>18</v>
      </c>
      <c r="M21" t="str">
        <f>CONCATENATE(J21,K21,L21)</f>
        <v>6.7.</v>
      </c>
    </row>
    <row r="22" spans="1:9" ht="14.25">
      <c r="A22" s="612"/>
      <c r="B22" s="722"/>
      <c r="C22" s="723"/>
      <c r="D22" s="723"/>
      <c r="E22" s="723"/>
      <c r="F22" s="723"/>
      <c r="G22" s="723"/>
      <c r="H22" s="612"/>
      <c r="I22" s="612"/>
    </row>
    <row r="23" spans="1:13" ht="14.25">
      <c r="A23" s="715"/>
      <c r="B23" s="858"/>
      <c r="C23" s="859"/>
      <c r="D23" s="859"/>
      <c r="E23" s="859"/>
      <c r="F23" s="859"/>
      <c r="G23" s="859"/>
      <c r="H23" s="612"/>
      <c r="I23" s="612"/>
      <c r="J23" s="657" t="s">
        <v>191</v>
      </c>
      <c r="K23">
        <f>K21+1</f>
        <v>8</v>
      </c>
      <c r="L23" t="s">
        <v>18</v>
      </c>
      <c r="M23" t="str">
        <f>CONCATENATE(J23,K23,L23)</f>
        <v>6.8.</v>
      </c>
    </row>
    <row r="24" spans="1:9" ht="14.25">
      <c r="A24" s="612"/>
      <c r="B24" s="722"/>
      <c r="C24" s="723"/>
      <c r="D24" s="723"/>
      <c r="E24" s="723"/>
      <c r="F24" s="723"/>
      <c r="G24" s="723"/>
      <c r="H24" s="612"/>
      <c r="I24" s="612"/>
    </row>
    <row r="25" spans="1:13" ht="14.25">
      <c r="A25" s="715"/>
      <c r="B25" s="858"/>
      <c r="C25" s="859"/>
      <c r="D25" s="859"/>
      <c r="E25" s="859"/>
      <c r="F25" s="859"/>
      <c r="G25" s="859"/>
      <c r="H25" s="612"/>
      <c r="I25" s="612"/>
      <c r="J25" s="657" t="s">
        <v>191</v>
      </c>
      <c r="K25">
        <f>K23+1</f>
        <v>9</v>
      </c>
      <c r="L25" t="s">
        <v>18</v>
      </c>
      <c r="M25" t="str">
        <f>CONCATENATE(J25,K25,L25)</f>
        <v>6.9.</v>
      </c>
    </row>
    <row r="26" spans="1:9" ht="14.25">
      <c r="A26" s="612"/>
      <c r="B26" s="722"/>
      <c r="C26" s="723"/>
      <c r="D26" s="723"/>
      <c r="E26" s="723"/>
      <c r="F26" s="723"/>
      <c r="G26" s="723"/>
      <c r="H26" s="612"/>
      <c r="I26" s="612"/>
    </row>
    <row r="27" spans="1:13" ht="14.25">
      <c r="A27" s="715"/>
      <c r="B27" s="858"/>
      <c r="C27" s="859"/>
      <c r="D27" s="859"/>
      <c r="E27" s="859"/>
      <c r="F27" s="859"/>
      <c r="G27" s="859"/>
      <c r="H27" s="612"/>
      <c r="I27" s="612"/>
      <c r="J27" s="657" t="s">
        <v>191</v>
      </c>
      <c r="K27">
        <f>K25+1</f>
        <v>10</v>
      </c>
      <c r="L27" t="s">
        <v>18</v>
      </c>
      <c r="M27" t="str">
        <f>CONCATENATE(J27,K27,L27)</f>
        <v>6.10.</v>
      </c>
    </row>
    <row r="28" spans="1:9" ht="14.25">
      <c r="A28" s="612"/>
      <c r="B28" s="722"/>
      <c r="C28" s="723"/>
      <c r="D28" s="723"/>
      <c r="E28" s="723"/>
      <c r="F28" s="723"/>
      <c r="G28" s="723"/>
      <c r="H28" s="612"/>
      <c r="I28" s="612"/>
    </row>
    <row r="29" spans="1:13" ht="14.25">
      <c r="A29" s="715"/>
      <c r="B29" s="858"/>
      <c r="C29" s="859"/>
      <c r="D29" s="859"/>
      <c r="E29" s="859"/>
      <c r="F29" s="859"/>
      <c r="G29" s="859"/>
      <c r="H29" s="612"/>
      <c r="I29" s="612"/>
      <c r="J29" s="657" t="s">
        <v>191</v>
      </c>
      <c r="K29">
        <f>K27+1</f>
        <v>11</v>
      </c>
      <c r="L29" t="s">
        <v>18</v>
      </c>
      <c r="M29" t="str">
        <f>CONCATENATE(J29,K29,L29)</f>
        <v>6.11.</v>
      </c>
    </row>
    <row r="30" spans="1:9" ht="14.25">
      <c r="A30" s="612"/>
      <c r="B30" s="722"/>
      <c r="C30" s="723"/>
      <c r="D30" s="723"/>
      <c r="E30" s="723"/>
      <c r="F30" s="723"/>
      <c r="G30" s="723"/>
      <c r="H30" s="612"/>
      <c r="I30" s="612"/>
    </row>
    <row r="31" spans="1:13" ht="14.25">
      <c r="A31" s="715"/>
      <c r="B31" s="858"/>
      <c r="C31" s="859"/>
      <c r="D31" s="859"/>
      <c r="E31" s="859"/>
      <c r="F31" s="859"/>
      <c r="G31" s="859"/>
      <c r="H31" s="612"/>
      <c r="I31" s="612"/>
      <c r="J31" s="657" t="s">
        <v>191</v>
      </c>
      <c r="K31">
        <f>K29+1</f>
        <v>12</v>
      </c>
      <c r="L31" t="s">
        <v>18</v>
      </c>
      <c r="M31" t="str">
        <f>CONCATENATE(J31,K31,L31)</f>
        <v>6.12.</v>
      </c>
    </row>
    <row r="32" spans="1:9" ht="12.75">
      <c r="A32" s="612"/>
      <c r="B32" s="723"/>
      <c r="C32" s="723"/>
      <c r="D32" s="723"/>
      <c r="E32" s="723"/>
      <c r="F32" s="723"/>
      <c r="G32" s="723"/>
      <c r="H32" s="612"/>
      <c r="I32" s="612"/>
    </row>
    <row r="33" spans="1:9" ht="12.75">
      <c r="A33" s="612"/>
      <c r="B33" s="612"/>
      <c r="C33" s="612"/>
      <c r="D33" s="612"/>
      <c r="E33" s="612"/>
      <c r="F33" s="612"/>
      <c r="G33" s="612"/>
      <c r="H33" s="612"/>
      <c r="I33" s="612"/>
    </row>
  </sheetData>
  <sheetProtection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41" sqref="E41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32" t="str">
        <f>CONCATENATE(Z_ALAPADATOK!M15," melléklet ",Z_ALAPADATOK!A7," ",Z_ALAPADATOK!B7," ",Z_ALAPADATOK!C7," ",Z_ALAPADATOK!D7," ",Z_ALAPADATOK!E7," ",Z_ALAPADATOK!F7," ",Z_ALAPADATOK!G7," ",Z_ALAPADATOK!H7)</f>
        <v>6.4. melléklet a … / 2020. ( … ) önkormányzati rendelethez</v>
      </c>
      <c r="C1" s="933"/>
      <c r="D1" s="933"/>
      <c r="E1" s="933"/>
    </row>
    <row r="2" spans="1:5" s="212" customFormat="1" ht="25.5" customHeight="1" thickBot="1">
      <c r="A2" s="318" t="s">
        <v>633</v>
      </c>
      <c r="B2" s="937" t="str">
        <f>CONCATENATE(Z_ALAPADATOK!B15)</f>
        <v>Reibel Mihály Városi Művelődési Központ és Könyvtár</v>
      </c>
      <c r="C2" s="938"/>
      <c r="D2" s="939"/>
      <c r="E2" s="319" t="s">
        <v>512</v>
      </c>
    </row>
    <row r="3" spans="1:5" s="212" customFormat="1" ht="24.75" thickBot="1">
      <c r="A3" s="318" t="s">
        <v>315</v>
      </c>
      <c r="B3" s="937" t="s">
        <v>483</v>
      </c>
      <c r="C3" s="938"/>
      <c r="D3" s="939"/>
      <c r="E3" s="319" t="s">
        <v>218</v>
      </c>
    </row>
    <row r="4" spans="1:5" s="213" customFormat="1" ht="15.75" customHeight="1" thickBot="1">
      <c r="A4" s="320"/>
      <c r="B4" s="320"/>
      <c r="C4" s="321"/>
      <c r="D4" s="322"/>
      <c r="E4" s="321" t="str">
        <f>'Z_6.1.3.sz.mell'!E4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CONCATENATE('Z_6.1.3.sz.mell'!E5)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1525000</v>
      </c>
      <c r="D8" s="117">
        <f>SUM(D9:D19)</f>
        <v>2401011</v>
      </c>
      <c r="E8" s="119">
        <f>SUM(E9:E19)</f>
        <v>2401011</v>
      </c>
    </row>
    <row r="9" spans="1:5" s="150" customFormat="1" ht="12" customHeight="1">
      <c r="A9" s="207" t="s">
        <v>243</v>
      </c>
      <c r="B9" s="8" t="s">
        <v>364</v>
      </c>
      <c r="C9" s="30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>
        <v>1070000</v>
      </c>
      <c r="D10" s="255">
        <v>637450</v>
      </c>
      <c r="E10" s="260">
        <v>637450</v>
      </c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>
        <v>450000</v>
      </c>
      <c r="D12" s="255">
        <v>1758620</v>
      </c>
      <c r="E12" s="260">
        <v>1758620</v>
      </c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>
        <v>8</v>
      </c>
      <c r="E16" s="264">
        <v>8</v>
      </c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>
        <v>5000</v>
      </c>
      <c r="D19" s="256">
        <v>4933</v>
      </c>
      <c r="E19" s="261">
        <v>4933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1525000</v>
      </c>
      <c r="D36" s="257">
        <f>+D8+D20+D25+D26+D30+D34+D35</f>
        <v>2401011</v>
      </c>
      <c r="E36" s="145">
        <f>+E8+E20+E25+E26+E30+E34+E35</f>
        <v>2401011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21833474</v>
      </c>
      <c r="D37" s="257">
        <f>+D38+D39+D40</f>
        <v>25651042</v>
      </c>
      <c r="E37" s="145">
        <f>+E38+E39+E40</f>
        <v>25651042</v>
      </c>
    </row>
    <row r="38" spans="1:5" s="150" customFormat="1" ht="12" customHeight="1">
      <c r="A38" s="209" t="s">
        <v>495</v>
      </c>
      <c r="B38" s="210" t="s">
        <v>330</v>
      </c>
      <c r="C38" s="267">
        <v>11614220</v>
      </c>
      <c r="D38" s="56">
        <v>11662439</v>
      </c>
      <c r="E38" s="265">
        <v>11662439</v>
      </c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>
        <v>10219254</v>
      </c>
      <c r="D40" s="294">
        <v>13988603</v>
      </c>
      <c r="E40" s="289">
        <v>13988603</v>
      </c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23358474</v>
      </c>
      <c r="D41" s="287">
        <f>+D36+D37</f>
        <v>28052053</v>
      </c>
      <c r="E41" s="148">
        <f>+E36+E37</f>
        <v>28052053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23358474</v>
      </c>
      <c r="D45" s="257">
        <f>SUM(D46:D50)</f>
        <v>27499778</v>
      </c>
      <c r="E45" s="145">
        <f>SUM(E46:E50)</f>
        <v>26657378</v>
      </c>
    </row>
    <row r="46" spans="1:5" ht="12" customHeight="1">
      <c r="A46" s="208" t="s">
        <v>243</v>
      </c>
      <c r="B46" s="7" t="s">
        <v>215</v>
      </c>
      <c r="C46" s="267">
        <v>8484673</v>
      </c>
      <c r="D46" s="56">
        <v>9942920</v>
      </c>
      <c r="E46" s="265">
        <v>9942920</v>
      </c>
    </row>
    <row r="47" spans="1:5" ht="12" customHeight="1">
      <c r="A47" s="208" t="s">
        <v>244</v>
      </c>
      <c r="B47" s="6" t="s">
        <v>302</v>
      </c>
      <c r="C47" s="44">
        <v>1580508</v>
      </c>
      <c r="D47" s="57">
        <v>1752756</v>
      </c>
      <c r="E47" s="263">
        <v>1752756</v>
      </c>
    </row>
    <row r="48" spans="1:5" ht="12" customHeight="1">
      <c r="A48" s="208" t="s">
        <v>245</v>
      </c>
      <c r="B48" s="6" t="s">
        <v>270</v>
      </c>
      <c r="C48" s="44">
        <v>13293293</v>
      </c>
      <c r="D48" s="57">
        <v>15804102</v>
      </c>
      <c r="E48" s="263">
        <v>14961702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552275</v>
      </c>
      <c r="E51" s="145">
        <f>SUM(E52:E54)</f>
        <v>552275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552275</v>
      </c>
      <c r="E52" s="265">
        <v>552275</v>
      </c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23358474</v>
      </c>
      <c r="D57" s="287">
        <f>+D45+D51+D56</f>
        <v>28052053</v>
      </c>
      <c r="E57" s="148">
        <f>+E45+E51+E56</f>
        <v>27209653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2</v>
      </c>
      <c r="D59" s="285">
        <v>2</v>
      </c>
      <c r="E59" s="284">
        <v>2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3">
      <selection activeCell="E53" sqref="E53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CONCATENATE(Z_ALAPADATOK!M15,"1. melléklet ",Z_ALAPADATOK!A7," ",Z_ALAPADATOK!B7," ",Z_ALAPADATOK!C7," ",Z_ALAPADATOK!D7," ",Z_ALAPADATOK!E7," ",Z_ALAPADATOK!F7," ",Z_ALAPADATOK!G7," ",Z_ALAPADATOK!H7)</f>
        <v>6.4.1.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CONCATENATE('Z_6.4.sz.mell'!B2:D2)</f>
        <v>Reibel Mihály Városi Művelődési Központ és Könyvtár</v>
      </c>
      <c r="C2" s="938"/>
      <c r="D2" s="939"/>
      <c r="E2" s="319" t="s">
        <v>512</v>
      </c>
    </row>
    <row r="3" spans="1:5" s="212" customFormat="1" ht="24.75" thickBot="1">
      <c r="A3" s="318" t="s">
        <v>315</v>
      </c>
      <c r="B3" s="937" t="s">
        <v>502</v>
      </c>
      <c r="C3" s="938"/>
      <c r="D3" s="939"/>
      <c r="E3" s="319" t="s">
        <v>222</v>
      </c>
    </row>
    <row r="4" spans="1:5" s="213" customFormat="1" ht="15.75" customHeight="1" thickBot="1">
      <c r="A4" s="320"/>
      <c r="B4" s="320"/>
      <c r="C4" s="321"/>
      <c r="D4" s="322"/>
      <c r="E4" s="321" t="str">
        <f>'Z_6.4.sz.mell'!E4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CONCATENATE('Z_6.4.sz.mell'!E5)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1525000</v>
      </c>
      <c r="D8" s="117">
        <f>SUM(D9:D19)</f>
        <v>2401011</v>
      </c>
      <c r="E8" s="119">
        <f>SUM(E9:E19)</f>
        <v>2401004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>
        <v>1070000</v>
      </c>
      <c r="D10" s="255">
        <v>637450</v>
      </c>
      <c r="E10" s="260">
        <v>637450</v>
      </c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>
        <v>450000</v>
      </c>
      <c r="D12" s="255">
        <v>1758620</v>
      </c>
      <c r="E12" s="260">
        <v>1758620</v>
      </c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>
        <v>8</v>
      </c>
      <c r="E16" s="264">
        <v>1</v>
      </c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>
        <v>5000</v>
      </c>
      <c r="D19" s="256">
        <v>4933</v>
      </c>
      <c r="E19" s="261">
        <v>4933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1525000</v>
      </c>
      <c r="D36" s="257">
        <f>+D8+D20+D25+D26+D30+D34+D35</f>
        <v>2401011</v>
      </c>
      <c r="E36" s="145">
        <f>+E8+E20+E25+E26+E30+E34+E35</f>
        <v>2401004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10219254</v>
      </c>
      <c r="D37" s="257">
        <f>+D38+D39+D40</f>
        <v>14036822</v>
      </c>
      <c r="E37" s="145">
        <f>+E38+E39+E40</f>
        <v>14036822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>
        <v>48219</v>
      </c>
      <c r="E38" s="265">
        <v>48219</v>
      </c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>
        <v>10219254</v>
      </c>
      <c r="D40" s="294">
        <v>13988603</v>
      </c>
      <c r="E40" s="289">
        <v>13988603</v>
      </c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11744254</v>
      </c>
      <c r="D41" s="287">
        <f>+D36+D37</f>
        <v>16437833</v>
      </c>
      <c r="E41" s="148">
        <f>+E36+E37</f>
        <v>16437826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11744254</v>
      </c>
      <c r="D45" s="257">
        <f>SUM(D46:D50)</f>
        <v>15975358</v>
      </c>
      <c r="E45" s="145">
        <f>SUM(E46:E50)</f>
        <v>16157299</v>
      </c>
    </row>
    <row r="46" spans="1:5" ht="12" customHeight="1">
      <c r="A46" s="208" t="s">
        <v>243</v>
      </c>
      <c r="B46" s="7" t="s">
        <v>215</v>
      </c>
      <c r="C46" s="267">
        <v>6035212</v>
      </c>
      <c r="D46" s="56">
        <v>7493459</v>
      </c>
      <c r="E46" s="265">
        <v>7511183</v>
      </c>
    </row>
    <row r="47" spans="1:5" ht="12" customHeight="1">
      <c r="A47" s="208" t="s">
        <v>244</v>
      </c>
      <c r="B47" s="6" t="s">
        <v>302</v>
      </c>
      <c r="C47" s="44">
        <v>1131042</v>
      </c>
      <c r="D47" s="57">
        <v>1303290</v>
      </c>
      <c r="E47" s="263">
        <v>1347637</v>
      </c>
    </row>
    <row r="48" spans="1:5" ht="12" customHeight="1">
      <c r="A48" s="208" t="s">
        <v>245</v>
      </c>
      <c r="B48" s="6" t="s">
        <v>270</v>
      </c>
      <c r="C48" s="44">
        <v>4578000</v>
      </c>
      <c r="D48" s="57">
        <v>7178609</v>
      </c>
      <c r="E48" s="263">
        <v>7298479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462475</v>
      </c>
      <c r="E51" s="145">
        <f>SUM(E52:E54)</f>
        <v>462475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462475</v>
      </c>
      <c r="E52" s="265">
        <v>462475</v>
      </c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11744254</v>
      </c>
      <c r="D57" s="287">
        <f>+D45+D51+D56</f>
        <v>16437833</v>
      </c>
      <c r="E57" s="148">
        <f>+E45+E51+E56</f>
        <v>16619774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2</v>
      </c>
      <c r="D59" s="285">
        <v>2</v>
      </c>
      <c r="E59" s="284">
        <v>2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17" sqref="E17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CONCATENATE(Z_ALAPADATOK!M15,"2. melléklet ",Z_ALAPADATOK!A7," ",Z_ALAPADATOK!B7," ",Z_ALAPADATOK!C7," ",Z_ALAPADATOK!D7," ",Z_ALAPADATOK!E7," ",Z_ALAPADATOK!F7," ",Z_ALAPADATOK!G7," ",Z_ALAPADATOK!H7)</f>
        <v>6.4.2.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CONCATENATE('Z_6.4.1.sz.mell'!B2:D2)</f>
        <v>Reibel Mihály Városi Művelődési Központ és Könyvtár</v>
      </c>
      <c r="C2" s="938"/>
      <c r="D2" s="939"/>
      <c r="E2" s="319" t="s">
        <v>512</v>
      </c>
    </row>
    <row r="3" spans="1:5" s="212" customFormat="1" ht="24.75" thickBot="1">
      <c r="A3" s="318" t="s">
        <v>315</v>
      </c>
      <c r="B3" s="937" t="s">
        <v>503</v>
      </c>
      <c r="C3" s="938"/>
      <c r="D3" s="939"/>
      <c r="E3" s="319" t="s">
        <v>223</v>
      </c>
    </row>
    <row r="4" spans="1:5" s="213" customFormat="1" ht="15.75" customHeight="1" thickBot="1">
      <c r="A4" s="320"/>
      <c r="B4" s="320"/>
      <c r="C4" s="321"/>
      <c r="D4" s="322"/>
      <c r="E4" s="321" t="str">
        <f>'Z_6.4.1.sz.mell'!E4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CONCATENATE('Z_6.4.1.sz.mell'!E5)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0</v>
      </c>
      <c r="D8" s="117">
        <f>SUM(D9:D19)</f>
        <v>0</v>
      </c>
      <c r="E8" s="119">
        <f>SUM(E9:E19)</f>
        <v>7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/>
      <c r="D10" s="255"/>
      <c r="E10" s="260"/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/>
      <c r="E16" s="264">
        <v>7</v>
      </c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/>
      <c r="E19" s="261"/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0</v>
      </c>
      <c r="D36" s="257">
        <f>+D8+D20+D25+D26+D30+D34+D35</f>
        <v>0</v>
      </c>
      <c r="E36" s="145">
        <f>+E8+E20+E25+E26+E30+E34+E35</f>
        <v>7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11614220</v>
      </c>
      <c r="D37" s="257">
        <f>+D38+D39+D40</f>
        <v>11614220</v>
      </c>
      <c r="E37" s="145">
        <f>+E38+E39+E40</f>
        <v>11614220</v>
      </c>
    </row>
    <row r="38" spans="1:5" s="150" customFormat="1" ht="12" customHeight="1">
      <c r="A38" s="209" t="s">
        <v>495</v>
      </c>
      <c r="B38" s="210" t="s">
        <v>330</v>
      </c>
      <c r="C38" s="267">
        <v>11614220</v>
      </c>
      <c r="D38" s="56">
        <v>11614220</v>
      </c>
      <c r="E38" s="265">
        <v>11614220</v>
      </c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/>
      <c r="D40" s="294"/>
      <c r="E40" s="289"/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11614220</v>
      </c>
      <c r="D41" s="287">
        <f>+D36+D37</f>
        <v>11614220</v>
      </c>
      <c r="E41" s="148">
        <f>+E36+E37</f>
        <v>11614227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11614220</v>
      </c>
      <c r="D45" s="257">
        <f>SUM(D46:D50)</f>
        <v>11524420</v>
      </c>
      <c r="E45" s="145">
        <f>SUM(E46:E50)</f>
        <v>10500079</v>
      </c>
    </row>
    <row r="46" spans="1:5" ht="12" customHeight="1">
      <c r="A46" s="208" t="s">
        <v>243</v>
      </c>
      <c r="B46" s="7" t="s">
        <v>215</v>
      </c>
      <c r="C46" s="267">
        <v>2449461</v>
      </c>
      <c r="D46" s="56">
        <v>2449461</v>
      </c>
      <c r="E46" s="265">
        <v>2431737</v>
      </c>
    </row>
    <row r="47" spans="1:5" ht="12" customHeight="1">
      <c r="A47" s="208" t="s">
        <v>244</v>
      </c>
      <c r="B47" s="6" t="s">
        <v>302</v>
      </c>
      <c r="C47" s="44">
        <v>449466</v>
      </c>
      <c r="D47" s="57">
        <v>449466</v>
      </c>
      <c r="E47" s="263">
        <v>405119</v>
      </c>
    </row>
    <row r="48" spans="1:5" ht="12" customHeight="1">
      <c r="A48" s="208" t="s">
        <v>245</v>
      </c>
      <c r="B48" s="6" t="s">
        <v>270</v>
      </c>
      <c r="C48" s="44">
        <v>8715293</v>
      </c>
      <c r="D48" s="57">
        <v>8625493</v>
      </c>
      <c r="E48" s="263">
        <v>7663223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89800</v>
      </c>
      <c r="E51" s="145">
        <f>SUM(E52:E54)</f>
        <v>89800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89800</v>
      </c>
      <c r="E52" s="265">
        <v>89800</v>
      </c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11614220</v>
      </c>
      <c r="D57" s="287">
        <f>+D45+D51+D56</f>
        <v>11614220</v>
      </c>
      <c r="E57" s="148">
        <f>+E45+E51+E56</f>
        <v>10589879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0</v>
      </c>
      <c r="D59" s="285">
        <v>0</v>
      </c>
      <c r="E59" s="284">
        <v>0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CONCATENATE(Z_ALAPADATOK!M15,"3. melléklet ",Z_ALAPADATOK!A7," ",Z_ALAPADATOK!B7," ",Z_ALAPADATOK!C7," ",Z_ALAPADATOK!D7," ",Z_ALAPADATOK!E7," ",Z_ALAPADATOK!F7," ",Z_ALAPADATOK!G7," ",Z_ALAPADATOK!H7)</f>
        <v>6.4.3.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CONCATENATE('Z_6.4.2.sz.mell'!B2:D2)</f>
        <v>Reibel Mihály Városi Művelődési Központ és Könyvtár</v>
      </c>
      <c r="C2" s="938"/>
      <c r="D2" s="939"/>
      <c r="E2" s="319" t="s">
        <v>512</v>
      </c>
    </row>
    <row r="3" spans="1:5" s="212" customFormat="1" ht="24.75" thickBot="1">
      <c r="A3" s="318" t="s">
        <v>315</v>
      </c>
      <c r="B3" s="937" t="s">
        <v>595</v>
      </c>
      <c r="C3" s="938"/>
      <c r="D3" s="939"/>
      <c r="E3" s="319" t="s">
        <v>512</v>
      </c>
    </row>
    <row r="4" spans="1:5" s="213" customFormat="1" ht="15.75" customHeight="1" thickBot="1">
      <c r="A4" s="320"/>
      <c r="B4" s="320"/>
      <c r="C4" s="321"/>
      <c r="D4" s="322"/>
      <c r="E4" s="321" t="str">
        <f>'Z_6.4.2.sz.mell'!E4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CONCATENATE('Z_6.4.2.sz.mell'!E5)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0</v>
      </c>
      <c r="D8" s="117">
        <f>SUM(D9:D19)</f>
        <v>0</v>
      </c>
      <c r="E8" s="119">
        <f>SUM(E9:E19)</f>
        <v>0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/>
      <c r="D10" s="255"/>
      <c r="E10" s="260"/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/>
      <c r="E16" s="264"/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/>
      <c r="E19" s="261"/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0</v>
      </c>
      <c r="D36" s="257">
        <f>+D8+D20+D25+D26+D30+D34+D35</f>
        <v>0</v>
      </c>
      <c r="E36" s="145">
        <f>+E8+E20+E25+E26+E30+E34+E35</f>
        <v>0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0</v>
      </c>
      <c r="D37" s="257">
        <f>+D38+D39+D40</f>
        <v>0</v>
      </c>
      <c r="E37" s="145">
        <f>+E38+E39+E40</f>
        <v>0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/>
      <c r="E38" s="265"/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/>
      <c r="D40" s="294"/>
      <c r="E40" s="289"/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0</v>
      </c>
      <c r="D41" s="287">
        <f>+D36+D37</f>
        <v>0</v>
      </c>
      <c r="E41" s="148">
        <f>+E36+E37</f>
        <v>0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0</v>
      </c>
      <c r="D45" s="257">
        <f>SUM(D46:D50)</f>
        <v>0</v>
      </c>
      <c r="E45" s="145">
        <f>SUM(E46:E50)</f>
        <v>0</v>
      </c>
    </row>
    <row r="46" spans="1:5" ht="12" customHeight="1">
      <c r="A46" s="208" t="s">
        <v>243</v>
      </c>
      <c r="B46" s="7" t="s">
        <v>215</v>
      </c>
      <c r="C46" s="267"/>
      <c r="D46" s="56"/>
      <c r="E46" s="265"/>
    </row>
    <row r="47" spans="1:5" ht="12" customHeight="1">
      <c r="A47" s="208" t="s">
        <v>244</v>
      </c>
      <c r="B47" s="6" t="s">
        <v>302</v>
      </c>
      <c r="C47" s="44"/>
      <c r="D47" s="57"/>
      <c r="E47" s="263"/>
    </row>
    <row r="48" spans="1:5" ht="12" customHeight="1">
      <c r="A48" s="208" t="s">
        <v>245</v>
      </c>
      <c r="B48" s="6" t="s">
        <v>270</v>
      </c>
      <c r="C48" s="44"/>
      <c r="D48" s="57"/>
      <c r="E48" s="263"/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0</v>
      </c>
      <c r="E51" s="145">
        <f>SUM(E52:E54)</f>
        <v>0</v>
      </c>
    </row>
    <row r="52" spans="1:5" s="216" customFormat="1" ht="12" customHeight="1">
      <c r="A52" s="208" t="s">
        <v>249</v>
      </c>
      <c r="B52" s="7" t="s">
        <v>323</v>
      </c>
      <c r="C52" s="267"/>
      <c r="D52" s="56"/>
      <c r="E52" s="265"/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0</v>
      </c>
      <c r="D57" s="287">
        <f>+D45+D51+D56</f>
        <v>0</v>
      </c>
      <c r="E57" s="148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/>
      <c r="D59" s="285"/>
      <c r="E59" s="284"/>
    </row>
    <row r="60" spans="1:5" ht="13.5" thickBot="1">
      <c r="A60" s="297" t="s">
        <v>666</v>
      </c>
      <c r="B60" s="298"/>
      <c r="C60" s="285"/>
      <c r="D60" s="285"/>
      <c r="E60" s="284"/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43">
      <selection activeCell="H11" sqref="H11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32" t="str">
        <f>CONCATENATE(Z_ALAPADATOK!M17," melléklet ",Z_ALAPADATOK!A7," ",Z_ALAPADATOK!B7," ",Z_ALAPADATOK!C7," ",Z_ALAPADATOK!D7," ",Z_ALAPADATOK!E7," ",Z_ALAPADATOK!F7," ",Z_ALAPADATOK!G7," ",Z_ALAPADATOK!H7)</f>
        <v>6.5. melléklet a … / 2020. ( … ) önkormányzati rendelethez</v>
      </c>
      <c r="C1" s="933"/>
      <c r="D1" s="933"/>
      <c r="E1" s="933"/>
    </row>
    <row r="2" spans="1:5" s="212" customFormat="1" ht="25.5" customHeight="1" thickBot="1">
      <c r="A2" s="318" t="s">
        <v>633</v>
      </c>
      <c r="B2" s="937" t="str">
        <f>CONCATENATE(Z_ALAPADATOK!B17)</f>
        <v>Naplemente Idősek Otthona</v>
      </c>
      <c r="C2" s="938"/>
      <c r="D2" s="939"/>
      <c r="E2" s="319" t="s">
        <v>680</v>
      </c>
    </row>
    <row r="3" spans="1:5" s="212" customFormat="1" ht="24.75" thickBot="1">
      <c r="A3" s="318" t="s">
        <v>315</v>
      </c>
      <c r="B3" s="937" t="s">
        <v>483</v>
      </c>
      <c r="C3" s="938"/>
      <c r="D3" s="939"/>
      <c r="E3" s="319" t="s">
        <v>218</v>
      </c>
    </row>
    <row r="4" spans="1:5" s="213" customFormat="1" ht="15.75" customHeight="1" thickBot="1">
      <c r="A4" s="320"/>
      <c r="B4" s="320"/>
      <c r="C4" s="321"/>
      <c r="D4" s="322"/>
      <c r="E4" s="321" t="str">
        <f>'Z_6.4.2.sz.mell'!E4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CONCATENATE('Z_6.4.3.sz.mell'!E5)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56036286</v>
      </c>
      <c r="D8" s="117">
        <f>SUM(D9:D19)</f>
        <v>77058895</v>
      </c>
      <c r="E8" s="119">
        <f>SUM(E9:E19)</f>
        <v>77058895</v>
      </c>
    </row>
    <row r="9" spans="1:5" s="150" customFormat="1" ht="12" customHeight="1">
      <c r="A9" s="207" t="s">
        <v>243</v>
      </c>
      <c r="B9" s="8" t="s">
        <v>364</v>
      </c>
      <c r="C9" s="268">
        <v>10312490</v>
      </c>
      <c r="D9" s="268">
        <v>26001084</v>
      </c>
      <c r="E9" s="288">
        <v>26001084</v>
      </c>
    </row>
    <row r="10" spans="1:5" s="150" customFormat="1" ht="12" customHeight="1">
      <c r="A10" s="208" t="s">
        <v>244</v>
      </c>
      <c r="B10" s="6" t="s">
        <v>365</v>
      </c>
      <c r="C10" s="114"/>
      <c r="D10" s="255">
        <v>209790</v>
      </c>
      <c r="E10" s="260">
        <v>209790</v>
      </c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>
        <v>39879475</v>
      </c>
      <c r="D13" s="255">
        <v>40382290</v>
      </c>
      <c r="E13" s="260">
        <v>40382290</v>
      </c>
    </row>
    <row r="14" spans="1:5" s="150" customFormat="1" ht="12" customHeight="1">
      <c r="A14" s="208" t="s">
        <v>247</v>
      </c>
      <c r="B14" s="6" t="s">
        <v>484</v>
      </c>
      <c r="C14" s="114">
        <v>5844321</v>
      </c>
      <c r="D14" s="255">
        <v>10462357</v>
      </c>
      <c r="E14" s="260">
        <v>10462357</v>
      </c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>
        <v>2</v>
      </c>
      <c r="E16" s="264">
        <v>2</v>
      </c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>
        <v>3372</v>
      </c>
      <c r="E19" s="261">
        <v>3372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888131</v>
      </c>
      <c r="E20" s="145">
        <f>SUM(E21:E23)</f>
        <v>888131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>
        <v>888131</v>
      </c>
      <c r="E23" s="260">
        <v>888131</v>
      </c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22.5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56036286</v>
      </c>
      <c r="D36" s="257">
        <f>+D8+D20+D25+D26+D30+D34+D35</f>
        <v>77947026</v>
      </c>
      <c r="E36" s="145">
        <f>+E8+E20+E25+E26+E30+E34+E35</f>
        <v>77947026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114867817</v>
      </c>
      <c r="D37" s="257">
        <f>+D38+D39+D40</f>
        <v>126764337</v>
      </c>
      <c r="E37" s="145">
        <f>+E38+E39+E40</f>
        <v>126764337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>
        <v>368394</v>
      </c>
      <c r="E38" s="265">
        <v>368394</v>
      </c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>
        <v>114867817</v>
      </c>
      <c r="D40" s="294">
        <v>126395943</v>
      </c>
      <c r="E40" s="289">
        <v>126395943</v>
      </c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170904103</v>
      </c>
      <c r="D41" s="287">
        <f>+D36+D37</f>
        <v>204711363</v>
      </c>
      <c r="E41" s="148">
        <f>+E36+E37</f>
        <v>204711363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170904103</v>
      </c>
      <c r="D45" s="257">
        <f>SUM(D46:D50)</f>
        <v>196866328</v>
      </c>
      <c r="E45" s="145">
        <f>SUM(E46:E50)</f>
        <v>194629462</v>
      </c>
    </row>
    <row r="46" spans="1:5" ht="12" customHeight="1">
      <c r="A46" s="208" t="s">
        <v>243</v>
      </c>
      <c r="B46" s="7" t="s">
        <v>215</v>
      </c>
      <c r="C46" s="267">
        <v>64739433</v>
      </c>
      <c r="D46" s="56">
        <v>77928071</v>
      </c>
      <c r="E46" s="265">
        <v>77928071</v>
      </c>
    </row>
    <row r="47" spans="1:5" ht="12" customHeight="1">
      <c r="A47" s="208" t="s">
        <v>244</v>
      </c>
      <c r="B47" s="6" t="s">
        <v>302</v>
      </c>
      <c r="C47" s="44">
        <v>12329495</v>
      </c>
      <c r="D47" s="57">
        <v>14581806</v>
      </c>
      <c r="E47" s="263">
        <v>14581806</v>
      </c>
    </row>
    <row r="48" spans="1:5" ht="12" customHeight="1">
      <c r="A48" s="208" t="s">
        <v>245</v>
      </c>
      <c r="B48" s="6" t="s">
        <v>270</v>
      </c>
      <c r="C48" s="44">
        <v>93835175</v>
      </c>
      <c r="D48" s="57">
        <v>104356451</v>
      </c>
      <c r="E48" s="263">
        <v>102119585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7845035</v>
      </c>
      <c r="E51" s="145">
        <f>SUM(E52:E54)</f>
        <v>7845035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7517035</v>
      </c>
      <c r="E52" s="265">
        <v>7517035</v>
      </c>
    </row>
    <row r="53" spans="1:5" ht="12" customHeight="1">
      <c r="A53" s="208" t="s">
        <v>250</v>
      </c>
      <c r="B53" s="6" t="s">
        <v>306</v>
      </c>
      <c r="C53" s="44"/>
      <c r="D53" s="57">
        <v>328000</v>
      </c>
      <c r="E53" s="263">
        <v>328000</v>
      </c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170904103</v>
      </c>
      <c r="D57" s="287">
        <f>+D45+D51+D56</f>
        <v>204711363</v>
      </c>
      <c r="E57" s="148">
        <f>+E45+E51+E56</f>
        <v>202474497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24</v>
      </c>
      <c r="D59" s="285">
        <v>24</v>
      </c>
      <c r="E59" s="284">
        <v>23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">
      <selection activeCell="E54" sqref="E54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CONCATENATE(Z_ALAPADATOK!M17,"1. melléklet ",Z_ALAPADATOK!A7," ",Z_ALAPADATOK!B7," ",Z_ALAPADATOK!C7," ",Z_ALAPADATOK!D7," ",Z_ALAPADATOK!E7," ",Z_ALAPADATOK!F7," ",Z_ALAPADATOK!G7," ",Z_ALAPADATOK!H7)</f>
        <v>6.5.1.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CONCATENATE('Z_6.5.sz.mell'!B2:D2)</f>
        <v>Naplemente Idősek Otthona</v>
      </c>
      <c r="C2" s="938"/>
      <c r="D2" s="939"/>
      <c r="E2" s="319" t="s">
        <v>680</v>
      </c>
    </row>
    <row r="3" spans="1:5" s="212" customFormat="1" ht="24.75" thickBot="1">
      <c r="A3" s="318" t="s">
        <v>315</v>
      </c>
      <c r="B3" s="937" t="s">
        <v>502</v>
      </c>
      <c r="C3" s="938"/>
      <c r="D3" s="939"/>
      <c r="E3" s="319" t="s">
        <v>222</v>
      </c>
    </row>
    <row r="4" spans="1:5" s="213" customFormat="1" ht="15.75" customHeight="1" thickBot="1">
      <c r="A4" s="320"/>
      <c r="B4" s="320"/>
      <c r="C4" s="321"/>
      <c r="D4" s="322"/>
      <c r="E4" s="321" t="str">
        <f>'Z_6.5.sz.mell'!E4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CONCATENATE('Z_6.5.sz.mell'!E5)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42939424</v>
      </c>
      <c r="D8" s="117">
        <f>SUM(D9:D19)</f>
        <v>43832556</v>
      </c>
      <c r="E8" s="119">
        <f>SUM(E9:E19)</f>
        <v>43832556</v>
      </c>
    </row>
    <row r="9" spans="1:5" s="150" customFormat="1" ht="12" customHeight="1">
      <c r="A9" s="207" t="s">
        <v>243</v>
      </c>
      <c r="B9" s="8" t="s">
        <v>364</v>
      </c>
      <c r="C9" s="268"/>
      <c r="D9" s="268">
        <v>48425</v>
      </c>
      <c r="E9" s="288">
        <v>48425</v>
      </c>
    </row>
    <row r="10" spans="1:5" s="150" customFormat="1" ht="12" customHeight="1">
      <c r="A10" s="208" t="s">
        <v>244</v>
      </c>
      <c r="B10" s="6" t="s">
        <v>365</v>
      </c>
      <c r="C10" s="114"/>
      <c r="D10" s="255"/>
      <c r="E10" s="260"/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>
        <v>39879475</v>
      </c>
      <c r="D13" s="255">
        <v>40382290</v>
      </c>
      <c r="E13" s="260">
        <v>40382290</v>
      </c>
    </row>
    <row r="14" spans="1:5" s="150" customFormat="1" ht="12" customHeight="1">
      <c r="A14" s="208" t="s">
        <v>247</v>
      </c>
      <c r="B14" s="6" t="s">
        <v>484</v>
      </c>
      <c r="C14" s="114">
        <v>3059949</v>
      </c>
      <c r="D14" s="255">
        <v>3398506</v>
      </c>
      <c r="E14" s="260">
        <v>3398506</v>
      </c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>
        <v>2</v>
      </c>
      <c r="E16" s="264">
        <v>2</v>
      </c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>
        <v>3333</v>
      </c>
      <c r="E19" s="261">
        <v>3333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888131</v>
      </c>
      <c r="E20" s="145">
        <f>SUM(E21:E23)</f>
        <v>888131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>
        <v>888131</v>
      </c>
      <c r="E23" s="260">
        <v>888131</v>
      </c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42939424</v>
      </c>
      <c r="D36" s="257">
        <f>+D8+D20+D25+D26+D30+D34+D35</f>
        <v>44720687</v>
      </c>
      <c r="E36" s="145">
        <f>+E8+E20+E25+E26+E30+E34+E35</f>
        <v>44720687</v>
      </c>
    </row>
    <row r="37" spans="1:5" s="150" customFormat="1" ht="12" customHeight="1" thickBot="1">
      <c r="A37" s="739" t="s">
        <v>194</v>
      </c>
      <c r="B37" s="740" t="s">
        <v>494</v>
      </c>
      <c r="C37" s="741">
        <f>+C38+C39+C40</f>
        <v>107288877</v>
      </c>
      <c r="D37" s="742">
        <f>+D38+D39+D40</f>
        <v>126037852</v>
      </c>
      <c r="E37" s="743">
        <f>+E38+E39+E40</f>
        <v>126037852</v>
      </c>
    </row>
    <row r="38" spans="1:5" s="150" customFormat="1" ht="12" customHeight="1">
      <c r="A38" s="207" t="s">
        <v>495</v>
      </c>
      <c r="B38" s="748" t="s">
        <v>330</v>
      </c>
      <c r="C38" s="749"/>
      <c r="D38" s="749">
        <v>368394</v>
      </c>
      <c r="E38" s="750">
        <v>368394</v>
      </c>
    </row>
    <row r="39" spans="1:5" s="150" customFormat="1" ht="12" customHeight="1">
      <c r="A39" s="208" t="s">
        <v>496</v>
      </c>
      <c r="B39" s="211" t="s">
        <v>180</v>
      </c>
      <c r="C39" s="44"/>
      <c r="D39" s="44"/>
      <c r="E39" s="751"/>
    </row>
    <row r="40" spans="1:5" s="215" customFormat="1" ht="12" customHeight="1" thickBot="1">
      <c r="A40" s="752" t="s">
        <v>497</v>
      </c>
      <c r="B40" s="753" t="s">
        <v>498</v>
      </c>
      <c r="C40" s="45">
        <v>107288877</v>
      </c>
      <c r="D40" s="45">
        <v>125669458</v>
      </c>
      <c r="E40" s="754">
        <v>125669458</v>
      </c>
    </row>
    <row r="41" spans="1:5" s="215" customFormat="1" ht="15" customHeight="1" thickBot="1">
      <c r="A41" s="205" t="s">
        <v>195</v>
      </c>
      <c r="B41" s="744" t="s">
        <v>499</v>
      </c>
      <c r="C41" s="745">
        <f>+C36+C37</f>
        <v>150228301</v>
      </c>
      <c r="D41" s="746">
        <f>+D36+D37</f>
        <v>170758539</v>
      </c>
      <c r="E41" s="747">
        <f>+E36+E37</f>
        <v>170758539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150228301</v>
      </c>
      <c r="D45" s="257">
        <f>SUM(D46:D50)</f>
        <v>164794206</v>
      </c>
      <c r="E45" s="145">
        <f>SUM(E46:E50)</f>
        <v>162557340</v>
      </c>
    </row>
    <row r="46" spans="1:5" ht="12" customHeight="1">
      <c r="A46" s="208" t="s">
        <v>243</v>
      </c>
      <c r="B46" s="7" t="s">
        <v>215</v>
      </c>
      <c r="C46" s="267">
        <v>60274459</v>
      </c>
      <c r="D46" s="56">
        <v>70726752</v>
      </c>
      <c r="E46" s="265">
        <v>70726752</v>
      </c>
    </row>
    <row r="47" spans="1:5" ht="12" customHeight="1">
      <c r="A47" s="208" t="s">
        <v>244</v>
      </c>
      <c r="B47" s="6" t="s">
        <v>302</v>
      </c>
      <c r="C47" s="44">
        <v>11469610</v>
      </c>
      <c r="D47" s="57">
        <v>13262343</v>
      </c>
      <c r="E47" s="263">
        <v>13262343</v>
      </c>
    </row>
    <row r="48" spans="1:5" ht="12" customHeight="1">
      <c r="A48" s="208" t="s">
        <v>245</v>
      </c>
      <c r="B48" s="6" t="s">
        <v>270</v>
      </c>
      <c r="C48" s="44">
        <v>78484232</v>
      </c>
      <c r="D48" s="57">
        <v>80805111</v>
      </c>
      <c r="E48" s="263">
        <v>78568245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5964333</v>
      </c>
      <c r="E51" s="145">
        <f>SUM(E52:E54)</f>
        <v>5964333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5636333</v>
      </c>
      <c r="E52" s="265">
        <v>5636333</v>
      </c>
    </row>
    <row r="53" spans="1:5" ht="12" customHeight="1">
      <c r="A53" s="208" t="s">
        <v>250</v>
      </c>
      <c r="B53" s="6" t="s">
        <v>306</v>
      </c>
      <c r="C53" s="44"/>
      <c r="D53" s="57">
        <v>328000</v>
      </c>
      <c r="E53" s="263">
        <v>328000</v>
      </c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150228301</v>
      </c>
      <c r="D57" s="287">
        <f>+D45+D51+D56</f>
        <v>170758539</v>
      </c>
      <c r="E57" s="148">
        <f>+E45+E51+E56</f>
        <v>168521673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20</v>
      </c>
      <c r="D59" s="285">
        <v>20</v>
      </c>
      <c r="E59" s="284">
        <v>19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CONCATENATE(Z_ALAPADATOK!M17,"2. melléklet ",Z_ALAPADATOK!A7," ",Z_ALAPADATOK!B7," ",Z_ALAPADATOK!C7," ",Z_ALAPADATOK!D7," ",Z_ALAPADATOK!E7," ",Z_ALAPADATOK!F7," ",Z_ALAPADATOK!G7," ",Z_ALAPADATOK!H7)</f>
        <v>6.5.2.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CONCATENATE('Z_6.5.1.sz.mell'!B2:D2)</f>
        <v>Naplemente Idősek Otthona</v>
      </c>
      <c r="C2" s="938"/>
      <c r="D2" s="939"/>
      <c r="E2" s="319" t="s">
        <v>680</v>
      </c>
    </row>
    <row r="3" spans="1:5" s="212" customFormat="1" ht="24.75" thickBot="1">
      <c r="A3" s="318" t="s">
        <v>315</v>
      </c>
      <c r="B3" s="937" t="s">
        <v>503</v>
      </c>
      <c r="C3" s="938"/>
      <c r="D3" s="939"/>
      <c r="E3" s="319" t="s">
        <v>223</v>
      </c>
    </row>
    <row r="4" spans="1:5" s="213" customFormat="1" ht="15.75" customHeight="1" thickBot="1">
      <c r="A4" s="320"/>
      <c r="B4" s="320"/>
      <c r="C4" s="321"/>
      <c r="D4" s="322"/>
      <c r="E4" s="321" t="str">
        <f>'Z_6.5.1.sz.mell'!E4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CONCATENATE('Z_6.5.1.sz.mell'!E5)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13096862</v>
      </c>
      <c r="D8" s="117">
        <f>SUM(D9:D19)</f>
        <v>33226339</v>
      </c>
      <c r="E8" s="119">
        <f>SUM(E9:E19)</f>
        <v>33226339</v>
      </c>
    </row>
    <row r="9" spans="1:5" s="150" customFormat="1" ht="12" customHeight="1">
      <c r="A9" s="207" t="s">
        <v>243</v>
      </c>
      <c r="B9" s="8" t="s">
        <v>364</v>
      </c>
      <c r="C9" s="268">
        <v>10312490</v>
      </c>
      <c r="D9" s="268">
        <v>25952659</v>
      </c>
      <c r="E9" s="288">
        <v>25952659</v>
      </c>
    </row>
    <row r="10" spans="1:5" s="150" customFormat="1" ht="12" customHeight="1">
      <c r="A10" s="208" t="s">
        <v>244</v>
      </c>
      <c r="B10" s="6" t="s">
        <v>365</v>
      </c>
      <c r="C10" s="114"/>
      <c r="D10" s="255">
        <v>209790</v>
      </c>
      <c r="E10" s="260">
        <v>209790</v>
      </c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>
        <v>2784372</v>
      </c>
      <c r="D14" s="255">
        <v>7063851</v>
      </c>
      <c r="E14" s="260">
        <v>7063851</v>
      </c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/>
      <c r="E16" s="264"/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>
        <v>39</v>
      </c>
      <c r="E19" s="261">
        <v>39</v>
      </c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13096862</v>
      </c>
      <c r="D36" s="257">
        <f>+D8+D20+D25+D26+D30+D34+D35</f>
        <v>33226339</v>
      </c>
      <c r="E36" s="145">
        <f>+E8+E20+E25+E26+E30+E34+E35</f>
        <v>33226339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7578940</v>
      </c>
      <c r="D37" s="257">
        <f>+D38+D39+D40</f>
        <v>726485</v>
      </c>
      <c r="E37" s="145">
        <f>+E38+E39+E40</f>
        <v>726485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/>
      <c r="E38" s="265"/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>
        <v>7578940</v>
      </c>
      <c r="D40" s="294">
        <v>726485</v>
      </c>
      <c r="E40" s="289">
        <v>726485</v>
      </c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20675802</v>
      </c>
      <c r="D41" s="287">
        <f>+D36+D37</f>
        <v>33952824</v>
      </c>
      <c r="E41" s="148">
        <f>+E36+E37</f>
        <v>33952824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20675802</v>
      </c>
      <c r="D45" s="257">
        <f>SUM(D46:D50)</f>
        <v>32072122</v>
      </c>
      <c r="E45" s="145">
        <f>SUM(E46:E50)</f>
        <v>32072122</v>
      </c>
    </row>
    <row r="46" spans="1:5" ht="12" customHeight="1">
      <c r="A46" s="208" t="s">
        <v>243</v>
      </c>
      <c r="B46" s="7" t="s">
        <v>215</v>
      </c>
      <c r="C46" s="267">
        <v>4464974</v>
      </c>
      <c r="D46" s="56">
        <v>7201319</v>
      </c>
      <c r="E46" s="265">
        <v>7201319</v>
      </c>
    </row>
    <row r="47" spans="1:5" ht="12" customHeight="1">
      <c r="A47" s="208" t="s">
        <v>244</v>
      </c>
      <c r="B47" s="6" t="s">
        <v>302</v>
      </c>
      <c r="C47" s="44">
        <v>859885</v>
      </c>
      <c r="D47" s="57">
        <v>1319463</v>
      </c>
      <c r="E47" s="263">
        <v>1319463</v>
      </c>
    </row>
    <row r="48" spans="1:5" ht="12" customHeight="1">
      <c r="A48" s="208" t="s">
        <v>245</v>
      </c>
      <c r="B48" s="6" t="s">
        <v>270</v>
      </c>
      <c r="C48" s="44">
        <v>15350943</v>
      </c>
      <c r="D48" s="57">
        <v>23551340</v>
      </c>
      <c r="E48" s="263">
        <v>23551340</v>
      </c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1880702</v>
      </c>
      <c r="E51" s="145">
        <f>SUM(E52:E54)</f>
        <v>1880702</v>
      </c>
    </row>
    <row r="52" spans="1:5" s="216" customFormat="1" ht="12" customHeight="1">
      <c r="A52" s="208" t="s">
        <v>249</v>
      </c>
      <c r="B52" s="7" t="s">
        <v>323</v>
      </c>
      <c r="C52" s="267"/>
      <c r="D52" s="56">
        <v>1880702</v>
      </c>
      <c r="E52" s="265">
        <v>1880702</v>
      </c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20675802</v>
      </c>
      <c r="D57" s="287">
        <f>+D45+D51+D56</f>
        <v>33952824</v>
      </c>
      <c r="E57" s="148">
        <f>+E45+E51+E56</f>
        <v>33952824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>
        <v>4</v>
      </c>
      <c r="D59" s="285">
        <v>4</v>
      </c>
      <c r="E59" s="284">
        <v>4</v>
      </c>
    </row>
    <row r="60" spans="1:5" ht="13.5" thickBot="1">
      <c r="A60" s="297" t="s">
        <v>666</v>
      </c>
      <c r="B60" s="298"/>
      <c r="C60" s="285">
        <v>0</v>
      </c>
      <c r="D60" s="285">
        <v>0</v>
      </c>
      <c r="E60" s="284">
        <v>0</v>
      </c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G17" sqref="G17"/>
    </sheetView>
  </sheetViews>
  <sheetFormatPr defaultColWidth="9.00390625" defaultRowHeight="12.75"/>
  <cols>
    <col min="1" max="1" width="13.875" style="89" customWidth="1"/>
    <col min="2" max="2" width="54.5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17"/>
      <c r="B1" s="940" t="str">
        <f>CONCATENATE(Z_ALAPADATOK!M17,"3. melléklet ",Z_ALAPADATOK!A7," ",Z_ALAPADATOK!B7," ",Z_ALAPADATOK!C7," ",Z_ALAPADATOK!D7," ",Z_ALAPADATOK!E7," ",Z_ALAPADATOK!F7," ",Z_ALAPADATOK!G7," ",Z_ALAPADATOK!H7)</f>
        <v>6.5.3. melléklet a … / 2020. ( … ) önkormányzati rendelethez</v>
      </c>
      <c r="C1" s="941"/>
      <c r="D1" s="941"/>
      <c r="E1" s="941"/>
    </row>
    <row r="2" spans="1:5" s="212" customFormat="1" ht="25.5" customHeight="1" thickBot="1">
      <c r="A2" s="318" t="s">
        <v>633</v>
      </c>
      <c r="B2" s="937" t="str">
        <f>CONCATENATE('Z_6.5.2.sz.mell'!B2:D2)</f>
        <v>Naplemente Idősek Otthona</v>
      </c>
      <c r="C2" s="938"/>
      <c r="D2" s="939"/>
      <c r="E2" s="319" t="s">
        <v>680</v>
      </c>
    </row>
    <row r="3" spans="1:5" s="212" customFormat="1" ht="24.75" thickBot="1">
      <c r="A3" s="318" t="s">
        <v>315</v>
      </c>
      <c r="B3" s="937" t="s">
        <v>595</v>
      </c>
      <c r="C3" s="938"/>
      <c r="D3" s="939"/>
      <c r="E3" s="319" t="s">
        <v>512</v>
      </c>
    </row>
    <row r="4" spans="1:5" s="213" customFormat="1" ht="15.75" customHeight="1" thickBot="1">
      <c r="A4" s="320"/>
      <c r="B4" s="320"/>
      <c r="C4" s="321"/>
      <c r="D4" s="322"/>
      <c r="E4" s="321" t="str">
        <f>'Z_6.5.2.sz.mell'!E4</f>
        <v> Forintban!</v>
      </c>
    </row>
    <row r="5" spans="1:5" ht="24.75" thickBot="1">
      <c r="A5" s="323" t="s">
        <v>316</v>
      </c>
      <c r="B5" s="324" t="s">
        <v>664</v>
      </c>
      <c r="C5" s="324" t="s">
        <v>629</v>
      </c>
      <c r="D5" s="325" t="s">
        <v>630</v>
      </c>
      <c r="E5" s="308" t="str">
        <f>CONCATENATE('Z_6.5.2.sz.mell'!E5)</f>
        <v>Teljesítés
2019. XII. 31.</v>
      </c>
    </row>
    <row r="6" spans="1:5" s="214" customFormat="1" ht="12.75" customHeight="1" thickBot="1">
      <c r="A6" s="356" t="s">
        <v>565</v>
      </c>
      <c r="B6" s="357" t="s">
        <v>566</v>
      </c>
      <c r="C6" s="357" t="s">
        <v>567</v>
      </c>
      <c r="D6" s="358" t="s">
        <v>569</v>
      </c>
      <c r="E6" s="359" t="s">
        <v>568</v>
      </c>
    </row>
    <row r="7" spans="1:5" s="214" customFormat="1" ht="15.75" customHeight="1" thickBot="1">
      <c r="A7" s="929" t="s">
        <v>219</v>
      </c>
      <c r="B7" s="930"/>
      <c r="C7" s="930"/>
      <c r="D7" s="930"/>
      <c r="E7" s="931"/>
    </row>
    <row r="8" spans="1:5" s="150" customFormat="1" ht="12" customHeight="1" thickBot="1">
      <c r="A8" s="72" t="s">
        <v>186</v>
      </c>
      <c r="B8" s="81" t="s">
        <v>586</v>
      </c>
      <c r="C8" s="117">
        <f>SUM(C9:C19)</f>
        <v>0</v>
      </c>
      <c r="D8" s="117">
        <f>SUM(D9:D19)</f>
        <v>0</v>
      </c>
      <c r="E8" s="119">
        <f>SUM(E9:E19)</f>
        <v>0</v>
      </c>
    </row>
    <row r="9" spans="1:5" s="150" customFormat="1" ht="12" customHeight="1">
      <c r="A9" s="207" t="s">
        <v>243</v>
      </c>
      <c r="B9" s="8" t="s">
        <v>364</v>
      </c>
      <c r="C9" s="268"/>
      <c r="D9" s="268"/>
      <c r="E9" s="288"/>
    </row>
    <row r="10" spans="1:5" s="150" customFormat="1" ht="12" customHeight="1">
      <c r="A10" s="208" t="s">
        <v>244</v>
      </c>
      <c r="B10" s="6" t="s">
        <v>365</v>
      </c>
      <c r="C10" s="114"/>
      <c r="D10" s="255"/>
      <c r="E10" s="260"/>
    </row>
    <row r="11" spans="1:5" s="150" customFormat="1" ht="12" customHeight="1">
      <c r="A11" s="208" t="s">
        <v>245</v>
      </c>
      <c r="B11" s="6" t="s">
        <v>366</v>
      </c>
      <c r="C11" s="114"/>
      <c r="D11" s="255"/>
      <c r="E11" s="260"/>
    </row>
    <row r="12" spans="1:5" s="150" customFormat="1" ht="12" customHeight="1">
      <c r="A12" s="208" t="s">
        <v>246</v>
      </c>
      <c r="B12" s="6" t="s">
        <v>367</v>
      </c>
      <c r="C12" s="114"/>
      <c r="D12" s="255"/>
      <c r="E12" s="260"/>
    </row>
    <row r="13" spans="1:5" s="150" customFormat="1" ht="12" customHeight="1">
      <c r="A13" s="208" t="s">
        <v>277</v>
      </c>
      <c r="B13" s="6" t="s">
        <v>368</v>
      </c>
      <c r="C13" s="114"/>
      <c r="D13" s="255"/>
      <c r="E13" s="260"/>
    </row>
    <row r="14" spans="1:5" s="150" customFormat="1" ht="12" customHeight="1">
      <c r="A14" s="208" t="s">
        <v>247</v>
      </c>
      <c r="B14" s="6" t="s">
        <v>484</v>
      </c>
      <c r="C14" s="114"/>
      <c r="D14" s="255"/>
      <c r="E14" s="260"/>
    </row>
    <row r="15" spans="1:5" s="150" customFormat="1" ht="12" customHeight="1">
      <c r="A15" s="208" t="s">
        <v>248</v>
      </c>
      <c r="B15" s="5" t="s">
        <v>485</v>
      </c>
      <c r="C15" s="114"/>
      <c r="D15" s="255"/>
      <c r="E15" s="260"/>
    </row>
    <row r="16" spans="1:5" s="150" customFormat="1" ht="12" customHeight="1">
      <c r="A16" s="208" t="s">
        <v>256</v>
      </c>
      <c r="B16" s="6" t="s">
        <v>371</v>
      </c>
      <c r="C16" s="266"/>
      <c r="D16" s="293"/>
      <c r="E16" s="264"/>
    </row>
    <row r="17" spans="1:5" s="215" customFormat="1" ht="12" customHeight="1">
      <c r="A17" s="208" t="s">
        <v>257</v>
      </c>
      <c r="B17" s="6" t="s">
        <v>372</v>
      </c>
      <c r="C17" s="114"/>
      <c r="D17" s="255"/>
      <c r="E17" s="260"/>
    </row>
    <row r="18" spans="1:5" s="215" customFormat="1" ht="12" customHeight="1">
      <c r="A18" s="208" t="s">
        <v>258</v>
      </c>
      <c r="B18" s="6" t="s">
        <v>517</v>
      </c>
      <c r="C18" s="116"/>
      <c r="D18" s="256"/>
      <c r="E18" s="261"/>
    </row>
    <row r="19" spans="1:5" s="215" customFormat="1" ht="12" customHeight="1" thickBot="1">
      <c r="A19" s="208" t="s">
        <v>259</v>
      </c>
      <c r="B19" s="5" t="s">
        <v>373</v>
      </c>
      <c r="C19" s="116"/>
      <c r="D19" s="256"/>
      <c r="E19" s="261"/>
    </row>
    <row r="20" spans="1:5" s="150" customFormat="1" ht="12" customHeight="1" thickBot="1">
      <c r="A20" s="72" t="s">
        <v>187</v>
      </c>
      <c r="B20" s="81" t="s">
        <v>486</v>
      </c>
      <c r="C20" s="117">
        <f>SUM(C21:C23)</f>
        <v>0</v>
      </c>
      <c r="D20" s="257">
        <f>SUM(D21:D23)</f>
        <v>0</v>
      </c>
      <c r="E20" s="145">
        <f>SUM(E21:E23)</f>
        <v>0</v>
      </c>
    </row>
    <row r="21" spans="1:5" s="215" customFormat="1" ht="12" customHeight="1">
      <c r="A21" s="208" t="s">
        <v>249</v>
      </c>
      <c r="B21" s="7" t="s">
        <v>348</v>
      </c>
      <c r="C21" s="114"/>
      <c r="D21" s="255"/>
      <c r="E21" s="260"/>
    </row>
    <row r="22" spans="1:5" s="215" customFormat="1" ht="12" customHeight="1">
      <c r="A22" s="208" t="s">
        <v>250</v>
      </c>
      <c r="B22" s="6" t="s">
        <v>487</v>
      </c>
      <c r="C22" s="114"/>
      <c r="D22" s="255"/>
      <c r="E22" s="260"/>
    </row>
    <row r="23" spans="1:5" s="215" customFormat="1" ht="12" customHeight="1">
      <c r="A23" s="208" t="s">
        <v>251</v>
      </c>
      <c r="B23" s="6" t="s">
        <v>488</v>
      </c>
      <c r="C23" s="114"/>
      <c r="D23" s="255"/>
      <c r="E23" s="260"/>
    </row>
    <row r="24" spans="1:5" s="215" customFormat="1" ht="12" customHeight="1" thickBot="1">
      <c r="A24" s="208" t="s">
        <v>252</v>
      </c>
      <c r="B24" s="6" t="s">
        <v>591</v>
      </c>
      <c r="C24" s="114"/>
      <c r="D24" s="255"/>
      <c r="E24" s="260"/>
    </row>
    <row r="25" spans="1:5" s="215" customFormat="1" ht="12" customHeight="1" thickBot="1">
      <c r="A25" s="76" t="s">
        <v>188</v>
      </c>
      <c r="B25" s="54" t="s">
        <v>293</v>
      </c>
      <c r="C25" s="290"/>
      <c r="D25" s="292"/>
      <c r="E25" s="144"/>
    </row>
    <row r="26" spans="1:5" s="215" customFormat="1" ht="12" customHeight="1" thickBot="1">
      <c r="A26" s="76" t="s">
        <v>189</v>
      </c>
      <c r="B26" s="54" t="s">
        <v>489</v>
      </c>
      <c r="C26" s="117">
        <f>+C27+C28</f>
        <v>0</v>
      </c>
      <c r="D26" s="257">
        <f>+D27+D28</f>
        <v>0</v>
      </c>
      <c r="E26" s="145">
        <f>+E27+E28</f>
        <v>0</v>
      </c>
    </row>
    <row r="27" spans="1:5" s="215" customFormat="1" ht="12" customHeight="1">
      <c r="A27" s="209" t="s">
        <v>357</v>
      </c>
      <c r="B27" s="210" t="s">
        <v>487</v>
      </c>
      <c r="C27" s="267"/>
      <c r="D27" s="56"/>
      <c r="E27" s="265"/>
    </row>
    <row r="28" spans="1:5" s="215" customFormat="1" ht="12" customHeight="1">
      <c r="A28" s="209" t="s">
        <v>358</v>
      </c>
      <c r="B28" s="211" t="s">
        <v>490</v>
      </c>
      <c r="C28" s="118"/>
      <c r="D28" s="258"/>
      <c r="E28" s="262"/>
    </row>
    <row r="29" spans="1:5" s="215" customFormat="1" ht="12" customHeight="1" thickBot="1">
      <c r="A29" s="208" t="s">
        <v>359</v>
      </c>
      <c r="B29" s="59" t="s">
        <v>592</v>
      </c>
      <c r="C29" s="45"/>
      <c r="D29" s="294"/>
      <c r="E29" s="289"/>
    </row>
    <row r="30" spans="1:5" s="215" customFormat="1" ht="12" customHeight="1" thickBot="1">
      <c r="A30" s="76" t="s">
        <v>190</v>
      </c>
      <c r="B30" s="54" t="s">
        <v>491</v>
      </c>
      <c r="C30" s="117">
        <f>+C31+C32+C33</f>
        <v>0</v>
      </c>
      <c r="D30" s="257">
        <f>+D31+D32+D33</f>
        <v>0</v>
      </c>
      <c r="E30" s="145">
        <f>+E31+E32+E33</f>
        <v>0</v>
      </c>
    </row>
    <row r="31" spans="1:5" s="215" customFormat="1" ht="12" customHeight="1">
      <c r="A31" s="209" t="s">
        <v>236</v>
      </c>
      <c r="B31" s="210" t="s">
        <v>378</v>
      </c>
      <c r="C31" s="267"/>
      <c r="D31" s="56"/>
      <c r="E31" s="265"/>
    </row>
    <row r="32" spans="1:5" s="215" customFormat="1" ht="12" customHeight="1">
      <c r="A32" s="209" t="s">
        <v>237</v>
      </c>
      <c r="B32" s="211" t="s">
        <v>379</v>
      </c>
      <c r="C32" s="118"/>
      <c r="D32" s="258"/>
      <c r="E32" s="262"/>
    </row>
    <row r="33" spans="1:5" s="215" customFormat="1" ht="12" customHeight="1" thickBot="1">
      <c r="A33" s="208" t="s">
        <v>238</v>
      </c>
      <c r="B33" s="59" t="s">
        <v>380</v>
      </c>
      <c r="C33" s="45"/>
      <c r="D33" s="294"/>
      <c r="E33" s="289"/>
    </row>
    <row r="34" spans="1:5" s="150" customFormat="1" ht="12" customHeight="1" thickBot="1">
      <c r="A34" s="76" t="s">
        <v>191</v>
      </c>
      <c r="B34" s="54" t="s">
        <v>463</v>
      </c>
      <c r="C34" s="290"/>
      <c r="D34" s="292"/>
      <c r="E34" s="144"/>
    </row>
    <row r="35" spans="1:5" s="150" customFormat="1" ht="12" customHeight="1" thickBot="1">
      <c r="A35" s="76" t="s">
        <v>192</v>
      </c>
      <c r="B35" s="54" t="s">
        <v>492</v>
      </c>
      <c r="C35" s="290"/>
      <c r="D35" s="292"/>
      <c r="E35" s="144"/>
    </row>
    <row r="36" spans="1:5" s="150" customFormat="1" ht="12" customHeight="1" thickBot="1">
      <c r="A36" s="72" t="s">
        <v>193</v>
      </c>
      <c r="B36" s="54" t="s">
        <v>593</v>
      </c>
      <c r="C36" s="117">
        <f>+C8+C20+C25+C26+C30+C34+C35</f>
        <v>0</v>
      </c>
      <c r="D36" s="257">
        <f>+D8+D20+D25+D26+D30+D34+D35</f>
        <v>0</v>
      </c>
      <c r="E36" s="145">
        <f>+E8+E20+E25+E26+E30+E34+E35</f>
        <v>0</v>
      </c>
    </row>
    <row r="37" spans="1:5" s="150" customFormat="1" ht="12" customHeight="1" thickBot="1">
      <c r="A37" s="82" t="s">
        <v>194</v>
      </c>
      <c r="B37" s="54" t="s">
        <v>494</v>
      </c>
      <c r="C37" s="117">
        <f>+C38+C39+C40</f>
        <v>0</v>
      </c>
      <c r="D37" s="257">
        <f>+D38+D39+D40</f>
        <v>0</v>
      </c>
      <c r="E37" s="145">
        <f>+E38+E39+E40</f>
        <v>0</v>
      </c>
    </row>
    <row r="38" spans="1:5" s="150" customFormat="1" ht="12" customHeight="1">
      <c r="A38" s="209" t="s">
        <v>495</v>
      </c>
      <c r="B38" s="210" t="s">
        <v>330</v>
      </c>
      <c r="C38" s="267"/>
      <c r="D38" s="56"/>
      <c r="E38" s="265"/>
    </row>
    <row r="39" spans="1:5" s="150" customFormat="1" ht="12" customHeight="1">
      <c r="A39" s="209" t="s">
        <v>496</v>
      </c>
      <c r="B39" s="211" t="s">
        <v>180</v>
      </c>
      <c r="C39" s="118"/>
      <c r="D39" s="258"/>
      <c r="E39" s="262"/>
    </row>
    <row r="40" spans="1:5" s="215" customFormat="1" ht="12" customHeight="1" thickBot="1">
      <c r="A40" s="208" t="s">
        <v>497</v>
      </c>
      <c r="B40" s="59" t="s">
        <v>498</v>
      </c>
      <c r="C40" s="45"/>
      <c r="D40" s="294"/>
      <c r="E40" s="289"/>
    </row>
    <row r="41" spans="1:5" s="215" customFormat="1" ht="15" customHeight="1" thickBot="1">
      <c r="A41" s="82" t="s">
        <v>195</v>
      </c>
      <c r="B41" s="83" t="s">
        <v>499</v>
      </c>
      <c r="C41" s="291">
        <f>+C36+C37</f>
        <v>0</v>
      </c>
      <c r="D41" s="287">
        <f>+D36+D37</f>
        <v>0</v>
      </c>
      <c r="E41" s="148">
        <f>+E36+E37</f>
        <v>0</v>
      </c>
    </row>
    <row r="42" spans="1:3" s="215" customFormat="1" ht="15" customHeight="1">
      <c r="A42" s="84"/>
      <c r="B42" s="85"/>
      <c r="C42" s="146"/>
    </row>
    <row r="43" spans="1:3" ht="13.5" thickBot="1">
      <c r="A43" s="86"/>
      <c r="B43" s="87"/>
      <c r="C43" s="147"/>
    </row>
    <row r="44" spans="1:5" s="214" customFormat="1" ht="16.5" customHeight="1" thickBot="1">
      <c r="A44" s="929" t="s">
        <v>220</v>
      </c>
      <c r="B44" s="930"/>
      <c r="C44" s="930"/>
      <c r="D44" s="930"/>
      <c r="E44" s="931"/>
    </row>
    <row r="45" spans="1:5" s="216" customFormat="1" ht="12" customHeight="1" thickBot="1">
      <c r="A45" s="76" t="s">
        <v>186</v>
      </c>
      <c r="B45" s="54" t="s">
        <v>500</v>
      </c>
      <c r="C45" s="117">
        <f>SUM(C46:C50)</f>
        <v>0</v>
      </c>
      <c r="D45" s="257">
        <f>SUM(D46:D50)</f>
        <v>0</v>
      </c>
      <c r="E45" s="145">
        <f>SUM(E46:E50)</f>
        <v>0</v>
      </c>
    </row>
    <row r="46" spans="1:5" ht="12" customHeight="1">
      <c r="A46" s="208" t="s">
        <v>243</v>
      </c>
      <c r="B46" s="7" t="s">
        <v>215</v>
      </c>
      <c r="C46" s="267"/>
      <c r="D46" s="56"/>
      <c r="E46" s="265"/>
    </row>
    <row r="47" spans="1:5" ht="12" customHeight="1">
      <c r="A47" s="208" t="s">
        <v>244</v>
      </c>
      <c r="B47" s="6" t="s">
        <v>302</v>
      </c>
      <c r="C47" s="44"/>
      <c r="D47" s="57"/>
      <c r="E47" s="263"/>
    </row>
    <row r="48" spans="1:5" ht="12" customHeight="1">
      <c r="A48" s="208" t="s">
        <v>245</v>
      </c>
      <c r="B48" s="6" t="s">
        <v>270</v>
      </c>
      <c r="C48" s="44"/>
      <c r="D48" s="57"/>
      <c r="E48" s="263"/>
    </row>
    <row r="49" spans="1:5" ht="12" customHeight="1">
      <c r="A49" s="208" t="s">
        <v>246</v>
      </c>
      <c r="B49" s="6" t="s">
        <v>303</v>
      </c>
      <c r="C49" s="44"/>
      <c r="D49" s="57"/>
      <c r="E49" s="263"/>
    </row>
    <row r="50" spans="1:5" ht="12" customHeight="1" thickBot="1">
      <c r="A50" s="208" t="s">
        <v>277</v>
      </c>
      <c r="B50" s="6" t="s">
        <v>304</v>
      </c>
      <c r="C50" s="44"/>
      <c r="D50" s="57"/>
      <c r="E50" s="263"/>
    </row>
    <row r="51" spans="1:5" ht="12" customHeight="1" thickBot="1">
      <c r="A51" s="76" t="s">
        <v>187</v>
      </c>
      <c r="B51" s="54" t="s">
        <v>501</v>
      </c>
      <c r="C51" s="117">
        <f>SUM(C52:C54)</f>
        <v>0</v>
      </c>
      <c r="D51" s="257">
        <f>SUM(D52:D54)</f>
        <v>0</v>
      </c>
      <c r="E51" s="145">
        <f>SUM(E52:E54)</f>
        <v>0</v>
      </c>
    </row>
    <row r="52" spans="1:5" s="216" customFormat="1" ht="12" customHeight="1">
      <c r="A52" s="208" t="s">
        <v>249</v>
      </c>
      <c r="B52" s="7" t="s">
        <v>323</v>
      </c>
      <c r="C52" s="267"/>
      <c r="D52" s="56"/>
      <c r="E52" s="265"/>
    </row>
    <row r="53" spans="1:5" ht="12" customHeight="1">
      <c r="A53" s="208" t="s">
        <v>250</v>
      </c>
      <c r="B53" s="6" t="s">
        <v>306</v>
      </c>
      <c r="C53" s="44"/>
      <c r="D53" s="57"/>
      <c r="E53" s="263"/>
    </row>
    <row r="54" spans="1:5" ht="12" customHeight="1">
      <c r="A54" s="208" t="s">
        <v>251</v>
      </c>
      <c r="B54" s="6" t="s">
        <v>221</v>
      </c>
      <c r="C54" s="44"/>
      <c r="D54" s="57"/>
      <c r="E54" s="263"/>
    </row>
    <row r="55" spans="1:5" ht="12" customHeight="1" thickBot="1">
      <c r="A55" s="208" t="s">
        <v>252</v>
      </c>
      <c r="B55" s="6" t="s">
        <v>590</v>
      </c>
      <c r="C55" s="44"/>
      <c r="D55" s="57"/>
      <c r="E55" s="263"/>
    </row>
    <row r="56" spans="1:5" ht="15" customHeight="1" thickBot="1">
      <c r="A56" s="76" t="s">
        <v>188</v>
      </c>
      <c r="B56" s="54" t="s">
        <v>182</v>
      </c>
      <c r="C56" s="290"/>
      <c r="D56" s="292"/>
      <c r="E56" s="144"/>
    </row>
    <row r="57" spans="1:5" ht="13.5" thickBot="1">
      <c r="A57" s="76" t="s">
        <v>189</v>
      </c>
      <c r="B57" s="88" t="s">
        <v>594</v>
      </c>
      <c r="C57" s="291">
        <f>+C45+C51+C56</f>
        <v>0</v>
      </c>
      <c r="D57" s="287">
        <f>+D45+D51+D56</f>
        <v>0</v>
      </c>
      <c r="E57" s="148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295" t="s">
        <v>665</v>
      </c>
      <c r="B59" s="296"/>
      <c r="C59" s="285"/>
      <c r="D59" s="285"/>
      <c r="E59" s="284"/>
    </row>
    <row r="60" spans="1:5" ht="13.5" thickBot="1">
      <c r="A60" s="297" t="s">
        <v>666</v>
      </c>
      <c r="B60" s="298"/>
      <c r="C60" s="285"/>
      <c r="D60" s="285"/>
      <c r="E60" s="284"/>
    </row>
  </sheetData>
  <sheetProtection sheet="1" formatCells="0"/>
  <mergeCells count="5">
    <mergeCell ref="A44:E44"/>
    <mergeCell ref="B1:E1"/>
    <mergeCell ref="B2:D2"/>
    <mergeCell ref="B3:D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1">
      <selection activeCell="G5" sqref="G5"/>
    </sheetView>
  </sheetViews>
  <sheetFormatPr defaultColWidth="9.00390625" defaultRowHeight="12.75"/>
  <cols>
    <col min="1" max="1" width="7.00390625" style="639" customWidth="1"/>
    <col min="2" max="2" width="32.00390625" style="90" customWidth="1"/>
    <col min="3" max="3" width="12.50390625" style="90" customWidth="1"/>
    <col min="4" max="6" width="11.875" style="90" customWidth="1"/>
    <col min="7" max="7" width="12.875" style="90" customWidth="1"/>
    <col min="8" max="16384" width="9.375" style="90" customWidth="1"/>
  </cols>
  <sheetData>
    <row r="1" spans="1:7" ht="18.75" customHeight="1">
      <c r="A1" s="946" t="str">
        <f>CONCATENATE("7. melléklet ",Z_ALAPADATOK!A7," ",Z_ALAPADATOK!B7," ",Z_ALAPADATOK!C7," ",Z_ALAPADATOK!D7," ",Z_ALAPADATOK!E7," ",Z_ALAPADATOK!F7," ",Z_ALAPADATOK!G7," ",Z_ALAPADATOK!H7)</f>
        <v>7. melléklet a … / 2020. ( … ) önkormányzati rendelethez</v>
      </c>
      <c r="B1" s="947"/>
      <c r="C1" s="947"/>
      <c r="D1" s="947"/>
      <c r="E1" s="947"/>
      <c r="F1" s="947"/>
      <c r="G1" s="947"/>
    </row>
    <row r="3" spans="1:7" ht="15.75">
      <c r="A3" s="944" t="s">
        <v>3</v>
      </c>
      <c r="B3" s="945"/>
      <c r="C3" s="945"/>
      <c r="D3" s="945"/>
      <c r="E3" s="945"/>
      <c r="F3" s="945"/>
      <c r="G3" s="945"/>
    </row>
    <row r="5" ht="14.25" thickBot="1">
      <c r="G5" s="640" t="s">
        <v>7</v>
      </c>
    </row>
    <row r="6" spans="1:7" ht="17.25" customHeight="1" thickBot="1">
      <c r="A6" s="948" t="s">
        <v>184</v>
      </c>
      <c r="B6" s="950" t="s">
        <v>982</v>
      </c>
      <c r="C6" s="950" t="s">
        <v>983</v>
      </c>
      <c r="D6" s="950" t="s">
        <v>984</v>
      </c>
      <c r="E6" s="952" t="s">
        <v>985</v>
      </c>
      <c r="F6" s="952"/>
      <c r="G6" s="953"/>
    </row>
    <row r="7" spans="1:7" s="643" customFormat="1" ht="57.75" customHeight="1" thickBot="1">
      <c r="A7" s="949"/>
      <c r="B7" s="951"/>
      <c r="C7" s="951"/>
      <c r="D7" s="951"/>
      <c r="E7" s="641" t="s">
        <v>986</v>
      </c>
      <c r="F7" s="641" t="s">
        <v>0</v>
      </c>
      <c r="G7" s="642" t="s">
        <v>1</v>
      </c>
    </row>
    <row r="8" spans="1:7" s="216" customFormat="1" ht="15" customHeight="1" thickBot="1">
      <c r="A8" s="72" t="s">
        <v>565</v>
      </c>
      <c r="B8" s="73" t="s">
        <v>566</v>
      </c>
      <c r="C8" s="73" t="s">
        <v>567</v>
      </c>
      <c r="D8" s="73" t="s">
        <v>569</v>
      </c>
      <c r="E8" s="73" t="s">
        <v>2</v>
      </c>
      <c r="F8" s="73" t="s">
        <v>570</v>
      </c>
      <c r="G8" s="74" t="s">
        <v>571</v>
      </c>
    </row>
    <row r="9" spans="1:7" ht="15" customHeight="1">
      <c r="A9" s="644" t="s">
        <v>186</v>
      </c>
      <c r="B9" s="645" t="s">
        <v>38</v>
      </c>
      <c r="C9" s="646">
        <v>252063757</v>
      </c>
      <c r="D9" s="646"/>
      <c r="E9" s="647">
        <f>C9-D9</f>
        <v>252063757</v>
      </c>
      <c r="F9" s="646">
        <v>135915439</v>
      </c>
      <c r="G9" s="648">
        <v>116148318</v>
      </c>
    </row>
    <row r="10" spans="1:7" ht="15" customHeight="1">
      <c r="A10" s="649" t="s">
        <v>187</v>
      </c>
      <c r="B10" s="650" t="s">
        <v>39</v>
      </c>
      <c r="C10" s="21">
        <v>277318</v>
      </c>
      <c r="D10" s="21">
        <v>277318</v>
      </c>
      <c r="E10" s="647">
        <f aca="true" t="shared" si="0" ref="E10:E39">C10-D10</f>
        <v>0</v>
      </c>
      <c r="F10" s="21"/>
      <c r="G10" s="444"/>
    </row>
    <row r="11" spans="1:7" ht="15" customHeight="1">
      <c r="A11" s="649" t="s">
        <v>188</v>
      </c>
      <c r="B11" s="650" t="s">
        <v>40</v>
      </c>
      <c r="C11" s="21">
        <v>48507</v>
      </c>
      <c r="D11" s="21">
        <v>48507</v>
      </c>
      <c r="E11" s="647">
        <f t="shared" si="0"/>
        <v>0</v>
      </c>
      <c r="F11" s="21"/>
      <c r="G11" s="444"/>
    </row>
    <row r="12" spans="1:7" ht="20.25" customHeight="1">
      <c r="A12" s="649" t="s">
        <v>189</v>
      </c>
      <c r="B12" s="650" t="s">
        <v>41</v>
      </c>
      <c r="C12" s="21">
        <v>842400</v>
      </c>
      <c r="D12" s="21">
        <v>36911</v>
      </c>
      <c r="E12" s="647">
        <f t="shared" si="0"/>
        <v>805489</v>
      </c>
      <c r="F12" s="21">
        <v>805489</v>
      </c>
      <c r="G12" s="444"/>
    </row>
    <row r="13" spans="1:7" ht="15" customHeight="1">
      <c r="A13" s="649" t="s">
        <v>190</v>
      </c>
      <c r="B13" s="650" t="s">
        <v>42</v>
      </c>
      <c r="C13" s="21">
        <v>2236866</v>
      </c>
      <c r="D13" s="21">
        <v>2236866</v>
      </c>
      <c r="E13" s="647">
        <f t="shared" si="0"/>
        <v>0</v>
      </c>
      <c r="F13" s="21"/>
      <c r="G13" s="444"/>
    </row>
    <row r="14" spans="1:7" ht="15" customHeight="1">
      <c r="A14" s="649" t="s">
        <v>191</v>
      </c>
      <c r="B14" s="650"/>
      <c r="C14" s="21"/>
      <c r="D14" s="21"/>
      <c r="E14" s="647">
        <f t="shared" si="0"/>
        <v>0</v>
      </c>
      <c r="F14" s="21"/>
      <c r="G14" s="444"/>
    </row>
    <row r="15" spans="1:7" ht="15" customHeight="1">
      <c r="A15" s="649" t="s">
        <v>192</v>
      </c>
      <c r="B15" s="650"/>
      <c r="C15" s="21"/>
      <c r="D15" s="21"/>
      <c r="E15" s="647">
        <f t="shared" si="0"/>
        <v>0</v>
      </c>
      <c r="F15" s="21"/>
      <c r="G15" s="444"/>
    </row>
    <row r="16" spans="1:7" ht="15" customHeight="1">
      <c r="A16" s="649" t="s">
        <v>193</v>
      </c>
      <c r="B16" s="650"/>
      <c r="C16" s="21"/>
      <c r="D16" s="21"/>
      <c r="E16" s="647">
        <f t="shared" si="0"/>
        <v>0</v>
      </c>
      <c r="F16" s="21"/>
      <c r="G16" s="444"/>
    </row>
    <row r="17" spans="1:7" ht="15" customHeight="1">
      <c r="A17" s="649" t="s">
        <v>194</v>
      </c>
      <c r="B17" s="650"/>
      <c r="C17" s="21"/>
      <c r="D17" s="21"/>
      <c r="E17" s="647">
        <f t="shared" si="0"/>
        <v>0</v>
      </c>
      <c r="F17" s="21"/>
      <c r="G17" s="444"/>
    </row>
    <row r="18" spans="1:7" ht="15" customHeight="1">
      <c r="A18" s="649" t="s">
        <v>195</v>
      </c>
      <c r="B18" s="650"/>
      <c r="C18" s="21"/>
      <c r="D18" s="21"/>
      <c r="E18" s="647">
        <f t="shared" si="0"/>
        <v>0</v>
      </c>
      <c r="F18" s="21"/>
      <c r="G18" s="444"/>
    </row>
    <row r="19" spans="1:7" ht="15" customHeight="1">
      <c r="A19" s="649" t="s">
        <v>196</v>
      </c>
      <c r="B19" s="650"/>
      <c r="C19" s="21"/>
      <c r="D19" s="21"/>
      <c r="E19" s="647">
        <f t="shared" si="0"/>
        <v>0</v>
      </c>
      <c r="F19" s="21"/>
      <c r="G19" s="444"/>
    </row>
    <row r="20" spans="1:7" ht="15" customHeight="1">
      <c r="A20" s="649" t="s">
        <v>197</v>
      </c>
      <c r="B20" s="650"/>
      <c r="C20" s="21"/>
      <c r="D20" s="21"/>
      <c r="E20" s="647">
        <f t="shared" si="0"/>
        <v>0</v>
      </c>
      <c r="F20" s="21"/>
      <c r="G20" s="444"/>
    </row>
    <row r="21" spans="1:7" ht="15" customHeight="1">
      <c r="A21" s="649" t="s">
        <v>198</v>
      </c>
      <c r="B21" s="650"/>
      <c r="C21" s="21"/>
      <c r="D21" s="21"/>
      <c r="E21" s="647">
        <f t="shared" si="0"/>
        <v>0</v>
      </c>
      <c r="F21" s="21"/>
      <c r="G21" s="444"/>
    </row>
    <row r="22" spans="1:7" ht="15" customHeight="1">
      <c r="A22" s="649" t="s">
        <v>199</v>
      </c>
      <c r="B22" s="650"/>
      <c r="C22" s="21"/>
      <c r="D22" s="21"/>
      <c r="E22" s="647">
        <f t="shared" si="0"/>
        <v>0</v>
      </c>
      <c r="F22" s="21"/>
      <c r="G22" s="444"/>
    </row>
    <row r="23" spans="1:7" ht="15" customHeight="1">
      <c r="A23" s="649" t="s">
        <v>200</v>
      </c>
      <c r="B23" s="650"/>
      <c r="C23" s="21"/>
      <c r="D23" s="21"/>
      <c r="E23" s="647">
        <f t="shared" si="0"/>
        <v>0</v>
      </c>
      <c r="F23" s="21"/>
      <c r="G23" s="444"/>
    </row>
    <row r="24" spans="1:7" ht="15" customHeight="1">
      <c r="A24" s="649" t="s">
        <v>201</v>
      </c>
      <c r="B24" s="650"/>
      <c r="C24" s="21"/>
      <c r="D24" s="21"/>
      <c r="E24" s="647">
        <f t="shared" si="0"/>
        <v>0</v>
      </c>
      <c r="F24" s="21"/>
      <c r="G24" s="444"/>
    </row>
    <row r="25" spans="1:7" ht="15" customHeight="1">
      <c r="A25" s="649" t="s">
        <v>202</v>
      </c>
      <c r="B25" s="650"/>
      <c r="C25" s="21"/>
      <c r="D25" s="21"/>
      <c r="E25" s="647">
        <f t="shared" si="0"/>
        <v>0</v>
      </c>
      <c r="F25" s="21"/>
      <c r="G25" s="444"/>
    </row>
    <row r="26" spans="1:7" ht="15" customHeight="1">
      <c r="A26" s="649" t="s">
        <v>203</v>
      </c>
      <c r="B26" s="650"/>
      <c r="C26" s="21"/>
      <c r="D26" s="21"/>
      <c r="E26" s="647">
        <f t="shared" si="0"/>
        <v>0</v>
      </c>
      <c r="F26" s="21"/>
      <c r="G26" s="444"/>
    </row>
    <row r="27" spans="1:7" ht="15" customHeight="1">
      <c r="A27" s="649" t="s">
        <v>204</v>
      </c>
      <c r="B27" s="650"/>
      <c r="C27" s="21"/>
      <c r="D27" s="21"/>
      <c r="E27" s="647">
        <f t="shared" si="0"/>
        <v>0</v>
      </c>
      <c r="F27" s="21"/>
      <c r="G27" s="444"/>
    </row>
    <row r="28" spans="1:7" ht="15" customHeight="1">
      <c r="A28" s="649" t="s">
        <v>205</v>
      </c>
      <c r="B28" s="650"/>
      <c r="C28" s="21"/>
      <c r="D28" s="21"/>
      <c r="E28" s="647">
        <f t="shared" si="0"/>
        <v>0</v>
      </c>
      <c r="F28" s="21"/>
      <c r="G28" s="444"/>
    </row>
    <row r="29" spans="1:7" ht="15" customHeight="1">
      <c r="A29" s="649" t="s">
        <v>206</v>
      </c>
      <c r="B29" s="650"/>
      <c r="C29" s="21"/>
      <c r="D29" s="21"/>
      <c r="E29" s="647">
        <f t="shared" si="0"/>
        <v>0</v>
      </c>
      <c r="F29" s="21"/>
      <c r="G29" s="444"/>
    </row>
    <row r="30" spans="1:7" ht="15" customHeight="1">
      <c r="A30" s="649" t="s">
        <v>207</v>
      </c>
      <c r="B30" s="650"/>
      <c r="C30" s="21"/>
      <c r="D30" s="21"/>
      <c r="E30" s="647">
        <f t="shared" si="0"/>
        <v>0</v>
      </c>
      <c r="F30" s="21"/>
      <c r="G30" s="444"/>
    </row>
    <row r="31" spans="1:7" ht="15" customHeight="1">
      <c r="A31" s="649" t="s">
        <v>208</v>
      </c>
      <c r="B31" s="650"/>
      <c r="C31" s="21"/>
      <c r="D31" s="21"/>
      <c r="E31" s="647">
        <f t="shared" si="0"/>
        <v>0</v>
      </c>
      <c r="F31" s="21"/>
      <c r="G31" s="444"/>
    </row>
    <row r="32" spans="1:7" ht="15" customHeight="1">
      <c r="A32" s="649" t="s">
        <v>209</v>
      </c>
      <c r="B32" s="650"/>
      <c r="C32" s="21"/>
      <c r="D32" s="21"/>
      <c r="E32" s="647">
        <f t="shared" si="0"/>
        <v>0</v>
      </c>
      <c r="F32" s="21"/>
      <c r="G32" s="444"/>
    </row>
    <row r="33" spans="1:7" ht="15" customHeight="1">
      <c r="A33" s="649" t="s">
        <v>210</v>
      </c>
      <c r="B33" s="650"/>
      <c r="C33" s="21"/>
      <c r="D33" s="21"/>
      <c r="E33" s="647">
        <f t="shared" si="0"/>
        <v>0</v>
      </c>
      <c r="F33" s="21"/>
      <c r="G33" s="444"/>
    </row>
    <row r="34" spans="1:7" ht="15" customHeight="1">
      <c r="A34" s="649" t="s">
        <v>211</v>
      </c>
      <c r="B34" s="650"/>
      <c r="C34" s="21"/>
      <c r="D34" s="21"/>
      <c r="E34" s="647">
        <f t="shared" si="0"/>
        <v>0</v>
      </c>
      <c r="F34" s="21"/>
      <c r="G34" s="444"/>
    </row>
    <row r="35" spans="1:7" ht="15" customHeight="1">
      <c r="A35" s="649" t="s">
        <v>212</v>
      </c>
      <c r="B35" s="650"/>
      <c r="C35" s="21"/>
      <c r="D35" s="21"/>
      <c r="E35" s="647">
        <f t="shared" si="0"/>
        <v>0</v>
      </c>
      <c r="F35" s="21"/>
      <c r="G35" s="444"/>
    </row>
    <row r="36" spans="1:7" ht="15" customHeight="1">
      <c r="A36" s="649" t="s">
        <v>213</v>
      </c>
      <c r="B36" s="650"/>
      <c r="C36" s="21"/>
      <c r="D36" s="21"/>
      <c r="E36" s="647">
        <f t="shared" si="0"/>
        <v>0</v>
      </c>
      <c r="F36" s="21"/>
      <c r="G36" s="444"/>
    </row>
    <row r="37" spans="1:7" ht="15" customHeight="1">
      <c r="A37" s="649" t="s">
        <v>763</v>
      </c>
      <c r="B37" s="650"/>
      <c r="C37" s="21"/>
      <c r="D37" s="21"/>
      <c r="E37" s="647">
        <f t="shared" si="0"/>
        <v>0</v>
      </c>
      <c r="F37" s="21"/>
      <c r="G37" s="444"/>
    </row>
    <row r="38" spans="1:7" ht="15" customHeight="1">
      <c r="A38" s="649" t="s">
        <v>764</v>
      </c>
      <c r="B38" s="650"/>
      <c r="C38" s="21"/>
      <c r="D38" s="21"/>
      <c r="E38" s="647">
        <f t="shared" si="0"/>
        <v>0</v>
      </c>
      <c r="F38" s="21"/>
      <c r="G38" s="444"/>
    </row>
    <row r="39" spans="1:7" ht="15" customHeight="1" thickBot="1">
      <c r="A39" s="649" t="s">
        <v>765</v>
      </c>
      <c r="B39" s="651"/>
      <c r="C39" s="22"/>
      <c r="D39" s="22"/>
      <c r="E39" s="647">
        <f t="shared" si="0"/>
        <v>0</v>
      </c>
      <c r="F39" s="22"/>
      <c r="G39" s="652"/>
    </row>
    <row r="40" spans="1:7" ht="15" customHeight="1" thickBot="1">
      <c r="A40" s="942" t="s">
        <v>217</v>
      </c>
      <c r="B40" s="943"/>
      <c r="C40" s="36">
        <f>SUM(C9:C39)</f>
        <v>255468848</v>
      </c>
      <c r="D40" s="36">
        <f>SUM(D9:D39)</f>
        <v>2599602</v>
      </c>
      <c r="E40" s="36">
        <f>SUM(E9:E39)</f>
        <v>252869246</v>
      </c>
      <c r="F40" s="36">
        <f>SUM(F9:F39)</f>
        <v>136720928</v>
      </c>
      <c r="G40" s="37">
        <f>SUM(G9:G39)</f>
        <v>116148318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dőlt"&amp;12 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zoomScale="120" zoomScaleNormal="120" zoomScalePageLayoutView="120" workbookViewId="0" topLeftCell="A1">
      <selection activeCell="G3" sqref="G3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38" customWidth="1"/>
    <col min="7" max="16384" width="9.375" style="31" customWidth="1"/>
  </cols>
  <sheetData>
    <row r="1" spans="2:6" ht="47.25" customHeight="1">
      <c r="B1" s="954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954"/>
      <c r="D1" s="954"/>
      <c r="E1" s="954"/>
      <c r="F1" s="955" t="str">
        <f>CONCATENATE("8. melléklet ",Z_ALAPADATOK!A7," ",Z_ALAPADATOK!B7," ",Z_ALAPADATOK!C7," ",Z_ALAPADATOK!D7," ",Z_ALAPADATOK!E7," ",Z_ALAPADATOK!F7," ",Z_ALAPADATOK!G7," ",Z_ALAPADATOK!H7)</f>
        <v>8. melléklet a … / 2020. ( … ) önkormányzati rendelethez</v>
      </c>
    </row>
    <row r="2" spans="2:6" ht="22.5" customHeight="1" thickBot="1">
      <c r="B2" s="956"/>
      <c r="C2" s="956"/>
      <c r="D2" s="956"/>
      <c r="E2" s="631" t="s">
        <v>7</v>
      </c>
      <c r="F2" s="955"/>
    </row>
    <row r="3" spans="1:6" s="32" customFormat="1" ht="54" customHeight="1" thickBot="1">
      <c r="A3" s="632" t="s">
        <v>19</v>
      </c>
      <c r="B3" s="633" t="s">
        <v>980</v>
      </c>
      <c r="C3" s="634" t="str">
        <f>+CONCATENATE(Z_ALAPADATOK!B1,". évi tervezett támogatás összesen")</f>
        <v>2019. évi tervezett támogatás összesen</v>
      </c>
      <c r="D3" s="634" t="s">
        <v>161</v>
      </c>
      <c r="E3" s="635" t="s">
        <v>981</v>
      </c>
      <c r="F3" s="955"/>
    </row>
    <row r="4" spans="1:6" s="636" customFormat="1" ht="13.5" thickBot="1">
      <c r="A4" s="768" t="s">
        <v>565</v>
      </c>
      <c r="B4" s="769" t="s">
        <v>566</v>
      </c>
      <c r="C4" s="770" t="s">
        <v>567</v>
      </c>
      <c r="D4" s="770" t="s">
        <v>569</v>
      </c>
      <c r="E4" s="771" t="s">
        <v>568</v>
      </c>
      <c r="F4" s="955"/>
    </row>
    <row r="5" spans="1:6" ht="12.75">
      <c r="A5" s="776" t="s">
        <v>88</v>
      </c>
      <c r="B5" s="777" t="s">
        <v>89</v>
      </c>
      <c r="C5" s="778">
        <v>104836200</v>
      </c>
      <c r="D5" s="778">
        <v>104836200</v>
      </c>
      <c r="E5" s="787">
        <v>104836200</v>
      </c>
      <c r="F5" s="955"/>
    </row>
    <row r="6" spans="1:6" ht="12.75" customHeight="1">
      <c r="A6" s="779" t="s">
        <v>90</v>
      </c>
      <c r="B6" s="772" t="s">
        <v>91</v>
      </c>
      <c r="C6" s="773">
        <v>7421440</v>
      </c>
      <c r="D6" s="773">
        <v>7421440</v>
      </c>
      <c r="E6" s="788">
        <v>7421440</v>
      </c>
      <c r="F6" s="955"/>
    </row>
    <row r="7" spans="1:6" ht="12.75">
      <c r="A7" s="779" t="s">
        <v>92</v>
      </c>
      <c r="B7" s="772" t="s">
        <v>93</v>
      </c>
      <c r="C7" s="773">
        <v>10368000</v>
      </c>
      <c r="D7" s="773">
        <v>10368000</v>
      </c>
      <c r="E7" s="788">
        <v>10368000</v>
      </c>
      <c r="F7" s="955"/>
    </row>
    <row r="8" spans="1:6" ht="12.75">
      <c r="A8" s="779" t="s">
        <v>94</v>
      </c>
      <c r="B8" s="772" t="s">
        <v>95</v>
      </c>
      <c r="C8" s="773">
        <v>100000</v>
      </c>
      <c r="D8" s="773">
        <v>100000</v>
      </c>
      <c r="E8" s="788">
        <v>100000</v>
      </c>
      <c r="F8" s="955"/>
    </row>
    <row r="9" spans="1:6" ht="12.75">
      <c r="A9" s="779" t="s">
        <v>96</v>
      </c>
      <c r="B9" s="772" t="s">
        <v>97</v>
      </c>
      <c r="C9" s="773">
        <v>8006290</v>
      </c>
      <c r="D9" s="773">
        <v>8006290</v>
      </c>
      <c r="E9" s="788">
        <v>8006290</v>
      </c>
      <c r="F9" s="955"/>
    </row>
    <row r="10" spans="1:6" ht="12.75">
      <c r="A10" s="779" t="s">
        <v>98</v>
      </c>
      <c r="B10" s="772" t="s">
        <v>99</v>
      </c>
      <c r="C10" s="773">
        <v>13113900</v>
      </c>
      <c r="D10" s="773">
        <v>13113900</v>
      </c>
      <c r="E10" s="788">
        <v>13113900</v>
      </c>
      <c r="F10" s="955"/>
    </row>
    <row r="11" spans="1:6" ht="12.75">
      <c r="A11" s="779" t="s">
        <v>100</v>
      </c>
      <c r="B11" s="772" t="s">
        <v>101</v>
      </c>
      <c r="C11" s="773">
        <v>94350</v>
      </c>
      <c r="D11" s="773">
        <v>94350</v>
      </c>
      <c r="E11" s="788">
        <v>94350</v>
      </c>
      <c r="F11" s="955"/>
    </row>
    <row r="12" spans="1:6" ht="12.75">
      <c r="A12" s="779" t="s">
        <v>102</v>
      </c>
      <c r="B12" s="774" t="s">
        <v>103</v>
      </c>
      <c r="C12" s="773">
        <v>35709068</v>
      </c>
      <c r="D12" s="773">
        <v>39423068</v>
      </c>
      <c r="E12" s="788">
        <v>39423068</v>
      </c>
      <c r="F12" s="955"/>
    </row>
    <row r="13" spans="1:6" ht="12.75" customHeight="1">
      <c r="A13" s="779" t="s">
        <v>104</v>
      </c>
      <c r="B13" s="774" t="s">
        <v>105</v>
      </c>
      <c r="C13" s="773"/>
      <c r="D13" s="773">
        <v>2083146</v>
      </c>
      <c r="E13" s="788">
        <v>2083146</v>
      </c>
      <c r="F13" s="955"/>
    </row>
    <row r="14" spans="1:6" ht="12.75">
      <c r="A14" s="779" t="s">
        <v>106</v>
      </c>
      <c r="B14" s="772" t="s">
        <v>107</v>
      </c>
      <c r="C14" s="773">
        <v>972400</v>
      </c>
      <c r="D14" s="773">
        <v>972400</v>
      </c>
      <c r="E14" s="788">
        <v>972400</v>
      </c>
      <c r="F14" s="955"/>
    </row>
    <row r="15" spans="1:6" ht="12.75">
      <c r="A15" s="779" t="s">
        <v>108</v>
      </c>
      <c r="B15" s="772" t="s">
        <v>109</v>
      </c>
      <c r="C15" s="773">
        <v>75217334</v>
      </c>
      <c r="D15" s="773">
        <v>74269526</v>
      </c>
      <c r="E15" s="788">
        <v>74269526</v>
      </c>
      <c r="F15" s="955"/>
    </row>
    <row r="16" spans="1:6" ht="12.75">
      <c r="A16" s="779" t="s">
        <v>110</v>
      </c>
      <c r="B16" s="772" t="s">
        <v>111</v>
      </c>
      <c r="C16" s="773">
        <v>13798334</v>
      </c>
      <c r="D16" s="773">
        <v>15196200</v>
      </c>
      <c r="E16" s="788">
        <v>15196200</v>
      </c>
      <c r="F16" s="955"/>
    </row>
    <row r="17" spans="1:6" ht="12.75">
      <c r="A17" s="779" t="s">
        <v>112</v>
      </c>
      <c r="B17" s="772" t="s">
        <v>113</v>
      </c>
      <c r="C17" s="773">
        <v>2815000</v>
      </c>
      <c r="D17" s="773">
        <v>2758700</v>
      </c>
      <c r="E17" s="788">
        <v>2758700</v>
      </c>
      <c r="F17" s="955"/>
    </row>
    <row r="18" spans="1:6" ht="12.75">
      <c r="A18" s="779" t="s">
        <v>114</v>
      </c>
      <c r="B18" s="775" t="s">
        <v>115</v>
      </c>
      <c r="C18" s="773"/>
      <c r="D18" s="773">
        <v>3363358</v>
      </c>
      <c r="E18" s="788">
        <v>3363358</v>
      </c>
      <c r="F18" s="955"/>
    </row>
    <row r="19" spans="1:6" ht="12.75">
      <c r="A19" s="779" t="s">
        <v>116</v>
      </c>
      <c r="B19" s="772" t="s">
        <v>117</v>
      </c>
      <c r="C19" s="773">
        <v>38043000</v>
      </c>
      <c r="D19" s="773">
        <v>38043000</v>
      </c>
      <c r="E19" s="788">
        <v>38043000</v>
      </c>
      <c r="F19" s="955"/>
    </row>
    <row r="20" spans="1:6" ht="12.75">
      <c r="A20" s="779" t="s">
        <v>118</v>
      </c>
      <c r="B20" s="772" t="s">
        <v>119</v>
      </c>
      <c r="C20" s="773">
        <v>6089600</v>
      </c>
      <c r="D20" s="773">
        <v>7743200</v>
      </c>
      <c r="E20" s="788">
        <v>7743200</v>
      </c>
      <c r="F20" s="955"/>
    </row>
    <row r="21" spans="1:6" ht="12.75">
      <c r="A21" s="779" t="s">
        <v>120</v>
      </c>
      <c r="B21" s="772" t="s">
        <v>121</v>
      </c>
      <c r="C21" s="773">
        <v>25632000</v>
      </c>
      <c r="D21" s="773">
        <v>25632000</v>
      </c>
      <c r="E21" s="788">
        <v>25632000</v>
      </c>
      <c r="F21" s="955"/>
    </row>
    <row r="22" spans="1:6" ht="12.75">
      <c r="A22" s="779" t="s">
        <v>122</v>
      </c>
      <c r="B22" s="772" t="s">
        <v>123</v>
      </c>
      <c r="C22" s="773">
        <v>11901000</v>
      </c>
      <c r="D22" s="773">
        <v>24849000</v>
      </c>
      <c r="E22" s="788">
        <v>24849000</v>
      </c>
      <c r="F22" s="955"/>
    </row>
    <row r="23" spans="1:6" ht="12.75">
      <c r="A23" s="779" t="s">
        <v>124</v>
      </c>
      <c r="B23" s="772" t="s">
        <v>125</v>
      </c>
      <c r="C23" s="773">
        <v>15827000</v>
      </c>
      <c r="D23" s="773">
        <v>15865000</v>
      </c>
      <c r="E23" s="788">
        <v>15865000</v>
      </c>
      <c r="F23" s="955"/>
    </row>
    <row r="24" spans="1:6" ht="12.75">
      <c r="A24" s="779" t="s">
        <v>126</v>
      </c>
      <c r="B24" s="772" t="s">
        <v>127</v>
      </c>
      <c r="C24" s="773">
        <v>27447632</v>
      </c>
      <c r="D24" s="773">
        <v>28011625</v>
      </c>
      <c r="E24" s="788">
        <v>28011625</v>
      </c>
      <c r="F24" s="955"/>
    </row>
    <row r="25" spans="1:6" s="637" customFormat="1" ht="19.5" customHeight="1">
      <c r="A25" s="779" t="s">
        <v>128</v>
      </c>
      <c r="B25" s="772" t="s">
        <v>129</v>
      </c>
      <c r="C25" s="773">
        <v>3078000</v>
      </c>
      <c r="D25" s="773">
        <v>3653700</v>
      </c>
      <c r="E25" s="788">
        <v>3653700</v>
      </c>
      <c r="F25" s="955"/>
    </row>
    <row r="26" spans="1:5" ht="22.5">
      <c r="A26" s="779" t="s">
        <v>130</v>
      </c>
      <c r="B26" s="772" t="s">
        <v>131</v>
      </c>
      <c r="C26" s="773">
        <v>5986000</v>
      </c>
      <c r="D26" s="773">
        <v>5986000</v>
      </c>
      <c r="E26" s="788">
        <v>5986000</v>
      </c>
    </row>
    <row r="27" spans="1:5" ht="12.75">
      <c r="A27" s="779" t="s">
        <v>132</v>
      </c>
      <c r="B27" s="772" t="s">
        <v>133</v>
      </c>
      <c r="C27" s="773">
        <v>1614000</v>
      </c>
      <c r="D27" s="773">
        <v>1211000</v>
      </c>
      <c r="E27" s="788">
        <v>1211000</v>
      </c>
    </row>
    <row r="28" spans="1:5" ht="12.75">
      <c r="A28" s="779" t="s">
        <v>134</v>
      </c>
      <c r="B28" s="772" t="s">
        <v>135</v>
      </c>
      <c r="C28" s="773">
        <v>5876970</v>
      </c>
      <c r="D28" s="773">
        <v>6161970</v>
      </c>
      <c r="E28" s="788">
        <v>6161970</v>
      </c>
    </row>
    <row r="29" spans="1:5" ht="13.5" thickBot="1">
      <c r="A29" s="780" t="s">
        <v>136</v>
      </c>
      <c r="B29" s="781" t="s">
        <v>137</v>
      </c>
      <c r="C29" s="782"/>
      <c r="D29" s="782">
        <v>597933</v>
      </c>
      <c r="E29" s="789">
        <v>597933</v>
      </c>
    </row>
    <row r="30" spans="1:5" ht="13.5" thickBot="1">
      <c r="A30" s="783"/>
      <c r="B30" s="784" t="s">
        <v>217</v>
      </c>
      <c r="C30" s="785">
        <f>SUM(C5:C29)</f>
        <v>413947518</v>
      </c>
      <c r="D30" s="786">
        <f>SUM(D5:D29)</f>
        <v>439761006</v>
      </c>
      <c r="E30" s="786">
        <f>SUM(E5:E29)</f>
        <v>439761006</v>
      </c>
    </row>
  </sheetData>
  <sheetProtection/>
  <mergeCells count="3">
    <mergeCell ref="B1:E1"/>
    <mergeCell ref="F1:F25"/>
    <mergeCell ref="B2:D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9" t="s">
        <v>681</v>
      </c>
      <c r="B1" s="77"/>
    </row>
    <row r="2" spans="1:2" ht="12.75">
      <c r="A2" s="77"/>
      <c r="B2" s="77"/>
    </row>
    <row r="3" spans="1:2" ht="12.75">
      <c r="A3" s="271"/>
      <c r="B3" s="271"/>
    </row>
    <row r="4" spans="1:2" ht="15.75">
      <c r="A4" s="79"/>
      <c r="B4" s="275"/>
    </row>
    <row r="5" spans="1:2" ht="15.75">
      <c r="A5" s="79"/>
      <c r="B5" s="275"/>
    </row>
    <row r="6" spans="1:2" s="64" customFormat="1" ht="15.75">
      <c r="A6" s="79" t="str">
        <f>CONCATENATE(Z_ALAPADATOK!B1,". évi eredeti előirányzat BEVÉTELEK")</f>
        <v>2019. évi eredeti előirányzat BEVÉTELEK</v>
      </c>
      <c r="B6" s="271"/>
    </row>
    <row r="7" spans="1:2" s="64" customFormat="1" ht="12.75">
      <c r="A7" s="271"/>
      <c r="B7" s="271"/>
    </row>
    <row r="8" spans="1:2" s="64" customFormat="1" ht="12.75">
      <c r="A8" s="271"/>
      <c r="B8" s="271"/>
    </row>
    <row r="9" spans="1:2" ht="12.75">
      <c r="A9" s="271" t="s">
        <v>636</v>
      </c>
      <c r="B9" s="271" t="s">
        <v>605</v>
      </c>
    </row>
    <row r="10" spans="1:2" ht="12.75">
      <c r="A10" s="271" t="s">
        <v>634</v>
      </c>
      <c r="B10" s="271" t="s">
        <v>611</v>
      </c>
    </row>
    <row r="11" spans="1:2" ht="12.75">
      <c r="A11" s="271" t="s">
        <v>635</v>
      </c>
      <c r="B11" s="271" t="s">
        <v>612</v>
      </c>
    </row>
    <row r="12" spans="1:2" ht="12.75">
      <c r="A12" s="271"/>
      <c r="B12" s="271"/>
    </row>
    <row r="13" spans="1:2" ht="15.75">
      <c r="A13" s="79" t="str">
        <f>+CONCATENATE(LEFT(A6,4),". évi módosított előirányzat BEVÉTELEK")</f>
        <v>2019. évi módosított előirányzat BEVÉTELEK</v>
      </c>
      <c r="B13" s="275"/>
    </row>
    <row r="14" spans="1:2" ht="12.75">
      <c r="A14" s="271"/>
      <c r="B14" s="271"/>
    </row>
    <row r="15" spans="1:2" s="64" customFormat="1" ht="12.75">
      <c r="A15" s="271" t="s">
        <v>637</v>
      </c>
      <c r="B15" s="271" t="s">
        <v>606</v>
      </c>
    </row>
    <row r="16" spans="1:2" ht="12.75">
      <c r="A16" s="271" t="s">
        <v>638</v>
      </c>
      <c r="B16" s="271" t="s">
        <v>613</v>
      </c>
    </row>
    <row r="17" spans="1:2" ht="12.75">
      <c r="A17" s="271" t="s">
        <v>639</v>
      </c>
      <c r="B17" s="271" t="s">
        <v>614</v>
      </c>
    </row>
    <row r="18" spans="1:2" ht="12.75">
      <c r="A18" s="271"/>
      <c r="B18" s="271"/>
    </row>
    <row r="19" spans="1:2" ht="14.25">
      <c r="A19" s="278" t="str">
        <f>+CONCATENATE(LEFT(A6,4),".évi teljesített BEVÉTELEK")</f>
        <v>2019.évi teljesített BEVÉTELEK</v>
      </c>
      <c r="B19" s="275"/>
    </row>
    <row r="20" spans="1:2" ht="12.75">
      <c r="A20" s="271"/>
      <c r="B20" s="271"/>
    </row>
    <row r="21" spans="1:2" ht="12.75">
      <c r="A21" s="271" t="s">
        <v>640</v>
      </c>
      <c r="B21" s="271" t="s">
        <v>607</v>
      </c>
    </row>
    <row r="22" spans="1:2" ht="12.75">
      <c r="A22" s="271" t="s">
        <v>641</v>
      </c>
      <c r="B22" s="271" t="s">
        <v>615</v>
      </c>
    </row>
    <row r="23" spans="1:2" ht="12.75">
      <c r="A23" s="271" t="s">
        <v>642</v>
      </c>
      <c r="B23" s="271" t="s">
        <v>616</v>
      </c>
    </row>
    <row r="24" spans="1:2" ht="12.75">
      <c r="A24" s="271"/>
      <c r="B24" s="271"/>
    </row>
    <row r="25" spans="1:2" ht="15.75">
      <c r="A25" s="79" t="str">
        <f>+CONCATENATE(LEFT(A6,4),". évi eredeti előirányzat KIADÁSOK")</f>
        <v>2019. évi eredeti előirányzat KIADÁSOK</v>
      </c>
      <c r="B25" s="275"/>
    </row>
    <row r="26" spans="1:2" ht="12.75">
      <c r="A26" s="271"/>
      <c r="B26" s="271"/>
    </row>
    <row r="27" spans="1:2" ht="12.75">
      <c r="A27" s="271" t="s">
        <v>643</v>
      </c>
      <c r="B27" s="271" t="s">
        <v>608</v>
      </c>
    </row>
    <row r="28" spans="1:2" ht="12.75">
      <c r="A28" s="271" t="s">
        <v>644</v>
      </c>
      <c r="B28" s="271" t="s">
        <v>617</v>
      </c>
    </row>
    <row r="29" spans="1:2" ht="12.75">
      <c r="A29" s="271" t="s">
        <v>645</v>
      </c>
      <c r="B29" s="271" t="s">
        <v>618</v>
      </c>
    </row>
    <row r="30" spans="1:2" ht="12.75">
      <c r="A30" s="271"/>
      <c r="B30" s="271"/>
    </row>
    <row r="31" spans="1:2" ht="15.75">
      <c r="A31" s="79" t="str">
        <f>+CONCATENATE(LEFT(A6,4),". évi módosított előirányzat KIADÁSOK")</f>
        <v>2019. évi módosított előirányzat KIADÁSOK</v>
      </c>
      <c r="B31" s="275"/>
    </row>
    <row r="32" spans="1:2" ht="12.75">
      <c r="A32" s="271"/>
      <c r="B32" s="271"/>
    </row>
    <row r="33" spans="1:2" ht="12.75">
      <c r="A33" s="271" t="s">
        <v>646</v>
      </c>
      <c r="B33" s="271" t="s">
        <v>609</v>
      </c>
    </row>
    <row r="34" spans="1:2" ht="12.75">
      <c r="A34" s="271" t="s">
        <v>647</v>
      </c>
      <c r="B34" s="271" t="s">
        <v>619</v>
      </c>
    </row>
    <row r="35" spans="1:2" ht="12.75">
      <c r="A35" s="271" t="s">
        <v>648</v>
      </c>
      <c r="B35" s="271" t="s">
        <v>620</v>
      </c>
    </row>
    <row r="36" spans="1:2" ht="12.75">
      <c r="A36" s="271"/>
      <c r="B36" s="271"/>
    </row>
    <row r="37" spans="1:2" ht="15.75">
      <c r="A37" s="277" t="str">
        <f>+CONCATENATE(LEFT(A6,4),".évi teljesített KIADÁSOK")</f>
        <v>2019.évi teljesített KIADÁSOK</v>
      </c>
      <c r="B37" s="275"/>
    </row>
    <row r="38" spans="1:2" ht="12.75">
      <c r="A38" s="271"/>
      <c r="B38" s="271"/>
    </row>
    <row r="39" spans="1:2" ht="12.75">
      <c r="A39" s="271" t="s">
        <v>649</v>
      </c>
      <c r="B39" s="271" t="s">
        <v>610</v>
      </c>
    </row>
    <row r="40" spans="1:2" ht="12.75">
      <c r="A40" s="271" t="s">
        <v>650</v>
      </c>
      <c r="B40" s="271" t="s">
        <v>621</v>
      </c>
    </row>
    <row r="41" spans="1:2" ht="12.75">
      <c r="A41" s="271" t="s">
        <v>651</v>
      </c>
      <c r="B41" s="271" t="s">
        <v>622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zoomScale="108" zoomScaleNormal="108" zoomScaleSheetLayoutView="100" workbookViewId="0" topLeftCell="A2">
      <selection activeCell="B157" sqref="B157"/>
    </sheetView>
  </sheetViews>
  <sheetFormatPr defaultColWidth="9.00390625" defaultRowHeight="12.75"/>
  <cols>
    <col min="1" max="1" width="9.00390625" style="152" customWidth="1"/>
    <col min="2" max="2" width="68.875" style="152" customWidth="1"/>
    <col min="3" max="3" width="18.875" style="152" customWidth="1"/>
    <col min="4" max="5" width="18.875" style="153" customWidth="1"/>
    <col min="6" max="16384" width="9.375" style="174" customWidth="1"/>
  </cols>
  <sheetData>
    <row r="1" spans="1:5" ht="15.75">
      <c r="A1" s="860" t="str">
        <f>CONCATENATE("1. tájékoztató tábla ",Z_ALAPADATOK!A7," ",Z_ALAPADATOK!B7," ",Z_ALAPADATOK!C7," ",Z_ALAPADATOK!D7," ",Z_ALAPADATOK!E7," ",Z_ALAPADATOK!F7," ",Z_ALAPADATOK!G7," ",Z_ALAPADATOK!H7)</f>
        <v>1. tájékoztató tábla a … / 2020. ( … ) önkormányzati rendelethez</v>
      </c>
      <c r="B1" s="861"/>
      <c r="C1" s="861"/>
      <c r="D1" s="861"/>
      <c r="E1" s="861"/>
    </row>
    <row r="2" spans="1:5" ht="15.75">
      <c r="A2" s="862" t="str">
        <f>CONCATENATE(Z_ALAPADATOK!A3)</f>
        <v>Elek Város Önkormányzata</v>
      </c>
      <c r="B2" s="863"/>
      <c r="C2" s="863"/>
      <c r="D2" s="863"/>
      <c r="E2" s="863"/>
    </row>
    <row r="3" spans="1:5" ht="15.75">
      <c r="A3" s="862" t="str">
        <f>CONCATENATE(Z_ALAPADATOK!B1,". ÉVI ZÁRSZÁMADÁSÁNAK PÉNZÜGYI MÉRLEGE")</f>
        <v>2019. ÉVI ZÁRSZÁMADÁSÁNAK PÉNZÜGYI MÉRLEGE</v>
      </c>
      <c r="B3" s="863"/>
      <c r="C3" s="863"/>
      <c r="D3" s="863"/>
      <c r="E3" s="863"/>
    </row>
    <row r="4" spans="1:5" ht="15.75" customHeight="1">
      <c r="A4" s="874" t="s">
        <v>183</v>
      </c>
      <c r="B4" s="874"/>
      <c r="C4" s="874"/>
      <c r="D4" s="874"/>
      <c r="E4" s="874"/>
    </row>
    <row r="5" spans="1:5" ht="15.75" customHeight="1" thickBot="1">
      <c r="A5" s="573" t="s">
        <v>280</v>
      </c>
      <c r="B5" s="573"/>
      <c r="C5" s="573"/>
      <c r="D5" s="574"/>
      <c r="E5" s="574" t="s">
        <v>7</v>
      </c>
    </row>
    <row r="6" spans="1:5" ht="15.75" customHeight="1">
      <c r="A6" s="957" t="s">
        <v>231</v>
      </c>
      <c r="B6" s="959" t="s">
        <v>185</v>
      </c>
      <c r="C6" s="961" t="str">
        <f>CONCATENATE(Z_ALAPADATOK!B1-1," évi tény")</f>
        <v>2018 évi tény</v>
      </c>
      <c r="D6" s="963" t="str">
        <f>CONCATENATE(Z_ALAPADATOK!B1,". évi")</f>
        <v>2019. évi</v>
      </c>
      <c r="E6" s="964"/>
    </row>
    <row r="7" spans="1:5" ht="37.5" customHeight="1" thickBot="1">
      <c r="A7" s="958"/>
      <c r="B7" s="960"/>
      <c r="C7" s="962"/>
      <c r="D7" s="575" t="s">
        <v>630</v>
      </c>
      <c r="E7" s="303" t="s">
        <v>625</v>
      </c>
    </row>
    <row r="8" spans="1:5" s="175" customFormat="1" ht="12" customHeight="1" thickBot="1">
      <c r="A8" s="576" t="s">
        <v>565</v>
      </c>
      <c r="B8" s="577" t="s">
        <v>566</v>
      </c>
      <c r="C8" s="577" t="s">
        <v>567</v>
      </c>
      <c r="D8" s="577" t="s">
        <v>568</v>
      </c>
      <c r="E8" s="578" t="s">
        <v>570</v>
      </c>
    </row>
    <row r="9" spans="1:5" s="176" customFormat="1" ht="12" customHeight="1" thickBot="1">
      <c r="A9" s="18" t="s">
        <v>186</v>
      </c>
      <c r="B9" s="361" t="s">
        <v>342</v>
      </c>
      <c r="C9" s="790">
        <f>+C10+C11+C12+C13+C14+C15</f>
        <v>454045276</v>
      </c>
      <c r="D9" s="164">
        <f>+D10+D11+D12+D13+D14+D15</f>
        <v>472195561</v>
      </c>
      <c r="E9" s="100">
        <f>+E10+E11+E12+E13+E14+E15</f>
        <v>472195561</v>
      </c>
    </row>
    <row r="10" spans="1:5" s="176" customFormat="1" ht="12" customHeight="1">
      <c r="A10" s="13" t="s">
        <v>243</v>
      </c>
      <c r="B10" s="362" t="s">
        <v>343</v>
      </c>
      <c r="C10" s="791">
        <v>172166108</v>
      </c>
      <c r="D10" s="166">
        <v>186418794</v>
      </c>
      <c r="E10" s="166">
        <v>186418794</v>
      </c>
    </row>
    <row r="11" spans="1:5" s="176" customFormat="1" ht="12" customHeight="1">
      <c r="A11" s="12" t="s">
        <v>244</v>
      </c>
      <c r="B11" s="363" t="s">
        <v>344</v>
      </c>
      <c r="C11" s="792">
        <v>84813533</v>
      </c>
      <c r="D11" s="165">
        <v>92224426</v>
      </c>
      <c r="E11" s="165">
        <v>92224426</v>
      </c>
    </row>
    <row r="12" spans="1:5" s="176" customFormat="1" ht="12" customHeight="1">
      <c r="A12" s="12" t="s">
        <v>245</v>
      </c>
      <c r="B12" s="363" t="s">
        <v>345</v>
      </c>
      <c r="C12" s="792">
        <v>153059127</v>
      </c>
      <c r="D12" s="165">
        <v>154357883</v>
      </c>
      <c r="E12" s="165">
        <v>154357883</v>
      </c>
    </row>
    <row r="13" spans="1:5" s="176" customFormat="1" ht="12" customHeight="1">
      <c r="A13" s="12" t="s">
        <v>246</v>
      </c>
      <c r="B13" s="363" t="s">
        <v>346</v>
      </c>
      <c r="C13" s="792">
        <v>6481331</v>
      </c>
      <c r="D13" s="165">
        <v>6759903</v>
      </c>
      <c r="E13" s="165">
        <v>6759903</v>
      </c>
    </row>
    <row r="14" spans="1:5" s="176" customFormat="1" ht="12" customHeight="1">
      <c r="A14" s="12" t="s">
        <v>277</v>
      </c>
      <c r="B14" s="363" t="s">
        <v>513</v>
      </c>
      <c r="C14" s="792">
        <v>37525177</v>
      </c>
      <c r="D14" s="165">
        <v>32434555</v>
      </c>
      <c r="E14" s="165">
        <v>32434555</v>
      </c>
    </row>
    <row r="15" spans="1:5" s="176" customFormat="1" ht="12" customHeight="1" thickBot="1">
      <c r="A15" s="14" t="s">
        <v>247</v>
      </c>
      <c r="B15" s="364" t="s">
        <v>514</v>
      </c>
      <c r="C15" s="793"/>
      <c r="D15" s="165"/>
      <c r="E15" s="101"/>
    </row>
    <row r="16" spans="1:5" s="176" customFormat="1" ht="12" customHeight="1" thickBot="1">
      <c r="A16" s="18" t="s">
        <v>187</v>
      </c>
      <c r="B16" s="365" t="s">
        <v>347</v>
      </c>
      <c r="C16" s="790">
        <f>+C17+C18+C19+C20+C21</f>
        <v>290941547</v>
      </c>
      <c r="D16" s="164">
        <f>+D17+D18+D19+D20+D21</f>
        <v>218388896</v>
      </c>
      <c r="E16" s="100">
        <f>+E17+E18+E19+E20+E21</f>
        <v>218388896</v>
      </c>
    </row>
    <row r="17" spans="1:5" s="176" customFormat="1" ht="12" customHeight="1">
      <c r="A17" s="13" t="s">
        <v>249</v>
      </c>
      <c r="B17" s="362" t="s">
        <v>348</v>
      </c>
      <c r="C17" s="794"/>
      <c r="D17" s="166"/>
      <c r="E17" s="102"/>
    </row>
    <row r="18" spans="1:5" s="176" customFormat="1" ht="12" customHeight="1">
      <c r="A18" s="12" t="s">
        <v>250</v>
      </c>
      <c r="B18" s="363" t="s">
        <v>349</v>
      </c>
      <c r="C18" s="795"/>
      <c r="D18" s="165"/>
      <c r="E18" s="101"/>
    </row>
    <row r="19" spans="1:5" s="176" customFormat="1" ht="12" customHeight="1">
      <c r="A19" s="12" t="s">
        <v>251</v>
      </c>
      <c r="B19" s="363" t="s">
        <v>505</v>
      </c>
      <c r="C19" s="795"/>
      <c r="D19" s="165"/>
      <c r="E19" s="101"/>
    </row>
    <row r="20" spans="1:5" s="176" customFormat="1" ht="12" customHeight="1">
      <c r="A20" s="12" t="s">
        <v>252</v>
      </c>
      <c r="B20" s="363" t="s">
        <v>506</v>
      </c>
      <c r="C20" s="795"/>
      <c r="D20" s="165"/>
      <c r="E20" s="101"/>
    </row>
    <row r="21" spans="1:5" s="176" customFormat="1" ht="12" customHeight="1">
      <c r="A21" s="12" t="s">
        <v>253</v>
      </c>
      <c r="B21" s="363" t="s">
        <v>350</v>
      </c>
      <c r="C21" s="795">
        <v>290941547</v>
      </c>
      <c r="D21" s="165">
        <v>218388896</v>
      </c>
      <c r="E21" s="101">
        <v>218388896</v>
      </c>
    </row>
    <row r="22" spans="1:5" s="176" customFormat="1" ht="12" customHeight="1" thickBot="1">
      <c r="A22" s="14" t="s">
        <v>260</v>
      </c>
      <c r="B22" s="364" t="s">
        <v>351</v>
      </c>
      <c r="C22" s="793"/>
      <c r="D22" s="167">
        <v>7910590</v>
      </c>
      <c r="E22" s="738">
        <v>10211730</v>
      </c>
    </row>
    <row r="23" spans="1:5" s="176" customFormat="1" ht="12" customHeight="1" thickBot="1">
      <c r="A23" s="18" t="s">
        <v>188</v>
      </c>
      <c r="B23" s="361" t="s">
        <v>352</v>
      </c>
      <c r="C23" s="790">
        <f>+C24+C25+C26+C27+C28</f>
        <v>157185651</v>
      </c>
      <c r="D23" s="164">
        <f>+D24+D25+D26+D27+D28</f>
        <v>40395785</v>
      </c>
      <c r="E23" s="100">
        <f>+E24+E25+E26+E27+E28</f>
        <v>40395785</v>
      </c>
    </row>
    <row r="24" spans="1:5" s="176" customFormat="1" ht="12" customHeight="1">
      <c r="A24" s="13" t="s">
        <v>232</v>
      </c>
      <c r="B24" s="362" t="s">
        <v>353</v>
      </c>
      <c r="C24" s="791">
        <v>12707500</v>
      </c>
      <c r="D24" s="166">
        <v>9124290</v>
      </c>
      <c r="E24" s="102">
        <v>268000</v>
      </c>
    </row>
    <row r="25" spans="1:5" s="176" customFormat="1" ht="12" customHeight="1">
      <c r="A25" s="12" t="s">
        <v>233</v>
      </c>
      <c r="B25" s="363" t="s">
        <v>354</v>
      </c>
      <c r="C25" s="795"/>
      <c r="D25" s="165"/>
      <c r="E25" s="101"/>
    </row>
    <row r="26" spans="1:5" s="176" customFormat="1" ht="12" customHeight="1">
      <c r="A26" s="12" t="s">
        <v>234</v>
      </c>
      <c r="B26" s="363" t="s">
        <v>507</v>
      </c>
      <c r="C26" s="795"/>
      <c r="D26" s="165"/>
      <c r="E26" s="101"/>
    </row>
    <row r="27" spans="1:5" s="176" customFormat="1" ht="12" customHeight="1">
      <c r="A27" s="12" t="s">
        <v>235</v>
      </c>
      <c r="B27" s="363" t="s">
        <v>508</v>
      </c>
      <c r="C27" s="795"/>
      <c r="D27" s="165"/>
      <c r="E27" s="101"/>
    </row>
    <row r="28" spans="1:5" s="176" customFormat="1" ht="12" customHeight="1">
      <c r="A28" s="12" t="s">
        <v>290</v>
      </c>
      <c r="B28" s="363" t="s">
        <v>355</v>
      </c>
      <c r="C28" s="792">
        <v>144478151</v>
      </c>
      <c r="D28" s="165">
        <v>31271495</v>
      </c>
      <c r="E28" s="101">
        <v>40127785</v>
      </c>
    </row>
    <row r="29" spans="1:5" s="176" customFormat="1" ht="12" customHeight="1" thickBot="1">
      <c r="A29" s="14" t="s">
        <v>291</v>
      </c>
      <c r="B29" s="364" t="s">
        <v>356</v>
      </c>
      <c r="C29" s="796">
        <v>108719276</v>
      </c>
      <c r="D29" s="167"/>
      <c r="E29" s="103"/>
    </row>
    <row r="30" spans="1:5" s="176" customFormat="1" ht="12" customHeight="1" thickBot="1">
      <c r="A30" s="25" t="s">
        <v>292</v>
      </c>
      <c r="B30" s="19" t="s">
        <v>686</v>
      </c>
      <c r="C30" s="797">
        <f>SUM(C31:C37)</f>
        <v>67680135</v>
      </c>
      <c r="D30" s="170">
        <f>SUM(D31:D37)</f>
        <v>74848030</v>
      </c>
      <c r="E30" s="206">
        <f>SUM(E31:E37)</f>
        <v>74848030</v>
      </c>
    </row>
    <row r="31" spans="1:5" s="176" customFormat="1" ht="12" customHeight="1">
      <c r="A31" s="194" t="s">
        <v>357</v>
      </c>
      <c r="B31" s="177" t="s">
        <v>657</v>
      </c>
      <c r="C31" s="791">
        <v>4713164</v>
      </c>
      <c r="D31" s="166">
        <v>4673191</v>
      </c>
      <c r="E31" s="102">
        <v>4673191</v>
      </c>
    </row>
    <row r="32" spans="1:5" s="176" customFormat="1" ht="12" customHeight="1">
      <c r="A32" s="195" t="s">
        <v>358</v>
      </c>
      <c r="B32" s="177" t="s">
        <v>31</v>
      </c>
      <c r="C32" s="792"/>
      <c r="D32" s="165"/>
      <c r="E32" s="101"/>
    </row>
    <row r="33" spans="1:5" s="176" customFormat="1" ht="12" customHeight="1">
      <c r="A33" s="195" t="s">
        <v>359</v>
      </c>
      <c r="B33" s="177" t="s">
        <v>658</v>
      </c>
      <c r="C33" s="792">
        <v>53848194</v>
      </c>
      <c r="D33" s="165">
        <v>59690359</v>
      </c>
      <c r="E33" s="101">
        <v>59690359</v>
      </c>
    </row>
    <row r="34" spans="1:5" s="176" customFormat="1" ht="12" customHeight="1">
      <c r="A34" s="195" t="s">
        <v>360</v>
      </c>
      <c r="B34" s="177" t="s">
        <v>32</v>
      </c>
      <c r="C34" s="792"/>
      <c r="D34" s="165"/>
      <c r="E34" s="101"/>
    </row>
    <row r="35" spans="1:5" s="176" customFormat="1" ht="12" customHeight="1">
      <c r="A35" s="195" t="s">
        <v>660</v>
      </c>
      <c r="B35" s="177" t="s">
        <v>361</v>
      </c>
      <c r="C35" s="792">
        <v>8695430</v>
      </c>
      <c r="D35" s="165">
        <v>9880000</v>
      </c>
      <c r="E35" s="101">
        <v>9880000</v>
      </c>
    </row>
    <row r="36" spans="1:5" s="176" customFormat="1" ht="12" customHeight="1">
      <c r="A36" s="195" t="s">
        <v>661</v>
      </c>
      <c r="B36" s="177" t="s">
        <v>15</v>
      </c>
      <c r="C36" s="792"/>
      <c r="D36" s="165"/>
      <c r="E36" s="101"/>
    </row>
    <row r="37" spans="1:5" s="176" customFormat="1" ht="12" customHeight="1" thickBot="1">
      <c r="A37" s="196" t="s">
        <v>662</v>
      </c>
      <c r="B37" s="177" t="s">
        <v>16</v>
      </c>
      <c r="C37" s="796">
        <v>423347</v>
      </c>
      <c r="D37" s="167">
        <v>604480</v>
      </c>
      <c r="E37" s="103">
        <v>604480</v>
      </c>
    </row>
    <row r="38" spans="1:5" s="176" customFormat="1" ht="12" customHeight="1" thickBot="1">
      <c r="A38" s="18" t="s">
        <v>190</v>
      </c>
      <c r="B38" s="361" t="s">
        <v>687</v>
      </c>
      <c r="C38" s="164">
        <f>SUM(C39:C49)</f>
        <v>120837465</v>
      </c>
      <c r="D38" s="164">
        <f>SUM(D39:D49)</f>
        <v>120803856</v>
      </c>
      <c r="E38" s="100">
        <f>SUM(E39:E49)</f>
        <v>120803858</v>
      </c>
    </row>
    <row r="39" spans="1:5" s="176" customFormat="1" ht="12" customHeight="1">
      <c r="A39" s="13" t="s">
        <v>236</v>
      </c>
      <c r="B39" s="362" t="s">
        <v>364</v>
      </c>
      <c r="C39" s="791">
        <v>25104596</v>
      </c>
      <c r="D39" s="166">
        <v>30976539</v>
      </c>
      <c r="E39" s="102">
        <v>30976539</v>
      </c>
    </row>
    <row r="40" spans="1:5" s="176" customFormat="1" ht="12" customHeight="1">
      <c r="A40" s="12" t="s">
        <v>237</v>
      </c>
      <c r="B40" s="363" t="s">
        <v>365</v>
      </c>
      <c r="C40" s="792">
        <v>8194215</v>
      </c>
      <c r="D40" s="165">
        <v>8738446</v>
      </c>
      <c r="E40" s="101">
        <v>8738446</v>
      </c>
    </row>
    <row r="41" spans="1:5" s="176" customFormat="1" ht="12" customHeight="1">
      <c r="A41" s="12" t="s">
        <v>238</v>
      </c>
      <c r="B41" s="363" t="s">
        <v>366</v>
      </c>
      <c r="C41" s="792">
        <v>14253744</v>
      </c>
      <c r="D41" s="165">
        <v>3272106</v>
      </c>
      <c r="E41" s="101">
        <v>3272106</v>
      </c>
    </row>
    <row r="42" spans="1:5" s="176" customFormat="1" ht="12" customHeight="1">
      <c r="A42" s="12" t="s">
        <v>294</v>
      </c>
      <c r="B42" s="363" t="s">
        <v>367</v>
      </c>
      <c r="C42" s="792">
        <v>15100880</v>
      </c>
      <c r="D42" s="165">
        <v>12631418</v>
      </c>
      <c r="E42" s="101">
        <v>12631418</v>
      </c>
    </row>
    <row r="43" spans="1:5" s="176" customFormat="1" ht="12" customHeight="1">
      <c r="A43" s="12" t="s">
        <v>295</v>
      </c>
      <c r="B43" s="363" t="s">
        <v>368</v>
      </c>
      <c r="C43" s="792">
        <v>39536338</v>
      </c>
      <c r="D43" s="165">
        <v>40850290</v>
      </c>
      <c r="E43" s="101">
        <v>40850290</v>
      </c>
    </row>
    <row r="44" spans="1:5" s="176" customFormat="1" ht="12" customHeight="1">
      <c r="A44" s="12" t="s">
        <v>296</v>
      </c>
      <c r="B44" s="363" t="s">
        <v>369</v>
      </c>
      <c r="C44" s="792">
        <v>16124007</v>
      </c>
      <c r="D44" s="165">
        <v>14377054</v>
      </c>
      <c r="E44" s="101">
        <v>14377054</v>
      </c>
    </row>
    <row r="45" spans="1:5" s="176" customFormat="1" ht="12" customHeight="1">
      <c r="A45" s="12" t="s">
        <v>297</v>
      </c>
      <c r="B45" s="363" t="s">
        <v>370</v>
      </c>
      <c r="C45" s="792">
        <v>1458000</v>
      </c>
      <c r="D45" s="165"/>
      <c r="E45" s="101"/>
    </row>
    <row r="46" spans="1:5" s="176" customFormat="1" ht="12" customHeight="1">
      <c r="A46" s="12" t="s">
        <v>298</v>
      </c>
      <c r="B46" s="363" t="s">
        <v>371</v>
      </c>
      <c r="C46" s="792">
        <v>400</v>
      </c>
      <c r="D46" s="165">
        <v>289</v>
      </c>
      <c r="E46" s="101">
        <v>289</v>
      </c>
    </row>
    <row r="47" spans="1:5" s="176" customFormat="1" ht="12" customHeight="1">
      <c r="A47" s="12" t="s">
        <v>362</v>
      </c>
      <c r="B47" s="363" t="s">
        <v>372</v>
      </c>
      <c r="C47" s="798">
        <v>3500</v>
      </c>
      <c r="D47" s="168">
        <v>7545</v>
      </c>
      <c r="E47" s="104">
        <v>7545</v>
      </c>
    </row>
    <row r="48" spans="1:5" s="176" customFormat="1" ht="12" customHeight="1">
      <c r="A48" s="12" t="s">
        <v>363</v>
      </c>
      <c r="B48" s="363" t="s">
        <v>517</v>
      </c>
      <c r="C48" s="168"/>
      <c r="D48" s="169">
        <v>336109</v>
      </c>
      <c r="E48" s="105">
        <v>336109</v>
      </c>
    </row>
    <row r="49" spans="1:5" s="176" customFormat="1" ht="12" customHeight="1" thickBot="1">
      <c r="A49" s="14" t="s">
        <v>516</v>
      </c>
      <c r="B49" s="364" t="s">
        <v>373</v>
      </c>
      <c r="C49" s="799">
        <v>1061785</v>
      </c>
      <c r="D49" s="169">
        <v>9614060</v>
      </c>
      <c r="E49" s="105">
        <v>9614062</v>
      </c>
    </row>
    <row r="50" spans="1:5" s="176" customFormat="1" ht="12" customHeight="1" thickBot="1">
      <c r="A50" s="18" t="s">
        <v>191</v>
      </c>
      <c r="B50" s="361" t="s">
        <v>374</v>
      </c>
      <c r="C50" s="790">
        <f>SUM(C51:C55)</f>
        <v>3223594</v>
      </c>
      <c r="D50" s="164">
        <f>SUM(D51:D55)</f>
        <v>75248</v>
      </c>
      <c r="E50" s="100">
        <f>SUM(E51:E55)</f>
        <v>75248</v>
      </c>
    </row>
    <row r="51" spans="1:5" s="176" customFormat="1" ht="12" customHeight="1">
      <c r="A51" s="13" t="s">
        <v>239</v>
      </c>
      <c r="B51" s="362" t="s">
        <v>378</v>
      </c>
      <c r="C51" s="800"/>
      <c r="D51" s="217"/>
      <c r="E51" s="106"/>
    </row>
    <row r="52" spans="1:5" s="176" customFormat="1" ht="12" customHeight="1">
      <c r="A52" s="12" t="s">
        <v>240</v>
      </c>
      <c r="B52" s="363" t="s">
        <v>379</v>
      </c>
      <c r="C52" s="798">
        <v>1018869</v>
      </c>
      <c r="D52" s="168">
        <v>59500</v>
      </c>
      <c r="E52" s="104">
        <v>59500</v>
      </c>
    </row>
    <row r="53" spans="1:5" s="176" customFormat="1" ht="12" customHeight="1">
      <c r="A53" s="12" t="s">
        <v>375</v>
      </c>
      <c r="B53" s="363" t="s">
        <v>380</v>
      </c>
      <c r="C53" s="798">
        <v>2204725</v>
      </c>
      <c r="D53" s="168">
        <v>15748</v>
      </c>
      <c r="E53" s="104">
        <v>15748</v>
      </c>
    </row>
    <row r="54" spans="1:5" s="176" customFormat="1" ht="12" customHeight="1">
      <c r="A54" s="12" t="s">
        <v>376</v>
      </c>
      <c r="B54" s="363" t="s">
        <v>381</v>
      </c>
      <c r="C54" s="801"/>
      <c r="D54" s="168"/>
      <c r="E54" s="104"/>
    </row>
    <row r="55" spans="1:5" s="176" customFormat="1" ht="12" customHeight="1" thickBot="1">
      <c r="A55" s="14" t="s">
        <v>377</v>
      </c>
      <c r="B55" s="364" t="s">
        <v>382</v>
      </c>
      <c r="C55" s="802"/>
      <c r="D55" s="169"/>
      <c r="E55" s="105"/>
    </row>
    <row r="56" spans="1:5" s="176" customFormat="1" ht="13.5" thickBot="1">
      <c r="A56" s="18" t="s">
        <v>299</v>
      </c>
      <c r="B56" s="361" t="s">
        <v>383</v>
      </c>
      <c r="C56" s="790">
        <f>SUM(C57:C59)</f>
        <v>15123671</v>
      </c>
      <c r="D56" s="164">
        <f>SUM(D57:D59)</f>
        <v>352510</v>
      </c>
      <c r="E56" s="100">
        <f>SUM(E57:E59)</f>
        <v>352510</v>
      </c>
    </row>
    <row r="57" spans="1:5" s="176" customFormat="1" ht="12.75">
      <c r="A57" s="13" t="s">
        <v>241</v>
      </c>
      <c r="B57" s="362" t="s">
        <v>384</v>
      </c>
      <c r="C57" s="794"/>
      <c r="D57" s="166"/>
      <c r="E57" s="102"/>
    </row>
    <row r="58" spans="1:5" s="176" customFormat="1" ht="14.25" customHeight="1">
      <c r="A58" s="12" t="s">
        <v>242</v>
      </c>
      <c r="B58" s="363" t="s">
        <v>688</v>
      </c>
      <c r="C58" s="795"/>
      <c r="D58" s="165"/>
      <c r="E58" s="101"/>
    </row>
    <row r="59" spans="1:5" s="176" customFormat="1" ht="12.75">
      <c r="A59" s="12" t="s">
        <v>387</v>
      </c>
      <c r="B59" s="363" t="s">
        <v>385</v>
      </c>
      <c r="C59" s="795">
        <v>15123671</v>
      </c>
      <c r="D59" s="165">
        <v>352510</v>
      </c>
      <c r="E59" s="101">
        <v>352510</v>
      </c>
    </row>
    <row r="60" spans="1:5" s="176" customFormat="1" ht="13.5" thickBot="1">
      <c r="A60" s="14" t="s">
        <v>388</v>
      </c>
      <c r="B60" s="364" t="s">
        <v>386</v>
      </c>
      <c r="C60" s="793">
        <v>8029401</v>
      </c>
      <c r="D60" s="167"/>
      <c r="E60" s="103"/>
    </row>
    <row r="61" spans="1:5" s="176" customFormat="1" ht="13.5" thickBot="1">
      <c r="A61" s="18" t="s">
        <v>193</v>
      </c>
      <c r="B61" s="365" t="s">
        <v>389</v>
      </c>
      <c r="C61" s="164">
        <f>SUM(C62:C64)</f>
        <v>0</v>
      </c>
      <c r="D61" s="164">
        <f>SUM(D62:D64)</f>
        <v>28951738</v>
      </c>
      <c r="E61" s="100">
        <f>SUM(E62:E64)</f>
        <v>28951738</v>
      </c>
    </row>
    <row r="62" spans="1:5" s="176" customFormat="1" ht="12.75">
      <c r="A62" s="12" t="s">
        <v>300</v>
      </c>
      <c r="B62" s="362" t="s">
        <v>391</v>
      </c>
      <c r="C62" s="168"/>
      <c r="D62" s="168"/>
      <c r="E62" s="104"/>
    </row>
    <row r="63" spans="1:5" s="176" customFormat="1" ht="12.75" customHeight="1">
      <c r="A63" s="12" t="s">
        <v>301</v>
      </c>
      <c r="B63" s="363" t="s">
        <v>689</v>
      </c>
      <c r="C63" s="168"/>
      <c r="D63" s="168">
        <v>30000</v>
      </c>
      <c r="E63" s="104">
        <v>30000</v>
      </c>
    </row>
    <row r="64" spans="1:5" s="176" customFormat="1" ht="12.75">
      <c r="A64" s="12" t="s">
        <v>324</v>
      </c>
      <c r="B64" s="363" t="s">
        <v>392</v>
      </c>
      <c r="C64" s="168"/>
      <c r="D64" s="168">
        <v>28921738</v>
      </c>
      <c r="E64" s="104">
        <v>28921738</v>
      </c>
    </row>
    <row r="65" spans="1:5" s="176" customFormat="1" ht="13.5" thickBot="1">
      <c r="A65" s="12" t="s">
        <v>390</v>
      </c>
      <c r="B65" s="364" t="s">
        <v>393</v>
      </c>
      <c r="C65" s="168"/>
      <c r="D65" s="168"/>
      <c r="E65" s="104"/>
    </row>
    <row r="66" spans="1:5" s="176" customFormat="1" ht="13.5" thickBot="1">
      <c r="A66" s="18" t="s">
        <v>194</v>
      </c>
      <c r="B66" s="361" t="s">
        <v>394</v>
      </c>
      <c r="C66" s="170">
        <f>+C9+C16+C23+C30+C38+C50+C56+C61</f>
        <v>1109037339</v>
      </c>
      <c r="D66" s="170">
        <f>+D9+D16+D23+D30+D38+D50+D56+D61</f>
        <v>956011624</v>
      </c>
      <c r="E66" s="206">
        <f>+E9+E16+E23+E30+E38+E50+E56+E61</f>
        <v>956011626</v>
      </c>
    </row>
    <row r="67" spans="1:5" s="176" customFormat="1" ht="13.5" thickBot="1">
      <c r="A67" s="218" t="s">
        <v>395</v>
      </c>
      <c r="B67" s="365" t="s">
        <v>690</v>
      </c>
      <c r="C67" s="164">
        <f>SUM(C68:C70)</f>
        <v>0</v>
      </c>
      <c r="D67" s="164">
        <f>SUM(D68:D70)</f>
        <v>0</v>
      </c>
      <c r="E67" s="100">
        <f>SUM(E68:E70)</f>
        <v>0</v>
      </c>
    </row>
    <row r="68" spans="1:5" s="176" customFormat="1" ht="12.75">
      <c r="A68" s="12" t="s">
        <v>424</v>
      </c>
      <c r="B68" s="362" t="s">
        <v>397</v>
      </c>
      <c r="C68" s="168"/>
      <c r="D68" s="168"/>
      <c r="E68" s="104"/>
    </row>
    <row r="69" spans="1:5" s="176" customFormat="1" ht="12.75">
      <c r="A69" s="12" t="s">
        <v>433</v>
      </c>
      <c r="B69" s="363" t="s">
        <v>398</v>
      </c>
      <c r="C69" s="168"/>
      <c r="D69" s="168"/>
      <c r="E69" s="104"/>
    </row>
    <row r="70" spans="1:5" s="176" customFormat="1" ht="13.5" thickBot="1">
      <c r="A70" s="12" t="s">
        <v>434</v>
      </c>
      <c r="B70" s="222" t="s">
        <v>33</v>
      </c>
      <c r="C70" s="168"/>
      <c r="D70" s="168"/>
      <c r="E70" s="104"/>
    </row>
    <row r="71" spans="1:5" s="176" customFormat="1" ht="13.5" thickBot="1">
      <c r="A71" s="218" t="s">
        <v>400</v>
      </c>
      <c r="B71" s="365" t="s">
        <v>401</v>
      </c>
      <c r="C71" s="164">
        <f>SUM(C72:C75)</f>
        <v>0</v>
      </c>
      <c r="D71" s="164">
        <f>SUM(D72:D75)</f>
        <v>0</v>
      </c>
      <c r="E71" s="100">
        <f>SUM(E72:E75)</f>
        <v>0</v>
      </c>
    </row>
    <row r="72" spans="1:5" s="176" customFormat="1" ht="12.75">
      <c r="A72" s="12" t="s">
        <v>278</v>
      </c>
      <c r="B72" s="366" t="s">
        <v>402</v>
      </c>
      <c r="C72" s="168"/>
      <c r="D72" s="168"/>
      <c r="E72" s="104"/>
    </row>
    <row r="73" spans="1:5" s="176" customFormat="1" ht="12.75">
      <c r="A73" s="12" t="s">
        <v>279</v>
      </c>
      <c r="B73" s="366" t="s">
        <v>670</v>
      </c>
      <c r="C73" s="168"/>
      <c r="D73" s="168"/>
      <c r="E73" s="104"/>
    </row>
    <row r="74" spans="1:5" s="176" customFormat="1" ht="12" customHeight="1">
      <c r="A74" s="12" t="s">
        <v>425</v>
      </c>
      <c r="B74" s="366" t="s">
        <v>403</v>
      </c>
      <c r="C74" s="168"/>
      <c r="D74" s="168"/>
      <c r="E74" s="104"/>
    </row>
    <row r="75" spans="1:5" s="176" customFormat="1" ht="12" customHeight="1" thickBot="1">
      <c r="A75" s="12" t="s">
        <v>426</v>
      </c>
      <c r="B75" s="367" t="s">
        <v>671</v>
      </c>
      <c r="C75" s="168"/>
      <c r="D75" s="168"/>
      <c r="E75" s="104"/>
    </row>
    <row r="76" spans="1:5" s="176" customFormat="1" ht="12" customHeight="1" thickBot="1">
      <c r="A76" s="218" t="s">
        <v>404</v>
      </c>
      <c r="B76" s="365" t="s">
        <v>405</v>
      </c>
      <c r="C76" s="164">
        <f>SUM(C77:C78)</f>
        <v>384672609</v>
      </c>
      <c r="D76" s="164">
        <f>SUM(D77:D78)</f>
        <v>429334401</v>
      </c>
      <c r="E76" s="100">
        <f>SUM(E77:E78)</f>
        <v>429334401</v>
      </c>
    </row>
    <row r="77" spans="1:5" s="176" customFormat="1" ht="12" customHeight="1">
      <c r="A77" s="12" t="s">
        <v>427</v>
      </c>
      <c r="B77" s="362" t="s">
        <v>406</v>
      </c>
      <c r="C77" s="798">
        <v>384672609</v>
      </c>
      <c r="D77" s="168">
        <v>429334401</v>
      </c>
      <c r="E77" s="104">
        <v>429334401</v>
      </c>
    </row>
    <row r="78" spans="1:5" s="176" customFormat="1" ht="12" customHeight="1" thickBot="1">
      <c r="A78" s="12" t="s">
        <v>428</v>
      </c>
      <c r="B78" s="364" t="s">
        <v>407</v>
      </c>
      <c r="C78" s="801"/>
      <c r="D78" s="168"/>
      <c r="E78" s="104"/>
    </row>
    <row r="79" spans="1:5" s="176" customFormat="1" ht="12" customHeight="1" thickBot="1">
      <c r="A79" s="218" t="s">
        <v>408</v>
      </c>
      <c r="B79" s="365" t="s">
        <v>409</v>
      </c>
      <c r="C79" s="790">
        <f>SUM(C80:C82)</f>
        <v>15390031</v>
      </c>
      <c r="D79" s="164">
        <f>SUM(D80:D82)</f>
        <v>17273526</v>
      </c>
      <c r="E79" s="100">
        <f>SUM(E80:E82)</f>
        <v>17273526</v>
      </c>
    </row>
    <row r="80" spans="1:5" s="176" customFormat="1" ht="12" customHeight="1">
      <c r="A80" s="12" t="s">
        <v>429</v>
      </c>
      <c r="B80" s="362" t="s">
        <v>410</v>
      </c>
      <c r="C80" s="798">
        <v>15390031</v>
      </c>
      <c r="D80" s="168">
        <v>17273526</v>
      </c>
      <c r="E80" s="104">
        <v>17273526</v>
      </c>
    </row>
    <row r="81" spans="1:5" s="176" customFormat="1" ht="12" customHeight="1">
      <c r="A81" s="12" t="s">
        <v>430</v>
      </c>
      <c r="B81" s="363" t="s">
        <v>411</v>
      </c>
      <c r="C81" s="168"/>
      <c r="D81" s="168"/>
      <c r="E81" s="104"/>
    </row>
    <row r="82" spans="1:5" s="176" customFormat="1" ht="12" customHeight="1" thickBot="1">
      <c r="A82" s="12" t="s">
        <v>431</v>
      </c>
      <c r="B82" s="368" t="s">
        <v>691</v>
      </c>
      <c r="C82" s="168"/>
      <c r="D82" s="168"/>
      <c r="E82" s="104"/>
    </row>
    <row r="83" spans="1:5" s="176" customFormat="1" ht="12" customHeight="1" thickBot="1">
      <c r="A83" s="218" t="s">
        <v>412</v>
      </c>
      <c r="B83" s="365" t="s">
        <v>432</v>
      </c>
      <c r="C83" s="164">
        <f>SUM(C84:C87)</f>
        <v>0</v>
      </c>
      <c r="D83" s="164">
        <f>SUM(D84:D87)</f>
        <v>0</v>
      </c>
      <c r="E83" s="100">
        <f>SUM(E84:E87)</f>
        <v>0</v>
      </c>
    </row>
    <row r="84" spans="1:5" s="176" customFormat="1" ht="12" customHeight="1">
      <c r="A84" s="369" t="s">
        <v>413</v>
      </c>
      <c r="B84" s="362" t="s">
        <v>414</v>
      </c>
      <c r="C84" s="168"/>
      <c r="D84" s="168"/>
      <c r="E84" s="104"/>
    </row>
    <row r="85" spans="1:5" s="176" customFormat="1" ht="12" customHeight="1">
      <c r="A85" s="370" t="s">
        <v>415</v>
      </c>
      <c r="B85" s="363" t="s">
        <v>416</v>
      </c>
      <c r="C85" s="168"/>
      <c r="D85" s="168"/>
      <c r="E85" s="104"/>
    </row>
    <row r="86" spans="1:5" s="176" customFormat="1" ht="12" customHeight="1">
      <c r="A86" s="370" t="s">
        <v>417</v>
      </c>
      <c r="B86" s="363" t="s">
        <v>418</v>
      </c>
      <c r="C86" s="168"/>
      <c r="D86" s="168"/>
      <c r="E86" s="104"/>
    </row>
    <row r="87" spans="1:5" s="176" customFormat="1" ht="12" customHeight="1" thickBot="1">
      <c r="A87" s="371" t="s">
        <v>419</v>
      </c>
      <c r="B87" s="364" t="s">
        <v>420</v>
      </c>
      <c r="C87" s="168"/>
      <c r="D87" s="168"/>
      <c r="E87" s="104"/>
    </row>
    <row r="88" spans="1:5" s="176" customFormat="1" ht="12" customHeight="1" thickBot="1">
      <c r="A88" s="218" t="s">
        <v>421</v>
      </c>
      <c r="B88" s="365" t="s">
        <v>422</v>
      </c>
      <c r="C88" s="220"/>
      <c r="D88" s="220"/>
      <c r="E88" s="221"/>
    </row>
    <row r="89" spans="1:5" s="176" customFormat="1" ht="13.5" customHeight="1" thickBot="1">
      <c r="A89" s="218" t="s">
        <v>423</v>
      </c>
      <c r="B89" s="372" t="s">
        <v>692</v>
      </c>
      <c r="C89" s="170">
        <f>+C67+C71+C76+C79+C83+C88</f>
        <v>400062640</v>
      </c>
      <c r="D89" s="170">
        <f>+D67+D71+D76+D79+D83+D88</f>
        <v>446607927</v>
      </c>
      <c r="E89" s="206">
        <f>+E67+E71+E76+E79+E83+E88</f>
        <v>446607927</v>
      </c>
    </row>
    <row r="90" spans="1:5" s="176" customFormat="1" ht="12" customHeight="1" thickBot="1">
      <c r="A90" s="219" t="s">
        <v>435</v>
      </c>
      <c r="B90" s="373" t="s">
        <v>693</v>
      </c>
      <c r="C90" s="170">
        <f>+C66+C89</f>
        <v>1509099979</v>
      </c>
      <c r="D90" s="170">
        <f>+D66+D89</f>
        <v>1402619551</v>
      </c>
      <c r="E90" s="206">
        <f>+E66+E89</f>
        <v>1402619553</v>
      </c>
    </row>
    <row r="91" spans="1:5" ht="16.5" customHeight="1">
      <c r="A91" s="875" t="s">
        <v>214</v>
      </c>
      <c r="B91" s="875"/>
      <c r="C91" s="875"/>
      <c r="D91" s="875"/>
      <c r="E91" s="875"/>
    </row>
    <row r="92" spans="1:5" s="186" customFormat="1" ht="16.5" customHeight="1" thickBot="1">
      <c r="A92" s="374" t="s">
        <v>281</v>
      </c>
      <c r="B92" s="374"/>
      <c r="C92" s="374"/>
      <c r="D92" s="58"/>
      <c r="E92" s="58" t="str">
        <f>E5</f>
        <v>Forintban!</v>
      </c>
    </row>
    <row r="93" spans="1:5" s="186" customFormat="1" ht="16.5" customHeight="1">
      <c r="A93" s="965" t="s">
        <v>231</v>
      </c>
      <c r="B93" s="871" t="s">
        <v>600</v>
      </c>
      <c r="C93" s="868" t="str">
        <f>+C6</f>
        <v>2018 évi tény</v>
      </c>
      <c r="D93" s="968" t="str">
        <f>+D6</f>
        <v>2019. évi</v>
      </c>
      <c r="E93" s="969"/>
    </row>
    <row r="94" spans="1:5" ht="37.5" customHeight="1" thickBot="1">
      <c r="A94" s="966"/>
      <c r="B94" s="967"/>
      <c r="C94" s="869"/>
      <c r="D94" s="242" t="s">
        <v>630</v>
      </c>
      <c r="E94" s="360" t="s">
        <v>625</v>
      </c>
    </row>
    <row r="95" spans="1:5" s="175" customFormat="1" ht="12" customHeight="1" thickBot="1">
      <c r="A95" s="25" t="s">
        <v>565</v>
      </c>
      <c r="B95" s="26" t="s">
        <v>566</v>
      </c>
      <c r="C95" s="26" t="s">
        <v>567</v>
      </c>
      <c r="D95" s="26" t="s">
        <v>568</v>
      </c>
      <c r="E95" s="375" t="s">
        <v>570</v>
      </c>
    </row>
    <row r="96" spans="1:5" ht="12" customHeight="1" thickBot="1">
      <c r="A96" s="20" t="s">
        <v>186</v>
      </c>
      <c r="B96" s="24" t="s">
        <v>500</v>
      </c>
      <c r="C96" s="803">
        <f>+C97+C98+C99+C100+C101</f>
        <v>904052358</v>
      </c>
      <c r="D96" s="163">
        <f>D97+D98+D99+D100+D101+D114</f>
        <v>1121149455</v>
      </c>
      <c r="E96" s="229">
        <f>E97+E98+E99+E100+E101+E114</f>
        <v>884609672</v>
      </c>
    </row>
    <row r="97" spans="1:5" ht="12" customHeight="1">
      <c r="A97" s="15" t="s">
        <v>243</v>
      </c>
      <c r="B97" s="376" t="s">
        <v>215</v>
      </c>
      <c r="C97" s="808">
        <v>465571401</v>
      </c>
      <c r="D97" s="236">
        <v>485615116</v>
      </c>
      <c r="E97" s="760">
        <v>473595499</v>
      </c>
    </row>
    <row r="98" spans="1:5" ht="12" customHeight="1">
      <c r="A98" s="12" t="s">
        <v>244</v>
      </c>
      <c r="B98" s="377" t="s">
        <v>302</v>
      </c>
      <c r="C98" s="792">
        <v>78265780</v>
      </c>
      <c r="D98" s="165">
        <v>76780550</v>
      </c>
      <c r="E98" s="761">
        <v>76336741</v>
      </c>
    </row>
    <row r="99" spans="1:5" ht="12" customHeight="1">
      <c r="A99" s="12" t="s">
        <v>245</v>
      </c>
      <c r="B99" s="377" t="s">
        <v>270</v>
      </c>
      <c r="C99" s="792">
        <v>298582632</v>
      </c>
      <c r="D99" s="165">
        <v>289462139</v>
      </c>
      <c r="E99" s="761">
        <v>279452279</v>
      </c>
    </row>
    <row r="100" spans="1:5" ht="12" customHeight="1">
      <c r="A100" s="12" t="s">
        <v>246</v>
      </c>
      <c r="B100" s="377" t="s">
        <v>303</v>
      </c>
      <c r="C100" s="792">
        <v>47287074</v>
      </c>
      <c r="D100" s="165">
        <v>40134000</v>
      </c>
      <c r="E100" s="761">
        <v>39842942</v>
      </c>
    </row>
    <row r="101" spans="1:5" ht="12" customHeight="1">
      <c r="A101" s="12" t="s">
        <v>255</v>
      </c>
      <c r="B101" s="377" t="s">
        <v>304</v>
      </c>
      <c r="C101" s="792">
        <v>14345471</v>
      </c>
      <c r="D101" s="165">
        <v>20803826</v>
      </c>
      <c r="E101" s="761">
        <v>15382211</v>
      </c>
    </row>
    <row r="102" spans="1:5" ht="12" customHeight="1">
      <c r="A102" s="12" t="s">
        <v>247</v>
      </c>
      <c r="B102" s="377" t="s">
        <v>523</v>
      </c>
      <c r="C102" s="792">
        <v>7477785</v>
      </c>
      <c r="D102" s="165">
        <v>10252601</v>
      </c>
      <c r="E102" s="761">
        <v>9688721</v>
      </c>
    </row>
    <row r="103" spans="1:5" ht="12" customHeight="1">
      <c r="A103" s="12" t="s">
        <v>248</v>
      </c>
      <c r="B103" s="378" t="s">
        <v>522</v>
      </c>
      <c r="C103" s="792"/>
      <c r="D103" s="165"/>
      <c r="E103" s="761"/>
    </row>
    <row r="104" spans="1:5" ht="12" customHeight="1">
      <c r="A104" s="12" t="s">
        <v>256</v>
      </c>
      <c r="B104" s="377" t="s">
        <v>521</v>
      </c>
      <c r="C104" s="792"/>
      <c r="D104" s="165"/>
      <c r="E104" s="761"/>
    </row>
    <row r="105" spans="1:5" ht="12" customHeight="1">
      <c r="A105" s="12" t="s">
        <v>257</v>
      </c>
      <c r="B105" s="377" t="s">
        <v>438</v>
      </c>
      <c r="C105" s="792"/>
      <c r="D105" s="165"/>
      <c r="E105" s="761"/>
    </row>
    <row r="106" spans="1:5" ht="12" customHeight="1">
      <c r="A106" s="12" t="s">
        <v>258</v>
      </c>
      <c r="B106" s="378" t="s">
        <v>439</v>
      </c>
      <c r="C106" s="792"/>
      <c r="D106" s="165"/>
      <c r="E106" s="761"/>
    </row>
    <row r="107" spans="1:5" ht="12" customHeight="1">
      <c r="A107" s="12" t="s">
        <v>259</v>
      </c>
      <c r="B107" s="378" t="s">
        <v>440</v>
      </c>
      <c r="C107" s="792"/>
      <c r="D107" s="165"/>
      <c r="E107" s="761"/>
    </row>
    <row r="108" spans="1:5" ht="12" customHeight="1">
      <c r="A108" s="12" t="s">
        <v>261</v>
      </c>
      <c r="B108" s="378" t="s">
        <v>441</v>
      </c>
      <c r="C108" s="792">
        <v>4916780</v>
      </c>
      <c r="D108" s="165">
        <v>6077559</v>
      </c>
      <c r="E108" s="761">
        <v>3027559</v>
      </c>
    </row>
    <row r="109" spans="1:5" ht="12" customHeight="1">
      <c r="A109" s="12" t="s">
        <v>305</v>
      </c>
      <c r="B109" s="378" t="s">
        <v>442</v>
      </c>
      <c r="C109" s="792"/>
      <c r="D109" s="165"/>
      <c r="E109" s="761"/>
    </row>
    <row r="110" spans="1:5" ht="12" customHeight="1">
      <c r="A110" s="12" t="s">
        <v>436</v>
      </c>
      <c r="B110" s="378" t="s">
        <v>443</v>
      </c>
      <c r="C110" s="792"/>
      <c r="D110" s="165"/>
      <c r="E110" s="761"/>
    </row>
    <row r="111" spans="1:5" ht="12" customHeight="1">
      <c r="A111" s="12" t="s">
        <v>437</v>
      </c>
      <c r="B111" s="378" t="s">
        <v>444</v>
      </c>
      <c r="C111" s="792"/>
      <c r="D111" s="165"/>
      <c r="E111" s="761"/>
    </row>
    <row r="112" spans="1:5" ht="12" customHeight="1">
      <c r="A112" s="12" t="s">
        <v>519</v>
      </c>
      <c r="B112" s="378" t="s">
        <v>445</v>
      </c>
      <c r="C112" s="165"/>
      <c r="D112" s="165"/>
      <c r="E112" s="761"/>
    </row>
    <row r="113" spans="1:5" ht="12" customHeight="1">
      <c r="A113" s="12" t="s">
        <v>520</v>
      </c>
      <c r="B113" s="377" t="s">
        <v>446</v>
      </c>
      <c r="C113" s="165">
        <v>1950906</v>
      </c>
      <c r="D113" s="165">
        <v>4473666</v>
      </c>
      <c r="E113" s="761">
        <v>2665931</v>
      </c>
    </row>
    <row r="114" spans="1:5" ht="12" customHeight="1">
      <c r="A114" s="12" t="s">
        <v>524</v>
      </c>
      <c r="B114" s="377" t="s">
        <v>216</v>
      </c>
      <c r="C114" s="165"/>
      <c r="D114" s="165">
        <f>SUM(D115:D116)</f>
        <v>208353824</v>
      </c>
      <c r="E114" s="761"/>
    </row>
    <row r="115" spans="1:5" ht="12" customHeight="1" thickBot="1">
      <c r="A115" s="16" t="s">
        <v>525</v>
      </c>
      <c r="B115" s="380" t="s">
        <v>527</v>
      </c>
      <c r="C115" s="237"/>
      <c r="D115" s="237">
        <v>190490983</v>
      </c>
      <c r="E115" s="763"/>
    </row>
    <row r="116" spans="1:5" ht="12" customHeight="1" thickBot="1">
      <c r="A116" s="804" t="s">
        <v>526</v>
      </c>
      <c r="B116" s="805" t="s">
        <v>528</v>
      </c>
      <c r="C116" s="806"/>
      <c r="D116" s="806">
        <v>17862841</v>
      </c>
      <c r="E116" s="807"/>
    </row>
    <row r="117" spans="1:5" ht="12" customHeight="1" thickBot="1">
      <c r="A117" s="18" t="s">
        <v>187</v>
      </c>
      <c r="B117" s="23" t="s">
        <v>34</v>
      </c>
      <c r="C117" s="164">
        <f>+C118+C120+C122</f>
        <v>160574615</v>
      </c>
      <c r="D117" s="164">
        <f>+D118+D120+D122</f>
        <v>266080065</v>
      </c>
      <c r="E117" s="232">
        <f>+E118+E120+E122</f>
        <v>247151002</v>
      </c>
    </row>
    <row r="118" spans="1:5" ht="12" customHeight="1">
      <c r="A118" s="13" t="s">
        <v>249</v>
      </c>
      <c r="B118" s="377" t="s">
        <v>323</v>
      </c>
      <c r="C118" s="794">
        <v>19628795</v>
      </c>
      <c r="D118" s="247">
        <v>55126237</v>
      </c>
      <c r="E118" s="102">
        <v>53887649</v>
      </c>
    </row>
    <row r="119" spans="1:5" ht="12" customHeight="1">
      <c r="A119" s="13" t="s">
        <v>250</v>
      </c>
      <c r="B119" s="379" t="s">
        <v>451</v>
      </c>
      <c r="C119" s="794">
        <v>1938160</v>
      </c>
      <c r="D119" s="247"/>
      <c r="E119" s="102"/>
    </row>
    <row r="120" spans="1:5" ht="15.75">
      <c r="A120" s="13" t="s">
        <v>251</v>
      </c>
      <c r="B120" s="379" t="s">
        <v>306</v>
      </c>
      <c r="C120" s="795">
        <v>136730820</v>
      </c>
      <c r="D120" s="248">
        <v>193774913</v>
      </c>
      <c r="E120" s="101">
        <v>179636348</v>
      </c>
    </row>
    <row r="121" spans="1:5" ht="12" customHeight="1">
      <c r="A121" s="13" t="s">
        <v>252</v>
      </c>
      <c r="B121" s="379" t="s">
        <v>452</v>
      </c>
      <c r="C121" s="795">
        <v>87705120</v>
      </c>
      <c r="D121" s="248">
        <v>120091212</v>
      </c>
      <c r="E121" s="737">
        <v>112293643</v>
      </c>
    </row>
    <row r="122" spans="1:5" ht="12" customHeight="1">
      <c r="A122" s="13" t="s">
        <v>253</v>
      </c>
      <c r="B122" s="364" t="s">
        <v>325</v>
      </c>
      <c r="C122" s="795">
        <v>4215000</v>
      </c>
      <c r="D122" s="248">
        <v>17178915</v>
      </c>
      <c r="E122" s="101">
        <v>13627005</v>
      </c>
    </row>
    <row r="123" spans="1:5" ht="15.75">
      <c r="A123" s="13" t="s">
        <v>260</v>
      </c>
      <c r="B123" s="363" t="s">
        <v>511</v>
      </c>
      <c r="C123" s="165"/>
      <c r="D123" s="248"/>
      <c r="E123" s="101"/>
    </row>
    <row r="124" spans="1:5" ht="15.75">
      <c r="A124" s="13" t="s">
        <v>262</v>
      </c>
      <c r="B124" s="381" t="s">
        <v>457</v>
      </c>
      <c r="C124" s="165"/>
      <c r="D124" s="248"/>
      <c r="E124" s="101"/>
    </row>
    <row r="125" spans="1:5" ht="12" customHeight="1">
      <c r="A125" s="13" t="s">
        <v>307</v>
      </c>
      <c r="B125" s="377" t="s">
        <v>440</v>
      </c>
      <c r="C125" s="165"/>
      <c r="D125" s="248"/>
      <c r="E125" s="101"/>
    </row>
    <row r="126" spans="1:5" ht="12" customHeight="1">
      <c r="A126" s="13" t="s">
        <v>308</v>
      </c>
      <c r="B126" s="377" t="s">
        <v>456</v>
      </c>
      <c r="C126" s="165"/>
      <c r="D126" s="248">
        <v>250000</v>
      </c>
      <c r="E126" s="101">
        <v>250000</v>
      </c>
    </row>
    <row r="127" spans="1:5" ht="12" customHeight="1">
      <c r="A127" s="13" t="s">
        <v>309</v>
      </c>
      <c r="B127" s="377" t="s">
        <v>455</v>
      </c>
      <c r="C127" s="165"/>
      <c r="D127" s="248"/>
      <c r="E127" s="101"/>
    </row>
    <row r="128" spans="1:5" s="382" customFormat="1" ht="12" customHeight="1">
      <c r="A128" s="13" t="s">
        <v>448</v>
      </c>
      <c r="B128" s="377" t="s">
        <v>443</v>
      </c>
      <c r="C128" s="165"/>
      <c r="D128" s="248">
        <v>2378915</v>
      </c>
      <c r="E128" s="101">
        <v>2377005</v>
      </c>
    </row>
    <row r="129" spans="1:5" ht="12" customHeight="1">
      <c r="A129" s="13" t="s">
        <v>449</v>
      </c>
      <c r="B129" s="377" t="s">
        <v>454</v>
      </c>
      <c r="C129" s="165">
        <v>3000000</v>
      </c>
      <c r="D129" s="248">
        <v>11000000</v>
      </c>
      <c r="E129" s="101">
        <v>11000000</v>
      </c>
    </row>
    <row r="130" spans="1:5" ht="12" customHeight="1" thickBot="1">
      <c r="A130" s="11" t="s">
        <v>450</v>
      </c>
      <c r="B130" s="377" t="s">
        <v>453</v>
      </c>
      <c r="C130" s="167">
        <v>1215000</v>
      </c>
      <c r="D130" s="249">
        <v>3550000</v>
      </c>
      <c r="E130" s="103"/>
    </row>
    <row r="131" spans="1:5" ht="12" customHeight="1" thickBot="1">
      <c r="A131" s="18" t="s">
        <v>188</v>
      </c>
      <c r="B131" s="383" t="s">
        <v>529</v>
      </c>
      <c r="C131" s="164">
        <f>+C96+C117</f>
        <v>1064626973</v>
      </c>
      <c r="D131" s="164">
        <f>+D96+D117</f>
        <v>1387229520</v>
      </c>
      <c r="E131" s="100">
        <f>+E96+E117</f>
        <v>1131760674</v>
      </c>
    </row>
    <row r="132" spans="1:5" ht="12" customHeight="1" thickBot="1">
      <c r="A132" s="18" t="s">
        <v>189</v>
      </c>
      <c r="B132" s="383" t="s">
        <v>530</v>
      </c>
      <c r="C132" s="164">
        <f>+C133+C134+C135</f>
        <v>0</v>
      </c>
      <c r="D132" s="164">
        <f>+D133+D134+D135</f>
        <v>0</v>
      </c>
      <c r="E132" s="100">
        <f>+E133+E134+E135</f>
        <v>0</v>
      </c>
    </row>
    <row r="133" spans="1:5" ht="12" customHeight="1">
      <c r="A133" s="13" t="s">
        <v>357</v>
      </c>
      <c r="B133" s="381" t="s">
        <v>584</v>
      </c>
      <c r="C133" s="165"/>
      <c r="D133" s="165"/>
      <c r="E133" s="101"/>
    </row>
    <row r="134" spans="1:5" ht="12" customHeight="1">
      <c r="A134" s="13" t="s">
        <v>358</v>
      </c>
      <c r="B134" s="381" t="s">
        <v>538</v>
      </c>
      <c r="C134" s="165"/>
      <c r="D134" s="165"/>
      <c r="E134" s="101"/>
    </row>
    <row r="135" spans="1:5" ht="12" customHeight="1" thickBot="1">
      <c r="A135" s="11" t="s">
        <v>359</v>
      </c>
      <c r="B135" s="384" t="s">
        <v>583</v>
      </c>
      <c r="C135" s="165"/>
      <c r="D135" s="165"/>
      <c r="E135" s="101"/>
    </row>
    <row r="136" spans="1:5" ht="12" customHeight="1" thickBot="1">
      <c r="A136" s="18" t="s">
        <v>190</v>
      </c>
      <c r="B136" s="383" t="s">
        <v>35</v>
      </c>
      <c r="C136" s="164">
        <f>+C137+C138+C139+C140</f>
        <v>0</v>
      </c>
      <c r="D136" s="164">
        <f>+D137+D138+D139+D140</f>
        <v>0</v>
      </c>
      <c r="E136" s="100">
        <f>+E137+E138+E139+E140</f>
        <v>0</v>
      </c>
    </row>
    <row r="137" spans="1:5" ht="12" customHeight="1">
      <c r="A137" s="13" t="s">
        <v>236</v>
      </c>
      <c r="B137" s="381" t="s">
        <v>540</v>
      </c>
      <c r="C137" s="165"/>
      <c r="D137" s="165"/>
      <c r="E137" s="101"/>
    </row>
    <row r="138" spans="1:5" ht="12" customHeight="1">
      <c r="A138" s="13" t="s">
        <v>237</v>
      </c>
      <c r="B138" s="381" t="s">
        <v>694</v>
      </c>
      <c r="C138" s="165"/>
      <c r="D138" s="165"/>
      <c r="E138" s="101"/>
    </row>
    <row r="139" spans="1:5" ht="12" customHeight="1">
      <c r="A139" s="13" t="s">
        <v>238</v>
      </c>
      <c r="B139" s="381" t="s">
        <v>532</v>
      </c>
      <c r="C139" s="165"/>
      <c r="D139" s="165"/>
      <c r="E139" s="101"/>
    </row>
    <row r="140" spans="1:5" ht="12" customHeight="1" thickBot="1">
      <c r="A140" s="11" t="s">
        <v>294</v>
      </c>
      <c r="B140" s="384" t="s">
        <v>695</v>
      </c>
      <c r="C140" s="165"/>
      <c r="D140" s="165"/>
      <c r="E140" s="101"/>
    </row>
    <row r="141" spans="1:5" ht="12" customHeight="1" thickBot="1">
      <c r="A141" s="18" t="s">
        <v>191</v>
      </c>
      <c r="B141" s="383" t="s">
        <v>544</v>
      </c>
      <c r="C141" s="170">
        <f>+C142+C143+C144+C145</f>
        <v>15138605</v>
      </c>
      <c r="D141" s="170">
        <f>+D142+D143+D144+D145</f>
        <v>15390031</v>
      </c>
      <c r="E141" s="206">
        <f>+E142+E143+E144+E145</f>
        <v>15390031</v>
      </c>
    </row>
    <row r="142" spans="1:5" ht="12" customHeight="1">
      <c r="A142" s="13" t="s">
        <v>239</v>
      </c>
      <c r="B142" s="381" t="s">
        <v>458</v>
      </c>
      <c r="C142" s="165"/>
      <c r="D142" s="165"/>
      <c r="E142" s="101"/>
    </row>
    <row r="143" spans="1:5" ht="12" customHeight="1">
      <c r="A143" s="13" t="s">
        <v>240</v>
      </c>
      <c r="B143" s="381" t="s">
        <v>459</v>
      </c>
      <c r="C143" s="165">
        <v>15138605</v>
      </c>
      <c r="D143" s="165">
        <v>15390031</v>
      </c>
      <c r="E143" s="101">
        <v>15390031</v>
      </c>
    </row>
    <row r="144" spans="1:5" ht="12" customHeight="1">
      <c r="A144" s="13" t="s">
        <v>375</v>
      </c>
      <c r="B144" s="381" t="s">
        <v>696</v>
      </c>
      <c r="C144" s="165"/>
      <c r="D144" s="165"/>
      <c r="E144" s="101"/>
    </row>
    <row r="145" spans="1:5" ht="12" customHeight="1" thickBot="1">
      <c r="A145" s="11" t="s">
        <v>376</v>
      </c>
      <c r="B145" s="384" t="s">
        <v>475</v>
      </c>
      <c r="C145" s="165"/>
      <c r="D145" s="165"/>
      <c r="E145" s="101"/>
    </row>
    <row r="146" spans="1:9" ht="15" customHeight="1" thickBot="1">
      <c r="A146" s="18" t="s">
        <v>192</v>
      </c>
      <c r="B146" s="383" t="s">
        <v>36</v>
      </c>
      <c r="C146" s="239">
        <f>+C147+C148+C149+C150</f>
        <v>0</v>
      </c>
      <c r="D146" s="239">
        <f>+D147+D148+D149+D150</f>
        <v>0</v>
      </c>
      <c r="E146" s="233">
        <f>+E147+E148+E149+E150</f>
        <v>0</v>
      </c>
      <c r="F146" s="187"/>
      <c r="G146" s="188"/>
      <c r="H146" s="188"/>
      <c r="I146" s="188"/>
    </row>
    <row r="147" spans="1:5" s="176" customFormat="1" ht="12.75" customHeight="1">
      <c r="A147" s="13" t="s">
        <v>241</v>
      </c>
      <c r="B147" s="381" t="s">
        <v>697</v>
      </c>
      <c r="C147" s="165"/>
      <c r="D147" s="165"/>
      <c r="E147" s="101"/>
    </row>
    <row r="148" spans="1:5" ht="13.5" customHeight="1">
      <c r="A148" s="13" t="s">
        <v>242</v>
      </c>
      <c r="B148" s="381" t="s">
        <v>698</v>
      </c>
      <c r="C148" s="165"/>
      <c r="D148" s="165"/>
      <c r="E148" s="101"/>
    </row>
    <row r="149" spans="1:5" ht="13.5" customHeight="1">
      <c r="A149" s="13" t="s">
        <v>387</v>
      </c>
      <c r="B149" s="381" t="s">
        <v>699</v>
      </c>
      <c r="C149" s="165"/>
      <c r="D149" s="165"/>
      <c r="E149" s="101"/>
    </row>
    <row r="150" spans="1:5" ht="13.5" customHeight="1">
      <c r="A150" s="13" t="s">
        <v>388</v>
      </c>
      <c r="B150" s="381" t="s">
        <v>549</v>
      </c>
      <c r="C150" s="165"/>
      <c r="D150" s="165"/>
      <c r="E150" s="101"/>
    </row>
    <row r="151" spans="1:5" ht="13.5" customHeight="1" thickBot="1">
      <c r="A151" s="11" t="s">
        <v>37</v>
      </c>
      <c r="B151" s="384" t="s">
        <v>550</v>
      </c>
      <c r="C151" s="716"/>
      <c r="D151" s="716"/>
      <c r="E151" s="717"/>
    </row>
    <row r="152" spans="1:5" ht="13.5" customHeight="1" thickBot="1">
      <c r="A152" s="718" t="s">
        <v>193</v>
      </c>
      <c r="B152" s="719" t="s">
        <v>551</v>
      </c>
      <c r="C152" s="720"/>
      <c r="D152" s="720"/>
      <c r="E152" s="721"/>
    </row>
    <row r="153" spans="1:5" ht="13.5" customHeight="1" thickBot="1">
      <c r="A153" s="718" t="s">
        <v>194</v>
      </c>
      <c r="B153" s="719" t="s">
        <v>552</v>
      </c>
      <c r="C153" s="720"/>
      <c r="D153" s="720"/>
      <c r="E153" s="721"/>
    </row>
    <row r="154" spans="1:5" ht="12.75" customHeight="1" thickBot="1">
      <c r="A154" s="18" t="s">
        <v>195</v>
      </c>
      <c r="B154" s="383" t="s">
        <v>554</v>
      </c>
      <c r="C154" s="241">
        <f>+C132+C136+C141+C146+C152+C153</f>
        <v>15138605</v>
      </c>
      <c r="D154" s="241">
        <f>+D132+D136+D141+D146+D152+D153</f>
        <v>15390031</v>
      </c>
      <c r="E154" s="235">
        <f>+E132+E136+E141+E146+E152+E153</f>
        <v>15390031</v>
      </c>
    </row>
    <row r="155" spans="1:5" ht="13.5" customHeight="1" thickBot="1">
      <c r="A155" s="110" t="s">
        <v>196</v>
      </c>
      <c r="B155" s="385" t="s">
        <v>553</v>
      </c>
      <c r="C155" s="241">
        <f>+C131+C154</f>
        <v>1079765578</v>
      </c>
      <c r="D155" s="241">
        <f>+D131+D154</f>
        <v>1402619551</v>
      </c>
      <c r="E155" s="235">
        <f>+E131+E154</f>
        <v>1147150705</v>
      </c>
    </row>
    <row r="156" spans="3:4" ht="13.5" customHeight="1">
      <c r="C156" s="628"/>
      <c r="D156" s="628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zoomScale="120" zoomScaleNormal="120" workbookViewId="0" topLeftCell="A1">
      <selection activeCell="E6" sqref="E6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82" t="s">
        <v>179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1" ht="14.25" thickBot="1">
      <c r="A2" s="333"/>
      <c r="B2" s="334"/>
      <c r="C2" s="334"/>
      <c r="D2" s="334"/>
      <c r="E2" s="334"/>
      <c r="F2" s="334"/>
      <c r="G2" s="334"/>
      <c r="H2" s="334"/>
      <c r="I2" s="334"/>
      <c r="J2" s="342" t="str">
        <f>'Z_1.tájékoztató_t.'!E5</f>
        <v>Forintban!</v>
      </c>
      <c r="K2" s="881" t="str">
        <f>CONCATENATE("2. tájékoztató tábla ",Z_ALAPADATOK!A7," ",Z_ALAPADATOK!B7," ",Z_ALAPADATOK!C7," ",Z_ALAPADATOK!D7," ",Z_ALAPADATOK!E7," ",Z_ALAPADATOK!F7," ",Z_ALAPADATOK!G7," ",Z_ALAPADATOK!H7)</f>
        <v>2. tájékoztató tábla a … / 2020. ( … ) önkormányzati rendelethez</v>
      </c>
    </row>
    <row r="3" spans="1:11" s="389" customFormat="1" ht="26.25" customHeight="1">
      <c r="A3" s="971" t="s">
        <v>231</v>
      </c>
      <c r="B3" s="973" t="s">
        <v>700</v>
      </c>
      <c r="C3" s="973" t="s">
        <v>701</v>
      </c>
      <c r="D3" s="973" t="s">
        <v>702</v>
      </c>
      <c r="E3" s="973" t="str">
        <f>CONCATENATE(Z_ALAPADATOK!B1,". évi teljesítés")</f>
        <v>2019. évi teljesítés</v>
      </c>
      <c r="F3" s="386" t="s">
        <v>703</v>
      </c>
      <c r="G3" s="387"/>
      <c r="H3" s="387"/>
      <c r="I3" s="388"/>
      <c r="J3" s="976" t="s">
        <v>704</v>
      </c>
      <c r="K3" s="881"/>
    </row>
    <row r="4" spans="1:11" s="393" customFormat="1" ht="32.25" customHeight="1" thickBot="1">
      <c r="A4" s="972"/>
      <c r="B4" s="974"/>
      <c r="C4" s="974"/>
      <c r="D4" s="975"/>
      <c r="E4" s="975"/>
      <c r="F4" s="390" t="str">
        <f>CONCATENATE(Z_ALAPADATOK!B1+1,".")</f>
        <v>2020.</v>
      </c>
      <c r="G4" s="391" t="str">
        <f>CONCATENATE(Z_ALAPADATOK!B1+2,".")</f>
        <v>2021.</v>
      </c>
      <c r="H4" s="391" t="str">
        <f>CONCATENATE(Z_ALAPADATOK!B1+3,".")</f>
        <v>2022.</v>
      </c>
      <c r="I4" s="392" t="str">
        <f>CONCATENATE(Z_ALAPADATOK!B1+3,". után")</f>
        <v>2022. után</v>
      </c>
      <c r="J4" s="977"/>
      <c r="K4" s="881"/>
    </row>
    <row r="5" spans="1:11" s="398" customFormat="1" ht="13.5" customHeight="1" thickBot="1">
      <c r="A5" s="394" t="s">
        <v>565</v>
      </c>
      <c r="B5" s="395" t="s">
        <v>705</v>
      </c>
      <c r="C5" s="396" t="s">
        <v>567</v>
      </c>
      <c r="D5" s="396" t="s">
        <v>569</v>
      </c>
      <c r="E5" s="396" t="s">
        <v>568</v>
      </c>
      <c r="F5" s="396" t="s">
        <v>570</v>
      </c>
      <c r="G5" s="396" t="s">
        <v>571</v>
      </c>
      <c r="H5" s="396" t="s">
        <v>572</v>
      </c>
      <c r="I5" s="396" t="s">
        <v>603</v>
      </c>
      <c r="J5" s="397" t="s">
        <v>706</v>
      </c>
      <c r="K5" s="881"/>
    </row>
    <row r="6" spans="1:11" ht="33.75" customHeight="1">
      <c r="A6" s="399" t="s">
        <v>186</v>
      </c>
      <c r="B6" s="400" t="s">
        <v>707</v>
      </c>
      <c r="C6" s="401"/>
      <c r="D6" s="402">
        <f aca="true" t="shared" si="0" ref="D6:I6">SUM(D7:D8)</f>
        <v>0</v>
      </c>
      <c r="E6" s="402">
        <f t="shared" si="0"/>
        <v>0</v>
      </c>
      <c r="F6" s="402">
        <f t="shared" si="0"/>
        <v>0</v>
      </c>
      <c r="G6" s="402">
        <f t="shared" si="0"/>
        <v>0</v>
      </c>
      <c r="H6" s="402">
        <f t="shared" si="0"/>
        <v>0</v>
      </c>
      <c r="I6" s="403">
        <f t="shared" si="0"/>
        <v>0</v>
      </c>
      <c r="J6" s="404">
        <f aca="true" t="shared" si="1" ref="J6:J20">SUM(F6:I6)</f>
        <v>0</v>
      </c>
      <c r="K6" s="881"/>
    </row>
    <row r="7" spans="1:11" ht="21" customHeight="1">
      <c r="A7" s="405" t="s">
        <v>187</v>
      </c>
      <c r="B7" s="406" t="s">
        <v>708</v>
      </c>
      <c r="C7" s="407"/>
      <c r="D7" s="21"/>
      <c r="E7" s="21"/>
      <c r="F7" s="21"/>
      <c r="G7" s="21"/>
      <c r="H7" s="21"/>
      <c r="I7" s="408"/>
      <c r="J7" s="409">
        <f t="shared" si="1"/>
        <v>0</v>
      </c>
      <c r="K7" s="881"/>
    </row>
    <row r="8" spans="1:11" ht="21" customHeight="1">
      <c r="A8" s="405" t="s">
        <v>188</v>
      </c>
      <c r="B8" s="406" t="s">
        <v>708</v>
      </c>
      <c r="C8" s="407"/>
      <c r="D8" s="21"/>
      <c r="E8" s="21"/>
      <c r="F8" s="21"/>
      <c r="G8" s="21"/>
      <c r="H8" s="21"/>
      <c r="I8" s="408"/>
      <c r="J8" s="409">
        <f t="shared" si="1"/>
        <v>0</v>
      </c>
      <c r="K8" s="881"/>
    </row>
    <row r="9" spans="1:11" ht="33" customHeight="1">
      <c r="A9" s="405" t="s">
        <v>189</v>
      </c>
      <c r="B9" s="410" t="s">
        <v>709</v>
      </c>
      <c r="C9" s="411"/>
      <c r="D9" s="412">
        <f aca="true" t="shared" si="2" ref="D9:I9">SUM(D10:D11)</f>
        <v>0</v>
      </c>
      <c r="E9" s="412">
        <f t="shared" si="2"/>
        <v>0</v>
      </c>
      <c r="F9" s="412">
        <f t="shared" si="2"/>
        <v>0</v>
      </c>
      <c r="G9" s="412">
        <f t="shared" si="2"/>
        <v>0</v>
      </c>
      <c r="H9" s="412">
        <f t="shared" si="2"/>
        <v>0</v>
      </c>
      <c r="I9" s="413">
        <f t="shared" si="2"/>
        <v>0</v>
      </c>
      <c r="J9" s="414">
        <f t="shared" si="1"/>
        <v>0</v>
      </c>
      <c r="K9" s="881"/>
    </row>
    <row r="10" spans="1:11" ht="21" customHeight="1">
      <c r="A10" s="405" t="s">
        <v>190</v>
      </c>
      <c r="B10" s="406" t="s">
        <v>708</v>
      </c>
      <c r="C10" s="407"/>
      <c r="D10" s="21"/>
      <c r="E10" s="21"/>
      <c r="F10" s="21"/>
      <c r="G10" s="21"/>
      <c r="H10" s="21"/>
      <c r="I10" s="408"/>
      <c r="J10" s="409">
        <f t="shared" si="1"/>
        <v>0</v>
      </c>
      <c r="K10" s="881"/>
    </row>
    <row r="11" spans="1:11" ht="18" customHeight="1">
      <c r="A11" s="405" t="s">
        <v>191</v>
      </c>
      <c r="B11" s="406" t="s">
        <v>708</v>
      </c>
      <c r="C11" s="407"/>
      <c r="D11" s="21"/>
      <c r="E11" s="21"/>
      <c r="F11" s="21"/>
      <c r="G11" s="21"/>
      <c r="H11" s="21"/>
      <c r="I11" s="408"/>
      <c r="J11" s="409">
        <f t="shared" si="1"/>
        <v>0</v>
      </c>
      <c r="K11" s="881"/>
    </row>
    <row r="12" spans="1:11" ht="21" customHeight="1">
      <c r="A12" s="405" t="s">
        <v>192</v>
      </c>
      <c r="B12" s="415" t="s">
        <v>710</v>
      </c>
      <c r="C12" s="411"/>
      <c r="D12" s="412">
        <f aca="true" t="shared" si="3" ref="D12:I12">SUM(D13:D13)</f>
        <v>0</v>
      </c>
      <c r="E12" s="412">
        <f t="shared" si="3"/>
        <v>0</v>
      </c>
      <c r="F12" s="412">
        <f t="shared" si="3"/>
        <v>0</v>
      </c>
      <c r="G12" s="412">
        <f t="shared" si="3"/>
        <v>0</v>
      </c>
      <c r="H12" s="412">
        <f t="shared" si="3"/>
        <v>0</v>
      </c>
      <c r="I12" s="413">
        <f t="shared" si="3"/>
        <v>0</v>
      </c>
      <c r="J12" s="414">
        <f t="shared" si="1"/>
        <v>0</v>
      </c>
      <c r="K12" s="881"/>
    </row>
    <row r="13" spans="1:11" ht="21" customHeight="1">
      <c r="A13" s="405" t="s">
        <v>193</v>
      </c>
      <c r="B13" s="406" t="s">
        <v>708</v>
      </c>
      <c r="C13" s="407"/>
      <c r="D13" s="21"/>
      <c r="E13" s="21"/>
      <c r="F13" s="21"/>
      <c r="G13" s="21"/>
      <c r="H13" s="21"/>
      <c r="I13" s="408"/>
      <c r="J13" s="409">
        <f t="shared" si="1"/>
        <v>0</v>
      </c>
      <c r="K13" s="881"/>
    </row>
    <row r="14" spans="1:11" ht="21" customHeight="1">
      <c r="A14" s="405" t="s">
        <v>194</v>
      </c>
      <c r="B14" s="415" t="s">
        <v>711</v>
      </c>
      <c r="C14" s="411"/>
      <c r="D14" s="412">
        <f>SUM(D15:D16)</f>
        <v>125815597</v>
      </c>
      <c r="E14" s="412">
        <f>SUM(E15:E16)</f>
        <v>112293643</v>
      </c>
      <c r="F14" s="412">
        <f>SUM(F15:F16)</f>
        <v>5806175</v>
      </c>
      <c r="G14" s="412">
        <f>SUM(G17:G17)</f>
        <v>0</v>
      </c>
      <c r="H14" s="412">
        <f>SUM(H17:H17)</f>
        <v>0</v>
      </c>
      <c r="I14" s="413">
        <f>SUM(I17:I17)</f>
        <v>0</v>
      </c>
      <c r="J14" s="414">
        <f t="shared" si="1"/>
        <v>5806175</v>
      </c>
      <c r="K14" s="881"/>
    </row>
    <row r="15" spans="1:11" ht="21" customHeight="1">
      <c r="A15" s="405"/>
      <c r="B15" s="809" t="s">
        <v>138</v>
      </c>
      <c r="C15" s="407">
        <v>2018</v>
      </c>
      <c r="D15" s="810">
        <v>56839146</v>
      </c>
      <c r="E15" s="810">
        <v>47527242</v>
      </c>
      <c r="F15" s="810">
        <v>5806175</v>
      </c>
      <c r="G15" s="412"/>
      <c r="H15" s="412"/>
      <c r="I15" s="413"/>
      <c r="J15" s="409">
        <f t="shared" si="1"/>
        <v>5806175</v>
      </c>
      <c r="K15" s="881"/>
    </row>
    <row r="16" spans="1:11" ht="35.25" customHeight="1">
      <c r="A16" s="405"/>
      <c r="B16" s="809" t="s">
        <v>139</v>
      </c>
      <c r="C16" s="407">
        <v>2018</v>
      </c>
      <c r="D16" s="810">
        <v>68976451</v>
      </c>
      <c r="E16" s="810">
        <v>64766401</v>
      </c>
      <c r="F16" s="412"/>
      <c r="G16" s="412"/>
      <c r="H16" s="412"/>
      <c r="I16" s="413"/>
      <c r="J16" s="414"/>
      <c r="K16" s="881"/>
    </row>
    <row r="17" spans="1:11" ht="21" customHeight="1">
      <c r="A17" s="405" t="s">
        <v>195</v>
      </c>
      <c r="B17" s="406" t="s">
        <v>708</v>
      </c>
      <c r="C17" s="407"/>
      <c r="D17" s="21"/>
      <c r="E17" s="21"/>
      <c r="F17" s="21"/>
      <c r="G17" s="21"/>
      <c r="H17" s="21"/>
      <c r="I17" s="408"/>
      <c r="J17" s="409">
        <f t="shared" si="1"/>
        <v>0</v>
      </c>
      <c r="K17" s="881"/>
    </row>
    <row r="18" spans="1:11" ht="21" customHeight="1">
      <c r="A18" s="416" t="s">
        <v>196</v>
      </c>
      <c r="B18" s="417" t="s">
        <v>712</v>
      </c>
      <c r="C18" s="418"/>
      <c r="D18" s="419">
        <f aca="true" t="shared" si="4" ref="D18:I18">SUM(D19:D20)</f>
        <v>0</v>
      </c>
      <c r="E18" s="419">
        <f t="shared" si="4"/>
        <v>0</v>
      </c>
      <c r="F18" s="419">
        <f t="shared" si="4"/>
        <v>0</v>
      </c>
      <c r="G18" s="419">
        <f t="shared" si="4"/>
        <v>0</v>
      </c>
      <c r="H18" s="419">
        <f t="shared" si="4"/>
        <v>0</v>
      </c>
      <c r="I18" s="420">
        <f t="shared" si="4"/>
        <v>0</v>
      </c>
      <c r="J18" s="414">
        <f t="shared" si="1"/>
        <v>0</v>
      </c>
      <c r="K18" s="881"/>
    </row>
    <row r="19" spans="1:11" ht="21" customHeight="1">
      <c r="A19" s="416" t="s">
        <v>197</v>
      </c>
      <c r="B19" s="406" t="s">
        <v>708</v>
      </c>
      <c r="C19" s="407"/>
      <c r="D19" s="21"/>
      <c r="E19" s="21"/>
      <c r="F19" s="21"/>
      <c r="G19" s="21"/>
      <c r="H19" s="21"/>
      <c r="I19" s="408"/>
      <c r="J19" s="409">
        <f t="shared" si="1"/>
        <v>0</v>
      </c>
      <c r="K19" s="881"/>
    </row>
    <row r="20" spans="1:11" ht="21" customHeight="1" thickBot="1">
      <c r="A20" s="416" t="s">
        <v>198</v>
      </c>
      <c r="B20" s="406" t="s">
        <v>708</v>
      </c>
      <c r="C20" s="421"/>
      <c r="D20" s="422"/>
      <c r="E20" s="422"/>
      <c r="F20" s="422"/>
      <c r="G20" s="422"/>
      <c r="H20" s="422"/>
      <c r="I20" s="423"/>
      <c r="J20" s="409">
        <f t="shared" si="1"/>
        <v>0</v>
      </c>
      <c r="K20" s="881"/>
    </row>
    <row r="21" spans="1:11" ht="21" customHeight="1" thickBot="1">
      <c r="A21" s="424" t="s">
        <v>199</v>
      </c>
      <c r="B21" s="425" t="s">
        <v>713</v>
      </c>
      <c r="C21" s="426"/>
      <c r="D21" s="427">
        <f aca="true" t="shared" si="5" ref="D21:J21">D6+D9+D12+D14+D18</f>
        <v>125815597</v>
      </c>
      <c r="E21" s="427">
        <f t="shared" si="5"/>
        <v>112293643</v>
      </c>
      <c r="F21" s="427">
        <f t="shared" si="5"/>
        <v>5806175</v>
      </c>
      <c r="G21" s="427">
        <f t="shared" si="5"/>
        <v>0</v>
      </c>
      <c r="H21" s="427">
        <f t="shared" si="5"/>
        <v>0</v>
      </c>
      <c r="I21" s="428">
        <f t="shared" si="5"/>
        <v>0</v>
      </c>
      <c r="J21" s="429">
        <f t="shared" si="5"/>
        <v>5806175</v>
      </c>
      <c r="K21" s="881"/>
    </row>
  </sheetData>
  <sheetProtection/>
  <mergeCells count="8">
    <mergeCell ref="A1:J1"/>
    <mergeCell ref="K2:K21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779527559055118" bottom="0.7874015748031497" header="0.7874015748031497" footer="0.7874015748031497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82" t="s">
        <v>979</v>
      </c>
      <c r="B1" s="970"/>
      <c r="C1" s="970"/>
      <c r="D1" s="970"/>
      <c r="E1" s="970"/>
      <c r="F1" s="970"/>
      <c r="G1" s="970"/>
      <c r="H1" s="970"/>
    </row>
    <row r="2" spans="1:8" ht="12.75">
      <c r="A2" s="333"/>
      <c r="B2" s="334"/>
      <c r="C2" s="334"/>
      <c r="D2" s="334"/>
      <c r="E2" s="334"/>
      <c r="F2" s="334"/>
      <c r="G2" s="334"/>
      <c r="H2" s="334"/>
    </row>
    <row r="3" spans="1:9" s="430" customFormat="1" ht="15.75" thickBot="1">
      <c r="A3" s="579"/>
      <c r="B3" s="332"/>
      <c r="C3" s="332"/>
      <c r="D3" s="332"/>
      <c r="E3" s="332"/>
      <c r="F3" s="332"/>
      <c r="G3" s="332"/>
      <c r="H3" s="342" t="str">
        <f>'Z_2.tájékoztató_t.'!J2</f>
        <v>Forintban!</v>
      </c>
      <c r="I3" s="978" t="str">
        <f>CONCATENATE("3. tájékoztató tábla ",Z_ALAPADATOK!A7," ",Z_ALAPADATOK!B7," ",Z_ALAPADATOK!C7," ",Z_ALAPADATOK!D7," ",Z_ALAPADATOK!E7," ",Z_ALAPADATOK!F7," ",Z_ALAPADATOK!G7," ",Z_ALAPADATOK!H7)</f>
        <v>3. tájékoztató tábla a … / 2020. ( … ) önkormányzati rendelethez</v>
      </c>
    </row>
    <row r="4" spans="1:9" s="389" customFormat="1" ht="26.25" customHeight="1">
      <c r="A4" s="979" t="s">
        <v>231</v>
      </c>
      <c r="B4" s="981" t="s">
        <v>714</v>
      </c>
      <c r="C4" s="979" t="s">
        <v>715</v>
      </c>
      <c r="D4" s="979" t="s">
        <v>716</v>
      </c>
      <c r="E4" s="983" t="str">
        <f>CONCATENATE("Hitel, kölcsön állomány ",Z_ALAPADATOK!B1,". dec. 31-én")</f>
        <v>Hitel, kölcsön állomány 2019. dec. 31-én</v>
      </c>
      <c r="F4" s="985" t="s">
        <v>717</v>
      </c>
      <c r="G4" s="986"/>
      <c r="H4" s="987" t="str">
        <f>CONCATENATE(G5," után")</f>
        <v>2021. után</v>
      </c>
      <c r="I4" s="978"/>
    </row>
    <row r="5" spans="1:9" s="393" customFormat="1" ht="40.5" customHeight="1" thickBot="1">
      <c r="A5" s="980"/>
      <c r="B5" s="982"/>
      <c r="C5" s="982"/>
      <c r="D5" s="980"/>
      <c r="E5" s="984"/>
      <c r="F5" s="580" t="str">
        <f>'Z_2.tájékoztató_t.'!F4</f>
        <v>2020.</v>
      </c>
      <c r="G5" s="581" t="str">
        <f>'Z_2.tájékoztató_t.'!G4</f>
        <v>2021.</v>
      </c>
      <c r="H5" s="988"/>
      <c r="I5" s="978"/>
    </row>
    <row r="6" spans="1:9" s="431" customFormat="1" ht="12.75" customHeight="1" thickBot="1">
      <c r="A6" s="582" t="s">
        <v>565</v>
      </c>
      <c r="B6" s="583" t="s">
        <v>566</v>
      </c>
      <c r="C6" s="583" t="s">
        <v>567</v>
      </c>
      <c r="D6" s="584" t="s">
        <v>569</v>
      </c>
      <c r="E6" s="582" t="s">
        <v>568</v>
      </c>
      <c r="F6" s="584" t="s">
        <v>570</v>
      </c>
      <c r="G6" s="584" t="s">
        <v>571</v>
      </c>
      <c r="H6" s="307" t="s">
        <v>572</v>
      </c>
      <c r="I6" s="978"/>
    </row>
    <row r="7" spans="1:9" ht="22.5" customHeight="1" thickBot="1">
      <c r="A7" s="432" t="s">
        <v>186</v>
      </c>
      <c r="B7" s="433" t="s">
        <v>718</v>
      </c>
      <c r="C7" s="434"/>
      <c r="D7" s="435"/>
      <c r="E7" s="436">
        <f>SUM(E8:E13)</f>
        <v>2028915</v>
      </c>
      <c r="F7" s="437">
        <f>SUM(F8:F13)</f>
        <v>0</v>
      </c>
      <c r="G7" s="437">
        <f>SUM(G8:G13)</f>
        <v>0</v>
      </c>
      <c r="H7" s="438">
        <f>SUM(H8:H13)</f>
        <v>0</v>
      </c>
      <c r="I7" s="978"/>
    </row>
    <row r="8" spans="1:9" ht="22.5" customHeight="1" thickBot="1">
      <c r="A8" s="439" t="s">
        <v>187</v>
      </c>
      <c r="B8" s="811" t="s">
        <v>140</v>
      </c>
      <c r="C8" s="815">
        <v>2019</v>
      </c>
      <c r="D8" s="813">
        <v>2020</v>
      </c>
      <c r="E8" s="443">
        <v>2028915</v>
      </c>
      <c r="F8" s="21"/>
      <c r="G8" s="21"/>
      <c r="H8" s="444"/>
      <c r="I8" s="978"/>
    </row>
    <row r="9" spans="1:9" ht="22.5" customHeight="1">
      <c r="A9" s="439" t="s">
        <v>188</v>
      </c>
      <c r="B9" s="812"/>
      <c r="C9" s="814"/>
      <c r="D9" s="442"/>
      <c r="E9" s="443"/>
      <c r="F9" s="21"/>
      <c r="G9" s="21"/>
      <c r="H9" s="444"/>
      <c r="I9" s="978"/>
    </row>
    <row r="10" spans="1:9" ht="22.5" customHeight="1">
      <c r="A10" s="439" t="s">
        <v>189</v>
      </c>
      <c r="B10" s="440" t="s">
        <v>708</v>
      </c>
      <c r="C10" s="441"/>
      <c r="D10" s="442"/>
      <c r="E10" s="443"/>
      <c r="F10" s="21"/>
      <c r="G10" s="21"/>
      <c r="H10" s="444"/>
      <c r="I10" s="978"/>
    </row>
    <row r="11" spans="1:9" ht="22.5" customHeight="1">
      <c r="A11" s="439" t="s">
        <v>190</v>
      </c>
      <c r="B11" s="440" t="s">
        <v>708</v>
      </c>
      <c r="C11" s="441"/>
      <c r="D11" s="442"/>
      <c r="E11" s="443"/>
      <c r="F11" s="21"/>
      <c r="G11" s="21"/>
      <c r="H11" s="444"/>
      <c r="I11" s="978"/>
    </row>
    <row r="12" spans="1:9" ht="22.5" customHeight="1">
      <c r="A12" s="439" t="s">
        <v>191</v>
      </c>
      <c r="B12" s="440" t="s">
        <v>708</v>
      </c>
      <c r="C12" s="441"/>
      <c r="D12" s="442"/>
      <c r="E12" s="443"/>
      <c r="F12" s="21"/>
      <c r="G12" s="21"/>
      <c r="H12" s="444"/>
      <c r="I12" s="978"/>
    </row>
    <row r="13" spans="1:9" ht="22.5" customHeight="1" thickBot="1">
      <c r="A13" s="439" t="s">
        <v>192</v>
      </c>
      <c r="B13" s="440" t="s">
        <v>708</v>
      </c>
      <c r="C13" s="441"/>
      <c r="D13" s="442"/>
      <c r="E13" s="443"/>
      <c r="F13" s="21"/>
      <c r="G13" s="21"/>
      <c r="H13" s="444"/>
      <c r="I13" s="978"/>
    </row>
    <row r="14" spans="1:9" ht="22.5" customHeight="1" thickBot="1">
      <c r="A14" s="432" t="s">
        <v>193</v>
      </c>
      <c r="B14" s="433" t="s">
        <v>719</v>
      </c>
      <c r="C14" s="445"/>
      <c r="D14" s="446"/>
      <c r="E14" s="436">
        <f>SUM(E15:E20)</f>
        <v>318090</v>
      </c>
      <c r="F14" s="437">
        <f>SUM(F15:F20)</f>
        <v>188090</v>
      </c>
      <c r="G14" s="437">
        <f>SUM(G15:G20)</f>
        <v>68090</v>
      </c>
      <c r="H14" s="438">
        <f>SUM(H15:H20)</f>
        <v>68090</v>
      </c>
      <c r="I14" s="978"/>
    </row>
    <row r="15" spans="1:9" ht="22.5" customHeight="1">
      <c r="A15" s="439" t="s">
        <v>194</v>
      </c>
      <c r="B15" s="812" t="s">
        <v>141</v>
      </c>
      <c r="C15" s="441">
        <v>2019</v>
      </c>
      <c r="D15" s="442">
        <v>2022</v>
      </c>
      <c r="E15" s="443">
        <v>318090</v>
      </c>
      <c r="F15" s="21">
        <v>188090</v>
      </c>
      <c r="G15" s="21">
        <v>68090</v>
      </c>
      <c r="H15" s="444">
        <v>68090</v>
      </c>
      <c r="I15" s="978"/>
    </row>
    <row r="16" spans="1:9" ht="22.5" customHeight="1">
      <c r="A16" s="439" t="s">
        <v>195</v>
      </c>
      <c r="B16" s="440" t="s">
        <v>708</v>
      </c>
      <c r="C16" s="441"/>
      <c r="D16" s="442"/>
      <c r="E16" s="443"/>
      <c r="F16" s="21"/>
      <c r="G16" s="21"/>
      <c r="H16" s="444"/>
      <c r="I16" s="978"/>
    </row>
    <row r="17" spans="1:9" ht="22.5" customHeight="1">
      <c r="A17" s="439" t="s">
        <v>196</v>
      </c>
      <c r="B17" s="440" t="s">
        <v>708</v>
      </c>
      <c r="C17" s="441"/>
      <c r="D17" s="442"/>
      <c r="E17" s="443"/>
      <c r="F17" s="21"/>
      <c r="G17" s="21"/>
      <c r="H17" s="444"/>
      <c r="I17" s="978"/>
    </row>
    <row r="18" spans="1:9" ht="22.5" customHeight="1">
      <c r="A18" s="439" t="s">
        <v>197</v>
      </c>
      <c r="B18" s="440" t="s">
        <v>708</v>
      </c>
      <c r="C18" s="441"/>
      <c r="D18" s="442"/>
      <c r="E18" s="443"/>
      <c r="F18" s="21"/>
      <c r="G18" s="21"/>
      <c r="H18" s="444"/>
      <c r="I18" s="978"/>
    </row>
    <row r="19" spans="1:9" ht="22.5" customHeight="1">
      <c r="A19" s="439" t="s">
        <v>198</v>
      </c>
      <c r="B19" s="440" t="s">
        <v>708</v>
      </c>
      <c r="C19" s="441"/>
      <c r="D19" s="442"/>
      <c r="E19" s="443"/>
      <c r="F19" s="21"/>
      <c r="G19" s="21"/>
      <c r="H19" s="444"/>
      <c r="I19" s="978"/>
    </row>
    <row r="20" spans="1:9" ht="22.5" customHeight="1" thickBot="1">
      <c r="A20" s="439" t="s">
        <v>199</v>
      </c>
      <c r="B20" s="440" t="s">
        <v>708</v>
      </c>
      <c r="C20" s="441"/>
      <c r="D20" s="442"/>
      <c r="E20" s="443"/>
      <c r="F20" s="21"/>
      <c r="G20" s="21"/>
      <c r="H20" s="444"/>
      <c r="I20" s="978"/>
    </row>
    <row r="21" spans="1:9" ht="22.5" customHeight="1" thickBot="1">
      <c r="A21" s="432" t="s">
        <v>200</v>
      </c>
      <c r="B21" s="433" t="s">
        <v>720</v>
      </c>
      <c r="C21" s="434"/>
      <c r="D21" s="435"/>
      <c r="E21" s="436">
        <f>E7+E14</f>
        <v>2347005</v>
      </c>
      <c r="F21" s="437">
        <f>F7+F14</f>
        <v>188090</v>
      </c>
      <c r="G21" s="437">
        <f>G7+G14</f>
        <v>68090</v>
      </c>
      <c r="H21" s="438">
        <f>H7+H14</f>
        <v>68090</v>
      </c>
      <c r="I21" s="978"/>
    </row>
    <row r="22" ht="19.5" customHeight="1"/>
  </sheetData>
  <sheetProtection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4">
      <selection activeCell="C12" sqref="C1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1010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1011"/>
      <c r="C1" s="1011"/>
      <c r="D1" s="1011"/>
      <c r="E1" s="1011"/>
      <c r="F1" s="1011"/>
      <c r="G1" s="1011"/>
      <c r="H1" s="1011"/>
      <c r="I1" s="1011"/>
      <c r="J1" s="978" t="str">
        <f>CONCATENATE("4. tájékoztató tábla ",Z_ALAPADATOK!A7," ",Z_ALAPADATOK!B7," ",Z_ALAPADATOK!C7," ",Z_ALAPADATOK!D7," ",Z_ALAPADATOK!E7," ",Z_ALAPADATOK!F7," ",Z_ALAPADATOK!G7," ",Z_ALAPADATOK!H7)</f>
        <v>4. tájékoztató tábla a … / 2020. ( … ) önkormányzati rendelethez</v>
      </c>
    </row>
    <row r="2" spans="1:10" ht="14.25" thickBot="1">
      <c r="A2" s="65"/>
      <c r="B2" s="65"/>
      <c r="C2" s="65"/>
      <c r="D2" s="65"/>
      <c r="E2" s="65"/>
      <c r="F2" s="65"/>
      <c r="G2" s="65"/>
      <c r="H2" s="989" t="str">
        <f>'Z_3.tájékoztató_t.'!H3</f>
        <v>Forintban!</v>
      </c>
      <c r="I2" s="989"/>
      <c r="J2" s="978"/>
    </row>
    <row r="3" spans="1:10" ht="13.5" thickBot="1">
      <c r="A3" s="990" t="s">
        <v>184</v>
      </c>
      <c r="B3" s="992" t="s">
        <v>721</v>
      </c>
      <c r="C3" s="994" t="s">
        <v>722</v>
      </c>
      <c r="D3" s="996" t="s">
        <v>723</v>
      </c>
      <c r="E3" s="997"/>
      <c r="F3" s="997"/>
      <c r="G3" s="997"/>
      <c r="H3" s="997"/>
      <c r="I3" s="998" t="s">
        <v>29</v>
      </c>
      <c r="J3" s="978"/>
    </row>
    <row r="4" spans="1:10" s="43" customFormat="1" ht="42" customHeight="1" thickBot="1">
      <c r="A4" s="991"/>
      <c r="B4" s="993"/>
      <c r="C4" s="995"/>
      <c r="D4" s="325" t="s">
        <v>724</v>
      </c>
      <c r="E4" s="325" t="s">
        <v>725</v>
      </c>
      <c r="F4" s="325" t="s">
        <v>726</v>
      </c>
      <c r="G4" s="585" t="s">
        <v>727</v>
      </c>
      <c r="H4" s="585" t="s">
        <v>728</v>
      </c>
      <c r="I4" s="999"/>
      <c r="J4" s="978"/>
    </row>
    <row r="5" spans="1:10" s="43" customFormat="1" ht="12" customHeight="1" thickBot="1">
      <c r="A5" s="356" t="s">
        <v>565</v>
      </c>
      <c r="B5" s="357" t="s">
        <v>566</v>
      </c>
      <c r="C5" s="357" t="s">
        <v>567</v>
      </c>
      <c r="D5" s="357" t="s">
        <v>569</v>
      </c>
      <c r="E5" s="357" t="s">
        <v>568</v>
      </c>
      <c r="F5" s="357" t="s">
        <v>570</v>
      </c>
      <c r="G5" s="357" t="s">
        <v>571</v>
      </c>
      <c r="H5" s="357" t="s">
        <v>729</v>
      </c>
      <c r="I5" s="359" t="s">
        <v>730</v>
      </c>
      <c r="J5" s="978"/>
    </row>
    <row r="6" spans="1:10" s="43" customFormat="1" ht="18" customHeight="1">
      <c r="A6" s="1000" t="s">
        <v>731</v>
      </c>
      <c r="B6" s="1001"/>
      <c r="C6" s="1001"/>
      <c r="D6" s="1001"/>
      <c r="E6" s="1001"/>
      <c r="F6" s="1001"/>
      <c r="G6" s="1001"/>
      <c r="H6" s="1001"/>
      <c r="I6" s="1002"/>
      <c r="J6" s="978"/>
    </row>
    <row r="7" spans="1:10" ht="15.75" customHeight="1">
      <c r="A7" s="94" t="s">
        <v>186</v>
      </c>
      <c r="B7" s="75" t="s">
        <v>732</v>
      </c>
      <c r="C7" s="66"/>
      <c r="D7" s="66"/>
      <c r="E7" s="66"/>
      <c r="F7" s="66"/>
      <c r="G7" s="447"/>
      <c r="H7" s="448">
        <f aca="true" t="shared" si="0" ref="H7:H13">SUM(D7:G7)</f>
        <v>0</v>
      </c>
      <c r="I7" s="95">
        <f aca="true" t="shared" si="1" ref="I7:I13">C7+H7</f>
        <v>0</v>
      </c>
      <c r="J7" s="978"/>
    </row>
    <row r="8" spans="1:10" ht="22.5">
      <c r="A8" s="94" t="s">
        <v>187</v>
      </c>
      <c r="B8" s="75" t="s">
        <v>317</v>
      </c>
      <c r="C8" s="66">
        <v>17273526</v>
      </c>
      <c r="D8" s="66"/>
      <c r="E8" s="66"/>
      <c r="F8" s="66"/>
      <c r="G8" s="447"/>
      <c r="H8" s="448">
        <f t="shared" si="0"/>
        <v>0</v>
      </c>
      <c r="I8" s="95">
        <f t="shared" si="1"/>
        <v>17273526</v>
      </c>
      <c r="J8" s="978"/>
    </row>
    <row r="9" spans="1:10" ht="22.5">
      <c r="A9" s="94" t="s">
        <v>188</v>
      </c>
      <c r="B9" s="75" t="s">
        <v>318</v>
      </c>
      <c r="C9" s="66"/>
      <c r="D9" s="66"/>
      <c r="E9" s="66"/>
      <c r="F9" s="66"/>
      <c r="G9" s="447"/>
      <c r="H9" s="448">
        <f t="shared" si="0"/>
        <v>0</v>
      </c>
      <c r="I9" s="95">
        <f t="shared" si="1"/>
        <v>0</v>
      </c>
      <c r="J9" s="978"/>
    </row>
    <row r="10" spans="1:10" ht="15.75" customHeight="1">
      <c r="A10" s="94" t="s">
        <v>189</v>
      </c>
      <c r="B10" s="75" t="s">
        <v>319</v>
      </c>
      <c r="C10" s="66"/>
      <c r="D10" s="66"/>
      <c r="E10" s="66"/>
      <c r="F10" s="66"/>
      <c r="G10" s="447"/>
      <c r="H10" s="448">
        <f t="shared" si="0"/>
        <v>0</v>
      </c>
      <c r="I10" s="95">
        <f t="shared" si="1"/>
        <v>0</v>
      </c>
      <c r="J10" s="978"/>
    </row>
    <row r="11" spans="1:10" ht="22.5">
      <c r="A11" s="94" t="s">
        <v>190</v>
      </c>
      <c r="B11" s="75" t="s">
        <v>320</v>
      </c>
      <c r="C11" s="66"/>
      <c r="D11" s="66"/>
      <c r="E11" s="66"/>
      <c r="F11" s="66"/>
      <c r="G11" s="447"/>
      <c r="H11" s="448">
        <f t="shared" si="0"/>
        <v>0</v>
      </c>
      <c r="I11" s="95">
        <f t="shared" si="1"/>
        <v>0</v>
      </c>
      <c r="J11" s="978"/>
    </row>
    <row r="12" spans="1:10" ht="15.75" customHeight="1">
      <c r="A12" s="96" t="s">
        <v>191</v>
      </c>
      <c r="B12" s="97" t="s">
        <v>733</v>
      </c>
      <c r="C12" s="67">
        <v>3592281</v>
      </c>
      <c r="D12" s="67">
        <v>193728</v>
      </c>
      <c r="E12" s="67"/>
      <c r="F12" s="67"/>
      <c r="G12" s="449"/>
      <c r="H12" s="448">
        <f t="shared" si="0"/>
        <v>193728</v>
      </c>
      <c r="I12" s="95">
        <f t="shared" si="1"/>
        <v>3786009</v>
      </c>
      <c r="J12" s="978"/>
    </row>
    <row r="13" spans="1:10" ht="15.75" customHeight="1" thickBot="1">
      <c r="A13" s="450" t="s">
        <v>192</v>
      </c>
      <c r="B13" s="451" t="s">
        <v>734</v>
      </c>
      <c r="C13" s="452">
        <v>7268700</v>
      </c>
      <c r="D13" s="452"/>
      <c r="E13" s="452"/>
      <c r="F13" s="452"/>
      <c r="G13" s="453"/>
      <c r="H13" s="448">
        <f t="shared" si="0"/>
        <v>0</v>
      </c>
      <c r="I13" s="95">
        <f t="shared" si="1"/>
        <v>7268700</v>
      </c>
      <c r="J13" s="978"/>
    </row>
    <row r="14" spans="1:10" s="68" customFormat="1" ht="18" customHeight="1" thickBot="1">
      <c r="A14" s="1003" t="s">
        <v>735</v>
      </c>
      <c r="B14" s="1004"/>
      <c r="C14" s="98">
        <f aca="true" t="shared" si="2" ref="C14:I14">SUM(C7:C13)</f>
        <v>28134507</v>
      </c>
      <c r="D14" s="98">
        <f>SUM(D7:D13)</f>
        <v>193728</v>
      </c>
      <c r="E14" s="98">
        <f t="shared" si="2"/>
        <v>0</v>
      </c>
      <c r="F14" s="98">
        <f t="shared" si="2"/>
        <v>0</v>
      </c>
      <c r="G14" s="454">
        <f t="shared" si="2"/>
        <v>0</v>
      </c>
      <c r="H14" s="454">
        <f t="shared" si="2"/>
        <v>193728</v>
      </c>
      <c r="I14" s="99">
        <f t="shared" si="2"/>
        <v>28328235</v>
      </c>
      <c r="J14" s="978"/>
    </row>
    <row r="15" spans="1:10" s="65" customFormat="1" ht="18" customHeight="1">
      <c r="A15" s="1005" t="s">
        <v>736</v>
      </c>
      <c r="B15" s="1006"/>
      <c r="C15" s="1006"/>
      <c r="D15" s="1006"/>
      <c r="E15" s="1006"/>
      <c r="F15" s="1006"/>
      <c r="G15" s="1006"/>
      <c r="H15" s="1006"/>
      <c r="I15" s="1007"/>
      <c r="J15" s="978"/>
    </row>
    <row r="16" spans="1:10" s="65" customFormat="1" ht="12.75">
      <c r="A16" s="94" t="s">
        <v>186</v>
      </c>
      <c r="B16" s="75" t="s">
        <v>737</v>
      </c>
      <c r="C16" s="66"/>
      <c r="D16" s="66"/>
      <c r="E16" s="66"/>
      <c r="F16" s="66"/>
      <c r="G16" s="447"/>
      <c r="H16" s="448">
        <f>SUM(D16:G16)</f>
        <v>0</v>
      </c>
      <c r="I16" s="95">
        <f>C16+H16</f>
        <v>0</v>
      </c>
      <c r="J16" s="978"/>
    </row>
    <row r="17" spans="1:10" ht="13.5" thickBot="1">
      <c r="A17" s="450" t="s">
        <v>187</v>
      </c>
      <c r="B17" s="451" t="s">
        <v>734</v>
      </c>
      <c r="C17" s="452"/>
      <c r="D17" s="452"/>
      <c r="E17" s="452"/>
      <c r="F17" s="452"/>
      <c r="G17" s="453"/>
      <c r="H17" s="448">
        <f>SUM(D17:G17)</f>
        <v>0</v>
      </c>
      <c r="I17" s="455">
        <f>C17+H17</f>
        <v>0</v>
      </c>
      <c r="J17" s="978"/>
    </row>
    <row r="18" spans="1:10" ht="15.75" customHeight="1" thickBot="1">
      <c r="A18" s="1003" t="s">
        <v>738</v>
      </c>
      <c r="B18" s="1004"/>
      <c r="C18" s="98">
        <f aca="true" t="shared" si="3" ref="C18:I18">SUM(C16:C17)</f>
        <v>0</v>
      </c>
      <c r="D18" s="98">
        <f t="shared" si="3"/>
        <v>0</v>
      </c>
      <c r="E18" s="98">
        <f t="shared" si="3"/>
        <v>0</v>
      </c>
      <c r="F18" s="98">
        <f t="shared" si="3"/>
        <v>0</v>
      </c>
      <c r="G18" s="454">
        <f t="shared" si="3"/>
        <v>0</v>
      </c>
      <c r="H18" s="454">
        <f t="shared" si="3"/>
        <v>0</v>
      </c>
      <c r="I18" s="99">
        <f t="shared" si="3"/>
        <v>0</v>
      </c>
      <c r="J18" s="978"/>
    </row>
    <row r="19" spans="1:10" ht="18" customHeight="1" thickBot="1">
      <c r="A19" s="1008" t="s">
        <v>739</v>
      </c>
      <c r="B19" s="1009"/>
      <c r="C19" s="456">
        <f aca="true" t="shared" si="4" ref="C19:I19">C14+C18</f>
        <v>28134507</v>
      </c>
      <c r="D19" s="456">
        <f t="shared" si="4"/>
        <v>193728</v>
      </c>
      <c r="E19" s="456">
        <f t="shared" si="4"/>
        <v>0</v>
      </c>
      <c r="F19" s="456">
        <f t="shared" si="4"/>
        <v>0</v>
      </c>
      <c r="G19" s="456">
        <f t="shared" si="4"/>
        <v>0</v>
      </c>
      <c r="H19" s="456">
        <f t="shared" si="4"/>
        <v>193728</v>
      </c>
      <c r="I19" s="99">
        <f t="shared" si="4"/>
        <v>28328235</v>
      </c>
      <c r="J19" s="978"/>
    </row>
  </sheetData>
  <sheetProtection sheet="1"/>
  <mergeCells count="13"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D12" sqref="D12"/>
    </sheetView>
  </sheetViews>
  <sheetFormatPr defaultColWidth="9.00390625" defaultRowHeight="12.75"/>
  <cols>
    <col min="1" max="1" width="5.875" style="474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1013" t="str">
        <f>CONCATENATE("5. tájékoztató tábla ",Z_ALAPADATOK!A7," ",Z_ALAPADATOK!B7," ",Z_ALAPADATOK!C7," ",Z_ALAPADATOK!D7," ",Z_ALAPADATOK!E7," ",Z_ALAPADATOK!F7," ",Z_ALAPADATOK!G7," ",Z_ALAPADATOK!H7)</f>
        <v>5. tájékoztató tábla a … / 2020. ( … ) önkormányzati rendelethez</v>
      </c>
      <c r="B1" s="884"/>
      <c r="C1" s="884"/>
      <c r="D1" s="884"/>
    </row>
    <row r="2" spans="1:4" ht="12.75">
      <c r="A2" s="587"/>
      <c r="B2" s="588"/>
      <c r="C2" s="588"/>
      <c r="D2" s="588"/>
    </row>
    <row r="3" spans="1:4" ht="15.75">
      <c r="A3" s="1010" t="s">
        <v>928</v>
      </c>
      <c r="B3" s="970"/>
      <c r="C3" s="970"/>
      <c r="D3" s="970"/>
    </row>
    <row r="4" spans="1:4" ht="15.75">
      <c r="A4" s="1010" t="s">
        <v>929</v>
      </c>
      <c r="B4" s="970"/>
      <c r="C4" s="970"/>
      <c r="D4" s="970"/>
    </row>
    <row r="5" spans="1:4" s="430" customFormat="1" ht="15.75" thickBot="1">
      <c r="A5" s="579"/>
      <c r="B5" s="332"/>
      <c r="C5" s="332"/>
      <c r="D5" s="342" t="str">
        <f>'Z_3.tájékoztató_t.'!H3</f>
        <v>Forintban!</v>
      </c>
    </row>
    <row r="6" spans="1:4" s="43" customFormat="1" ht="48" customHeight="1" thickBot="1">
      <c r="A6" s="318" t="s">
        <v>184</v>
      </c>
      <c r="B6" s="325" t="s">
        <v>185</v>
      </c>
      <c r="C6" s="325" t="s">
        <v>740</v>
      </c>
      <c r="D6" s="589" t="s">
        <v>741</v>
      </c>
    </row>
    <row r="7" spans="1:4" s="43" customFormat="1" ht="13.5" customHeight="1" thickBot="1">
      <c r="A7" s="590" t="s">
        <v>565</v>
      </c>
      <c r="B7" s="591" t="s">
        <v>566</v>
      </c>
      <c r="C7" s="591" t="s">
        <v>567</v>
      </c>
      <c r="D7" s="592" t="s">
        <v>569</v>
      </c>
    </row>
    <row r="8" spans="1:4" ht="18" customHeight="1">
      <c r="A8" s="457" t="s">
        <v>186</v>
      </c>
      <c r="B8" s="458" t="s">
        <v>742</v>
      </c>
      <c r="C8" s="459"/>
      <c r="D8" s="460"/>
    </row>
    <row r="9" spans="1:4" ht="18" customHeight="1">
      <c r="A9" s="461" t="s">
        <v>187</v>
      </c>
      <c r="B9" s="462" t="s">
        <v>743</v>
      </c>
      <c r="C9" s="463"/>
      <c r="D9" s="464"/>
    </row>
    <row r="10" spans="1:4" ht="18" customHeight="1">
      <c r="A10" s="461" t="s">
        <v>188</v>
      </c>
      <c r="B10" s="462" t="s">
        <v>744</v>
      </c>
      <c r="C10" s="463"/>
      <c r="D10" s="464"/>
    </row>
    <row r="11" spans="1:4" ht="18" customHeight="1">
      <c r="A11" s="461" t="s">
        <v>189</v>
      </c>
      <c r="B11" s="462" t="s">
        <v>745</v>
      </c>
      <c r="C11" s="463"/>
      <c r="D11" s="464"/>
    </row>
    <row r="12" spans="1:4" ht="18" customHeight="1">
      <c r="A12" s="465" t="s">
        <v>190</v>
      </c>
      <c r="B12" s="462" t="s">
        <v>746</v>
      </c>
      <c r="C12" s="463">
        <f>SUM(C13:C18)</f>
        <v>300000</v>
      </c>
      <c r="D12" s="463">
        <f>SUM(D13:D18)</f>
        <v>313237</v>
      </c>
    </row>
    <row r="13" spans="1:4" ht="18" customHeight="1">
      <c r="A13" s="461" t="s">
        <v>191</v>
      </c>
      <c r="B13" s="462" t="s">
        <v>747</v>
      </c>
      <c r="C13" s="463"/>
      <c r="D13" s="464"/>
    </row>
    <row r="14" spans="1:4" ht="18" customHeight="1">
      <c r="A14" s="465" t="s">
        <v>192</v>
      </c>
      <c r="B14" s="466" t="s">
        <v>748</v>
      </c>
      <c r="C14" s="463"/>
      <c r="D14" s="464"/>
    </row>
    <row r="15" spans="1:4" ht="18" customHeight="1">
      <c r="A15" s="465" t="s">
        <v>193</v>
      </c>
      <c r="B15" s="466" t="s">
        <v>749</v>
      </c>
      <c r="C15" s="463">
        <v>300000</v>
      </c>
      <c r="D15" s="464">
        <v>313237</v>
      </c>
    </row>
    <row r="16" spans="1:4" ht="18" customHeight="1">
      <c r="A16" s="461" t="s">
        <v>194</v>
      </c>
      <c r="B16" s="466" t="s">
        <v>750</v>
      </c>
      <c r="C16" s="463"/>
      <c r="D16" s="464"/>
    </row>
    <row r="17" spans="1:4" ht="18" customHeight="1">
      <c r="A17" s="465" t="s">
        <v>195</v>
      </c>
      <c r="B17" s="466" t="s">
        <v>751</v>
      </c>
      <c r="C17" s="463"/>
      <c r="D17" s="464"/>
    </row>
    <row r="18" spans="1:4" ht="22.5">
      <c r="A18" s="461" t="s">
        <v>196</v>
      </c>
      <c r="B18" s="466" t="s">
        <v>752</v>
      </c>
      <c r="C18" s="463"/>
      <c r="D18" s="464"/>
    </row>
    <row r="19" spans="1:4" ht="18" customHeight="1">
      <c r="A19" s="465" t="s">
        <v>197</v>
      </c>
      <c r="B19" s="462" t="s">
        <v>753</v>
      </c>
      <c r="C19" s="463"/>
      <c r="D19" s="464"/>
    </row>
    <row r="20" spans="1:4" ht="18" customHeight="1">
      <c r="A20" s="461" t="s">
        <v>198</v>
      </c>
      <c r="B20" s="462" t="s">
        <v>754</v>
      </c>
      <c r="C20" s="463"/>
      <c r="D20" s="464"/>
    </row>
    <row r="21" spans="1:4" ht="18" customHeight="1">
      <c r="A21" s="465" t="s">
        <v>199</v>
      </c>
      <c r="B21" s="462" t="s">
        <v>755</v>
      </c>
      <c r="C21" s="463"/>
      <c r="D21" s="464"/>
    </row>
    <row r="22" spans="1:4" ht="18" customHeight="1">
      <c r="A22" s="461" t="s">
        <v>200</v>
      </c>
      <c r="B22" s="462" t="s">
        <v>756</v>
      </c>
      <c r="C22" s="463"/>
      <c r="D22" s="464"/>
    </row>
    <row r="23" spans="1:4" ht="18" customHeight="1">
      <c r="A23" s="465" t="s">
        <v>201</v>
      </c>
      <c r="B23" s="462" t="s">
        <v>757</v>
      </c>
      <c r="C23" s="463"/>
      <c r="D23" s="464"/>
    </row>
    <row r="24" spans="1:4" ht="18" customHeight="1">
      <c r="A24" s="461" t="s">
        <v>202</v>
      </c>
      <c r="B24" s="845" t="s">
        <v>178</v>
      </c>
      <c r="C24" s="463"/>
      <c r="D24" s="846">
        <v>1945800</v>
      </c>
    </row>
    <row r="25" spans="1:4" ht="18" customHeight="1">
      <c r="A25" s="465" t="s">
        <v>203</v>
      </c>
      <c r="B25" s="467"/>
      <c r="C25" s="463"/>
      <c r="D25" s="464"/>
    </row>
    <row r="26" spans="1:4" ht="18" customHeight="1">
      <c r="A26" s="461" t="s">
        <v>204</v>
      </c>
      <c r="B26" s="467"/>
      <c r="C26" s="463"/>
      <c r="D26" s="464"/>
    </row>
    <row r="27" spans="1:4" ht="18" customHeight="1">
      <c r="A27" s="465" t="s">
        <v>205</v>
      </c>
      <c r="B27" s="467"/>
      <c r="C27" s="463"/>
      <c r="D27" s="464"/>
    </row>
    <row r="28" spans="1:4" ht="18" customHeight="1">
      <c r="A28" s="461" t="s">
        <v>206</v>
      </c>
      <c r="B28" s="467"/>
      <c r="C28" s="463"/>
      <c r="D28" s="464"/>
    </row>
    <row r="29" spans="1:4" ht="18" customHeight="1">
      <c r="A29" s="465" t="s">
        <v>207</v>
      </c>
      <c r="B29" s="467"/>
      <c r="C29" s="463"/>
      <c r="D29" s="464"/>
    </row>
    <row r="30" spans="1:4" ht="18" customHeight="1">
      <c r="A30" s="461" t="s">
        <v>208</v>
      </c>
      <c r="B30" s="467"/>
      <c r="C30" s="463"/>
      <c r="D30" s="464"/>
    </row>
    <row r="31" spans="1:4" ht="18" customHeight="1">
      <c r="A31" s="465" t="s">
        <v>209</v>
      </c>
      <c r="B31" s="467"/>
      <c r="C31" s="463"/>
      <c r="D31" s="464"/>
    </row>
    <row r="32" spans="1:4" ht="18" customHeight="1" thickBot="1">
      <c r="A32" s="468" t="s">
        <v>210</v>
      </c>
      <c r="B32" s="469"/>
      <c r="C32" s="470"/>
      <c r="D32" s="471"/>
    </row>
    <row r="33" spans="1:4" ht="18" customHeight="1" thickBot="1">
      <c r="A33" s="472" t="s">
        <v>211</v>
      </c>
      <c r="B33" s="586" t="s">
        <v>217</v>
      </c>
      <c r="C33" s="437">
        <f>+C8+C9+C10+C11+C12+C19+C20+C21+C22+C23+C24+C25+C26+C27+C28+C29+C30+C31+C32</f>
        <v>300000</v>
      </c>
      <c r="D33" s="438">
        <f>+D8+D9+D10+D11+D12+D19+D20+D21+D22+D23+D24+D25+D26+D27+D28+D29+D30+D31+D32</f>
        <v>2259037</v>
      </c>
    </row>
    <row r="34" spans="1:4" ht="25.5" customHeight="1">
      <c r="A34" s="473"/>
      <c r="B34" s="1012" t="s">
        <v>758</v>
      </c>
      <c r="C34" s="1012"/>
      <c r="D34" s="1012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zoomScale="112" zoomScaleNormal="112" workbookViewId="0" topLeftCell="A16">
      <selection activeCell="D29" sqref="D29"/>
    </sheetView>
  </sheetViews>
  <sheetFormatPr defaultColWidth="9.00390625" defaultRowHeight="12.75"/>
  <cols>
    <col min="1" max="1" width="6.625" style="31" customWidth="1"/>
    <col min="2" max="2" width="47.375" style="31" bestFit="1" customWidth="1"/>
    <col min="3" max="3" width="59.625" style="31" bestFit="1" customWidth="1"/>
    <col min="4" max="5" width="12.875" style="31" customWidth="1"/>
    <col min="6" max="16384" width="9.375" style="31" customWidth="1"/>
  </cols>
  <sheetData>
    <row r="1" spans="1:5" ht="15">
      <c r="A1" s="1016" t="str">
        <f>CONCATENATE("6. tájékoztató tábla ",Z_ALAPADATOK!A7," ",Z_ALAPADATOK!B7," ",Z_ALAPADATOK!C7," ",Z_ALAPADATOK!D7," ",Z_ALAPADATOK!E7," ",Z_ALAPADATOK!F7," ",Z_ALAPADATOK!G7," ",Z_ALAPADATOK!H7)</f>
        <v>6. tájékoztató tábla a … / 2020. ( … ) önkormányzati rendelethez</v>
      </c>
      <c r="B1" s="1016"/>
      <c r="C1" s="1016"/>
      <c r="D1" s="1016"/>
      <c r="E1" s="1016"/>
    </row>
    <row r="2" spans="1:5" ht="12.75">
      <c r="A2" s="65"/>
      <c r="B2" s="65"/>
      <c r="C2" s="65"/>
      <c r="D2" s="65"/>
      <c r="E2" s="65"/>
    </row>
    <row r="3" spans="1:5" ht="15.75">
      <c r="A3" s="1017" t="s">
        <v>930</v>
      </c>
      <c r="B3" s="1017"/>
      <c r="C3" s="1017"/>
      <c r="D3" s="1017"/>
      <c r="E3" s="1017"/>
    </row>
    <row r="4" spans="1:5" ht="15.75">
      <c r="A4" s="1017" t="str">
        <f>CONCATENATE("A ",Z_ALAPADATOK!B1,". évi céljelleggel juttatott támogatások felhasználásáról")</f>
        <v>A 2019. évi céljelleggel juttatott támogatások felhasználásáról</v>
      </c>
      <c r="B4" s="1017"/>
      <c r="C4" s="1017"/>
      <c r="D4" s="1017"/>
      <c r="E4" s="1017"/>
    </row>
    <row r="5" spans="1:5" ht="12.75">
      <c r="A5" s="65"/>
      <c r="B5" s="65"/>
      <c r="C5" s="65"/>
      <c r="D5" s="65"/>
      <c r="E5" s="65"/>
    </row>
    <row r="6" spans="1:5" ht="14.25" thickBot="1">
      <c r="A6" s="65"/>
      <c r="B6" s="65"/>
      <c r="C6" s="593"/>
      <c r="D6" s="593"/>
      <c r="E6" s="593" t="str">
        <f>'Z_5.tájékoztató_t.'!D5</f>
        <v>Forintban!</v>
      </c>
    </row>
    <row r="7" spans="1:5" ht="42.75" customHeight="1" thickBot="1">
      <c r="A7" s="594" t="s">
        <v>231</v>
      </c>
      <c r="B7" s="595" t="s">
        <v>759</v>
      </c>
      <c r="C7" s="595" t="s">
        <v>760</v>
      </c>
      <c r="D7" s="596" t="s">
        <v>761</v>
      </c>
      <c r="E7" s="597" t="s">
        <v>762</v>
      </c>
    </row>
    <row r="8" spans="1:5" ht="15.75" customHeight="1">
      <c r="A8" s="816" t="s">
        <v>186</v>
      </c>
      <c r="B8" s="817" t="s">
        <v>142</v>
      </c>
      <c r="C8" s="818" t="s">
        <v>152</v>
      </c>
      <c r="D8" s="828">
        <v>4150838</v>
      </c>
      <c r="E8" s="826">
        <v>650838</v>
      </c>
    </row>
    <row r="9" spans="1:5" ht="15.75" customHeight="1">
      <c r="A9" s="819" t="s">
        <v>187</v>
      </c>
      <c r="B9" s="820" t="s">
        <v>143</v>
      </c>
      <c r="C9" s="821" t="s">
        <v>153</v>
      </c>
      <c r="D9" s="829">
        <v>1200000</v>
      </c>
      <c r="E9" s="827">
        <v>1200000</v>
      </c>
    </row>
    <row r="10" spans="1:5" ht="15.75" customHeight="1">
      <c r="A10" s="819" t="s">
        <v>188</v>
      </c>
      <c r="B10" s="820" t="s">
        <v>144</v>
      </c>
      <c r="C10" s="821" t="s">
        <v>153</v>
      </c>
      <c r="D10" s="829">
        <v>120000</v>
      </c>
      <c r="E10" s="827"/>
    </row>
    <row r="11" spans="1:5" ht="15.75" customHeight="1">
      <c r="A11" s="819" t="s">
        <v>189</v>
      </c>
      <c r="B11" s="820" t="s">
        <v>145</v>
      </c>
      <c r="C11" s="821" t="s">
        <v>154</v>
      </c>
      <c r="D11" s="829">
        <v>450000</v>
      </c>
      <c r="E11" s="827">
        <v>148925</v>
      </c>
    </row>
    <row r="12" spans="1:5" ht="15.75" customHeight="1">
      <c r="A12" s="819" t="s">
        <v>190</v>
      </c>
      <c r="B12" s="820" t="s">
        <v>146</v>
      </c>
      <c r="C12" s="821" t="s">
        <v>153</v>
      </c>
      <c r="D12" s="829">
        <v>330660</v>
      </c>
      <c r="E12" s="827"/>
    </row>
    <row r="13" spans="1:5" ht="15.75" customHeight="1">
      <c r="A13" s="819" t="s">
        <v>191</v>
      </c>
      <c r="B13" s="820" t="s">
        <v>147</v>
      </c>
      <c r="C13" s="821" t="s">
        <v>153</v>
      </c>
      <c r="D13" s="829">
        <v>200000</v>
      </c>
      <c r="E13" s="827">
        <v>72000</v>
      </c>
    </row>
    <row r="14" spans="1:5" ht="15.75" customHeight="1">
      <c r="A14" s="819" t="s">
        <v>192</v>
      </c>
      <c r="B14" s="820" t="s">
        <v>148</v>
      </c>
      <c r="C14" s="821" t="s">
        <v>155</v>
      </c>
      <c r="D14" s="829">
        <v>1030000</v>
      </c>
      <c r="E14" s="827">
        <v>1020000</v>
      </c>
    </row>
    <row r="15" spans="1:5" ht="15.75" customHeight="1">
      <c r="A15" s="819" t="s">
        <v>193</v>
      </c>
      <c r="B15" s="820" t="s">
        <v>148</v>
      </c>
      <c r="C15" s="821" t="s">
        <v>156</v>
      </c>
      <c r="D15" s="829">
        <v>15000</v>
      </c>
      <c r="E15" s="827">
        <v>9000</v>
      </c>
    </row>
    <row r="16" spans="1:5" ht="15.75" customHeight="1">
      <c r="A16" s="819" t="s">
        <v>194</v>
      </c>
      <c r="B16" s="820" t="s">
        <v>149</v>
      </c>
      <c r="C16" s="821" t="s">
        <v>153</v>
      </c>
      <c r="D16" s="829">
        <v>2572000</v>
      </c>
      <c r="E16" s="827">
        <v>2110000</v>
      </c>
    </row>
    <row r="17" spans="1:5" ht="15.75" customHeight="1">
      <c r="A17" s="819" t="s">
        <v>195</v>
      </c>
      <c r="B17" s="820" t="s">
        <v>150</v>
      </c>
      <c r="C17" s="822" t="s">
        <v>157</v>
      </c>
      <c r="D17" s="829">
        <v>3000000</v>
      </c>
      <c r="E17" s="827"/>
    </row>
    <row r="18" spans="1:5" ht="15.75" customHeight="1">
      <c r="A18" s="819" t="s">
        <v>196</v>
      </c>
      <c r="B18" s="820" t="s">
        <v>151</v>
      </c>
      <c r="C18" s="823" t="s">
        <v>160</v>
      </c>
      <c r="D18" s="829">
        <v>21029</v>
      </c>
      <c r="E18" s="827">
        <v>21029</v>
      </c>
    </row>
    <row r="19" spans="1:5" ht="15.75" customHeight="1">
      <c r="A19" s="819" t="s">
        <v>197</v>
      </c>
      <c r="B19" s="825" t="s">
        <v>163</v>
      </c>
      <c r="C19" s="825" t="s">
        <v>162</v>
      </c>
      <c r="D19" s="830">
        <v>330000</v>
      </c>
      <c r="E19" s="827">
        <v>330000</v>
      </c>
    </row>
    <row r="20" spans="1:5" ht="15.75" customHeight="1">
      <c r="A20" s="819" t="s">
        <v>198</v>
      </c>
      <c r="B20" s="824" t="s">
        <v>165</v>
      </c>
      <c r="C20" s="825" t="s">
        <v>164</v>
      </c>
      <c r="D20" s="830">
        <v>15013</v>
      </c>
      <c r="E20" s="827">
        <v>15013</v>
      </c>
    </row>
    <row r="21" spans="1:5" ht="15.75" customHeight="1">
      <c r="A21" s="475" t="s">
        <v>199</v>
      </c>
      <c r="B21" s="824" t="s">
        <v>166</v>
      </c>
      <c r="C21" s="825" t="s">
        <v>164</v>
      </c>
      <c r="D21" s="830">
        <v>30537</v>
      </c>
      <c r="E21" s="827">
        <v>30537</v>
      </c>
    </row>
    <row r="22" spans="1:5" ht="15.75" customHeight="1">
      <c r="A22" s="475" t="s">
        <v>200</v>
      </c>
      <c r="B22" s="824" t="s">
        <v>151</v>
      </c>
      <c r="C22" s="825" t="s">
        <v>164</v>
      </c>
      <c r="D22" s="830">
        <v>20611</v>
      </c>
      <c r="E22" s="827">
        <v>20611</v>
      </c>
    </row>
    <row r="23" spans="1:5" ht="15.75" customHeight="1">
      <c r="A23" s="475" t="s">
        <v>201</v>
      </c>
      <c r="B23" s="824" t="s">
        <v>168</v>
      </c>
      <c r="C23" s="825" t="s">
        <v>164</v>
      </c>
      <c r="D23" s="830">
        <v>19353</v>
      </c>
      <c r="E23" s="827">
        <v>19353</v>
      </c>
    </row>
    <row r="24" spans="1:5" ht="15.75" customHeight="1">
      <c r="A24" s="475" t="s">
        <v>202</v>
      </c>
      <c r="B24" s="824" t="s">
        <v>167</v>
      </c>
      <c r="C24" s="825" t="s">
        <v>164</v>
      </c>
      <c r="D24" s="830">
        <v>46184</v>
      </c>
      <c r="E24" s="827">
        <v>46184</v>
      </c>
    </row>
    <row r="25" spans="1:5" ht="15.75" customHeight="1">
      <c r="A25" s="475" t="s">
        <v>203</v>
      </c>
      <c r="B25" s="824" t="s">
        <v>148</v>
      </c>
      <c r="C25" s="825" t="s">
        <v>158</v>
      </c>
      <c r="D25" s="830">
        <v>300000</v>
      </c>
      <c r="E25" s="827">
        <v>250000</v>
      </c>
    </row>
    <row r="26" spans="1:5" ht="15.75" customHeight="1" thickBot="1">
      <c r="A26" s="475" t="s">
        <v>204</v>
      </c>
      <c r="B26" s="824" t="s">
        <v>148</v>
      </c>
      <c r="C26" s="825" t="s">
        <v>159</v>
      </c>
      <c r="D26" s="830">
        <v>500000</v>
      </c>
      <c r="E26" s="827"/>
    </row>
    <row r="27" spans="1:5" ht="15.75" customHeight="1" thickBot="1">
      <c r="A27" s="1014" t="s">
        <v>217</v>
      </c>
      <c r="B27" s="1015"/>
      <c r="C27" s="476"/>
      <c r="D27" s="477">
        <f>SUM(D8:D26)</f>
        <v>14351225</v>
      </c>
      <c r="E27" s="478">
        <f>SUM(E8:E26)</f>
        <v>5943490</v>
      </c>
    </row>
    <row r="29" ht="12.75">
      <c r="D29" s="844"/>
    </row>
  </sheetData>
  <sheetProtection/>
  <mergeCells count="4">
    <mergeCell ref="A27:B27"/>
    <mergeCell ref="A1:E1"/>
    <mergeCell ref="A4:E4"/>
    <mergeCell ref="A3:E3"/>
  </mergeCells>
  <printOptions horizontalCentered="1"/>
  <pageMargins left="0.3937007874015748" right="0.3937007874015748" top="1.5748031496062993" bottom="0.3937007874015748" header="0.7874015748031497" footer="0.7874015748031497"/>
  <pageSetup fitToWidth="2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16">
      <selection activeCell="D69" sqref="D69"/>
    </sheetView>
  </sheetViews>
  <sheetFormatPr defaultColWidth="12.00390625" defaultRowHeight="12.75"/>
  <cols>
    <col min="1" max="1" width="67.125" style="479" customWidth="1"/>
    <col min="2" max="2" width="6.125" style="480" customWidth="1"/>
    <col min="3" max="4" width="12.125" style="479" customWidth="1"/>
    <col min="5" max="5" width="14.625" style="479" bestFit="1" customWidth="1"/>
    <col min="6" max="16384" width="12.00390625" style="479" customWidth="1"/>
  </cols>
  <sheetData>
    <row r="1" spans="1:4" ht="15.75">
      <c r="A1" s="1030" t="str">
        <f>CONCATENATE("7.1. tájékoztató tábla ",Z_ALAPADATOK!A7," ",Z_ALAPADATOK!B7," ",Z_ALAPADATOK!C7," ",Z_ALAPADATOK!D7," ",Z_ALAPADATOK!E7," ",Z_ALAPADATOK!F7," ",Z_ALAPADATOK!G7," ",Z_ALAPADATOK!H7)</f>
        <v>7.1. tájékoztató tábla a … / 2020. ( … ) önkormányzati rendelethez</v>
      </c>
      <c r="B1" s="861"/>
      <c r="C1" s="861"/>
      <c r="D1" s="861"/>
    </row>
    <row r="2" spans="1:4" ht="15.75">
      <c r="A2" s="1031" t="s">
        <v>933</v>
      </c>
      <c r="B2" s="1032"/>
      <c r="C2" s="1032"/>
      <c r="D2" s="1032"/>
    </row>
    <row r="3" spans="1:4" ht="16.5" customHeight="1">
      <c r="A3" s="1031" t="s">
        <v>934</v>
      </c>
      <c r="B3" s="1032"/>
      <c r="C3" s="1032"/>
      <c r="D3" s="1032"/>
    </row>
    <row r="4" spans="1:4" ht="16.5" customHeight="1">
      <c r="A4" s="1033" t="str">
        <f>CONCATENATE(Z_ALAPADATOK!B1,". év")</f>
        <v>2019. év</v>
      </c>
      <c r="B4" s="1034"/>
      <c r="C4" s="1034"/>
      <c r="D4" s="1034"/>
    </row>
    <row r="5" spans="1:4" ht="16.5" customHeight="1" thickBot="1">
      <c r="A5" s="598"/>
      <c r="B5" s="599"/>
      <c r="C5" s="1018" t="str">
        <f>'Z_6.tájékoztató_t.'!E6</f>
        <v>Forintban!</v>
      </c>
      <c r="D5" s="1018"/>
    </row>
    <row r="6" spans="1:4" ht="15.75" customHeight="1">
      <c r="A6" s="1022" t="s">
        <v>768</v>
      </c>
      <c r="B6" s="1025" t="s">
        <v>769</v>
      </c>
      <c r="C6" s="1019" t="s">
        <v>770</v>
      </c>
      <c r="D6" s="1019" t="s">
        <v>771</v>
      </c>
    </row>
    <row r="7" spans="1:4" ht="11.25" customHeight="1">
      <c r="A7" s="1023"/>
      <c r="B7" s="1026"/>
      <c r="C7" s="1020"/>
      <c r="D7" s="1020"/>
    </row>
    <row r="8" spans="1:4" ht="15.75" customHeight="1">
      <c r="A8" s="1024"/>
      <c r="B8" s="1027"/>
      <c r="C8" s="1028" t="s">
        <v>772</v>
      </c>
      <c r="D8" s="1029"/>
    </row>
    <row r="9" spans="1:4" s="481" customFormat="1" ht="16.5" thickBot="1">
      <c r="A9" s="600" t="s">
        <v>773</v>
      </c>
      <c r="B9" s="601" t="s">
        <v>566</v>
      </c>
      <c r="C9" s="601" t="s">
        <v>567</v>
      </c>
      <c r="D9" s="601" t="s">
        <v>569</v>
      </c>
    </row>
    <row r="10" spans="1:4" s="485" customFormat="1" ht="15.75">
      <c r="A10" s="482" t="s">
        <v>774</v>
      </c>
      <c r="B10" s="483" t="s">
        <v>775</v>
      </c>
      <c r="C10" s="484">
        <v>38271745</v>
      </c>
      <c r="D10" s="484">
        <v>1155562</v>
      </c>
    </row>
    <row r="11" spans="1:5" s="485" customFormat="1" ht="15.75">
      <c r="A11" s="486" t="s">
        <v>776</v>
      </c>
      <c r="B11" s="487" t="s">
        <v>777</v>
      </c>
      <c r="C11" s="488">
        <f>+C12+C17+C22+C27+C32</f>
        <v>5067090510</v>
      </c>
      <c r="D11" s="488">
        <f>+D12+D17+D22+D27+D32</f>
        <v>3475477421</v>
      </c>
      <c r="E11" s="831"/>
    </row>
    <row r="12" spans="1:4" s="485" customFormat="1" ht="15.75">
      <c r="A12" s="486" t="s">
        <v>778</v>
      </c>
      <c r="B12" s="487" t="s">
        <v>779</v>
      </c>
      <c r="C12" s="488">
        <f>+C13+C14+C15+C16</f>
        <v>4457227482</v>
      </c>
      <c r="D12" s="488">
        <f>+D13+D14+D15+D16</f>
        <v>3268800535</v>
      </c>
    </row>
    <row r="13" spans="1:4" s="485" customFormat="1" ht="15.75">
      <c r="A13" s="489" t="s">
        <v>780</v>
      </c>
      <c r="B13" s="487" t="s">
        <v>781</v>
      </c>
      <c r="C13" s="490">
        <v>2863137091</v>
      </c>
      <c r="D13" s="490">
        <v>1980813935</v>
      </c>
    </row>
    <row r="14" spans="1:4" s="485" customFormat="1" ht="26.25" customHeight="1">
      <c r="A14" s="489" t="s">
        <v>782</v>
      </c>
      <c r="B14" s="487" t="s">
        <v>783</v>
      </c>
      <c r="C14" s="491"/>
      <c r="D14" s="491"/>
    </row>
    <row r="15" spans="1:4" s="485" customFormat="1" ht="15.75">
      <c r="A15" s="489" t="s">
        <v>784</v>
      </c>
      <c r="B15" s="487" t="s">
        <v>785</v>
      </c>
      <c r="C15" s="491">
        <v>1249611051</v>
      </c>
      <c r="D15" s="491">
        <v>1043537448</v>
      </c>
    </row>
    <row r="16" spans="1:4" s="485" customFormat="1" ht="15.75">
      <c r="A16" s="489" t="s">
        <v>786</v>
      </c>
      <c r="B16" s="487" t="s">
        <v>787</v>
      </c>
      <c r="C16" s="491">
        <v>344479340</v>
      </c>
      <c r="D16" s="491">
        <v>244449152</v>
      </c>
    </row>
    <row r="17" spans="1:4" s="485" customFormat="1" ht="15.75">
      <c r="A17" s="486" t="s">
        <v>788</v>
      </c>
      <c r="B17" s="487" t="s">
        <v>789</v>
      </c>
      <c r="C17" s="492">
        <f>+C18+C19+C20+C21</f>
        <v>554344758</v>
      </c>
      <c r="D17" s="492">
        <f>+D18+D19+D20+D21</f>
        <v>151158616</v>
      </c>
    </row>
    <row r="18" spans="1:4" s="485" customFormat="1" ht="15.75">
      <c r="A18" s="489" t="s">
        <v>790</v>
      </c>
      <c r="B18" s="487" t="s">
        <v>791</v>
      </c>
      <c r="C18" s="491">
        <v>168427571</v>
      </c>
      <c r="D18" s="491">
        <v>8237992</v>
      </c>
    </row>
    <row r="19" spans="1:4" s="485" customFormat="1" ht="22.5">
      <c r="A19" s="489" t="s">
        <v>792</v>
      </c>
      <c r="B19" s="487" t="s">
        <v>195</v>
      </c>
      <c r="C19" s="491"/>
      <c r="D19" s="491"/>
    </row>
    <row r="20" spans="1:4" s="485" customFormat="1" ht="15.75">
      <c r="A20" s="489" t="s">
        <v>793</v>
      </c>
      <c r="B20" s="487" t="s">
        <v>196</v>
      </c>
      <c r="C20" s="491">
        <v>293342066</v>
      </c>
      <c r="D20" s="491">
        <v>119258715</v>
      </c>
    </row>
    <row r="21" spans="1:4" s="485" customFormat="1" ht="15.75">
      <c r="A21" s="489" t="s">
        <v>794</v>
      </c>
      <c r="B21" s="487" t="s">
        <v>197</v>
      </c>
      <c r="C21" s="491">
        <v>92575121</v>
      </c>
      <c r="D21" s="491">
        <v>23661909</v>
      </c>
    </row>
    <row r="22" spans="1:4" s="485" customFormat="1" ht="15.75">
      <c r="A22" s="486" t="s">
        <v>795</v>
      </c>
      <c r="B22" s="487" t="s">
        <v>198</v>
      </c>
      <c r="C22" s="492">
        <f>+C23+C24+C25+C26</f>
        <v>0</v>
      </c>
      <c r="D22" s="492">
        <f>+D23+D24+D25+D26</f>
        <v>0</v>
      </c>
    </row>
    <row r="23" spans="1:4" s="485" customFormat="1" ht="15.75">
      <c r="A23" s="489" t="s">
        <v>796</v>
      </c>
      <c r="B23" s="487" t="s">
        <v>199</v>
      </c>
      <c r="C23" s="491"/>
      <c r="D23" s="491"/>
    </row>
    <row r="24" spans="1:4" s="485" customFormat="1" ht="15.75">
      <c r="A24" s="489" t="s">
        <v>797</v>
      </c>
      <c r="B24" s="487" t="s">
        <v>200</v>
      </c>
      <c r="C24" s="491"/>
      <c r="D24" s="491"/>
    </row>
    <row r="25" spans="1:4" s="485" customFormat="1" ht="15.75">
      <c r="A25" s="489" t="s">
        <v>798</v>
      </c>
      <c r="B25" s="487" t="s">
        <v>201</v>
      </c>
      <c r="C25" s="491"/>
      <c r="D25" s="491"/>
    </row>
    <row r="26" spans="1:4" s="485" customFormat="1" ht="15.75">
      <c r="A26" s="489" t="s">
        <v>799</v>
      </c>
      <c r="B26" s="487" t="s">
        <v>202</v>
      </c>
      <c r="C26" s="491"/>
      <c r="D26" s="491"/>
    </row>
    <row r="27" spans="1:4" s="485" customFormat="1" ht="15.75">
      <c r="A27" s="486" t="s">
        <v>800</v>
      </c>
      <c r="B27" s="487" t="s">
        <v>203</v>
      </c>
      <c r="C27" s="492">
        <f>+C28+C29+C30+C31</f>
        <v>55518270</v>
      </c>
      <c r="D27" s="492">
        <f>+D28+D29+D30+D31</f>
        <v>55518270</v>
      </c>
    </row>
    <row r="28" spans="1:4" s="485" customFormat="1" ht="15.75">
      <c r="A28" s="489" t="s">
        <v>801</v>
      </c>
      <c r="B28" s="487" t="s">
        <v>204</v>
      </c>
      <c r="C28" s="491"/>
      <c r="D28" s="491"/>
    </row>
    <row r="29" spans="1:4" s="485" customFormat="1" ht="15.75">
      <c r="A29" s="489" t="s">
        <v>802</v>
      </c>
      <c r="B29" s="487" t="s">
        <v>205</v>
      </c>
      <c r="C29" s="491"/>
      <c r="D29" s="491"/>
    </row>
    <row r="30" spans="1:4" s="485" customFormat="1" ht="15.75">
      <c r="A30" s="489" t="s">
        <v>803</v>
      </c>
      <c r="B30" s="487" t="s">
        <v>206</v>
      </c>
      <c r="C30" s="491">
        <v>55518270</v>
      </c>
      <c r="D30" s="491">
        <v>55518270</v>
      </c>
    </row>
    <row r="31" spans="1:4" s="485" customFormat="1" ht="15.75">
      <c r="A31" s="489" t="s">
        <v>804</v>
      </c>
      <c r="B31" s="487" t="s">
        <v>207</v>
      </c>
      <c r="C31" s="491"/>
      <c r="D31" s="491"/>
    </row>
    <row r="32" spans="1:4" s="485" customFormat="1" ht="15.75">
      <c r="A32" s="486" t="s">
        <v>805</v>
      </c>
      <c r="B32" s="487" t="s">
        <v>208</v>
      </c>
      <c r="C32" s="492">
        <f>+C33+C34+C35+C36</f>
        <v>0</v>
      </c>
      <c r="D32" s="492">
        <f>+D33+D34+D35+D36</f>
        <v>0</v>
      </c>
    </row>
    <row r="33" spans="1:4" s="485" customFormat="1" ht="15.75">
      <c r="A33" s="489" t="s">
        <v>806</v>
      </c>
      <c r="B33" s="487" t="s">
        <v>209</v>
      </c>
      <c r="C33" s="491"/>
      <c r="D33" s="491"/>
    </row>
    <row r="34" spans="1:4" s="485" customFormat="1" ht="22.5">
      <c r="A34" s="489" t="s">
        <v>807</v>
      </c>
      <c r="B34" s="487" t="s">
        <v>210</v>
      </c>
      <c r="C34" s="491"/>
      <c r="D34" s="491"/>
    </row>
    <row r="35" spans="1:4" s="485" customFormat="1" ht="15.75">
      <c r="A35" s="489" t="s">
        <v>808</v>
      </c>
      <c r="B35" s="487" t="s">
        <v>211</v>
      </c>
      <c r="C35" s="491"/>
      <c r="D35" s="491"/>
    </row>
    <row r="36" spans="1:4" s="485" customFormat="1" ht="15.75">
      <c r="A36" s="489" t="s">
        <v>809</v>
      </c>
      <c r="B36" s="487" t="s">
        <v>212</v>
      </c>
      <c r="C36" s="491"/>
      <c r="D36" s="491"/>
    </row>
    <row r="37" spans="1:4" s="485" customFormat="1" ht="15.75">
      <c r="A37" s="486" t="s">
        <v>810</v>
      </c>
      <c r="B37" s="487" t="s">
        <v>213</v>
      </c>
      <c r="C37" s="492">
        <f>+C38+C43+C48</f>
        <v>12800000</v>
      </c>
      <c r="D37" s="492">
        <f>+D38+D43+D48</f>
        <v>12800000</v>
      </c>
    </row>
    <row r="38" spans="1:4" s="485" customFormat="1" ht="15.75">
      <c r="A38" s="486" t="s">
        <v>811</v>
      </c>
      <c r="B38" s="487" t="s">
        <v>763</v>
      </c>
      <c r="C38" s="492">
        <f>+C39+C40+C41+C42</f>
        <v>12800000</v>
      </c>
      <c r="D38" s="492">
        <f>+D39+D40+D41+D42</f>
        <v>12800000</v>
      </c>
    </row>
    <row r="39" spans="1:4" s="485" customFormat="1" ht="15.75">
      <c r="A39" s="489" t="s">
        <v>812</v>
      </c>
      <c r="B39" s="487" t="s">
        <v>764</v>
      </c>
      <c r="C39" s="491"/>
      <c r="D39" s="491"/>
    </row>
    <row r="40" spans="1:4" s="485" customFormat="1" ht="15.75">
      <c r="A40" s="489" t="s">
        <v>813</v>
      </c>
      <c r="B40" s="487" t="s">
        <v>765</v>
      </c>
      <c r="C40" s="491"/>
      <c r="D40" s="491"/>
    </row>
    <row r="41" spans="1:4" s="485" customFormat="1" ht="15.75">
      <c r="A41" s="489" t="s">
        <v>814</v>
      </c>
      <c r="B41" s="487" t="s">
        <v>766</v>
      </c>
      <c r="C41" s="491"/>
      <c r="D41" s="491"/>
    </row>
    <row r="42" spans="1:4" s="485" customFormat="1" ht="15.75">
      <c r="A42" s="489" t="s">
        <v>815</v>
      </c>
      <c r="B42" s="487" t="s">
        <v>767</v>
      </c>
      <c r="C42" s="491">
        <v>12800000</v>
      </c>
      <c r="D42" s="491">
        <v>12800000</v>
      </c>
    </row>
    <row r="43" spans="1:4" s="485" customFormat="1" ht="15.75">
      <c r="A43" s="486" t="s">
        <v>816</v>
      </c>
      <c r="B43" s="487" t="s">
        <v>817</v>
      </c>
      <c r="C43" s="492">
        <f>+C44+C45+C46+C47</f>
        <v>0</v>
      </c>
      <c r="D43" s="492">
        <f>+D44+D45+D46+D47</f>
        <v>0</v>
      </c>
    </row>
    <row r="44" spans="1:4" s="485" customFormat="1" ht="15.75">
      <c r="A44" s="489" t="s">
        <v>818</v>
      </c>
      <c r="B44" s="487" t="s">
        <v>819</v>
      </c>
      <c r="C44" s="491"/>
      <c r="D44" s="491"/>
    </row>
    <row r="45" spans="1:4" s="485" customFormat="1" ht="22.5">
      <c r="A45" s="489" t="s">
        <v>820</v>
      </c>
      <c r="B45" s="487" t="s">
        <v>821</v>
      </c>
      <c r="C45" s="491"/>
      <c r="D45" s="491"/>
    </row>
    <row r="46" spans="1:4" s="485" customFormat="1" ht="15.75">
      <c r="A46" s="489" t="s">
        <v>822</v>
      </c>
      <c r="B46" s="487" t="s">
        <v>823</v>
      </c>
      <c r="C46" s="491"/>
      <c r="D46" s="491"/>
    </row>
    <row r="47" spans="1:4" s="485" customFormat="1" ht="15.75">
      <c r="A47" s="489" t="s">
        <v>824</v>
      </c>
      <c r="B47" s="487" t="s">
        <v>825</v>
      </c>
      <c r="C47" s="491"/>
      <c r="D47" s="491"/>
    </row>
    <row r="48" spans="1:4" s="485" customFormat="1" ht="15.75">
      <c r="A48" s="486" t="s">
        <v>826</v>
      </c>
      <c r="B48" s="487" t="s">
        <v>827</v>
      </c>
      <c r="C48" s="492">
        <f>+C49+C50+C51+C52</f>
        <v>0</v>
      </c>
      <c r="D48" s="492">
        <f>+D49+D50+D51+D52</f>
        <v>0</v>
      </c>
    </row>
    <row r="49" spans="1:4" s="485" customFormat="1" ht="15.75">
      <c r="A49" s="489" t="s">
        <v>828</v>
      </c>
      <c r="B49" s="487" t="s">
        <v>829</v>
      </c>
      <c r="C49" s="491"/>
      <c r="D49" s="491"/>
    </row>
    <row r="50" spans="1:4" s="485" customFormat="1" ht="22.5">
      <c r="A50" s="489" t="s">
        <v>830</v>
      </c>
      <c r="B50" s="487" t="s">
        <v>831</v>
      </c>
      <c r="C50" s="491"/>
      <c r="D50" s="491"/>
    </row>
    <row r="51" spans="1:4" s="485" customFormat="1" ht="15.75">
      <c r="A51" s="489" t="s">
        <v>832</v>
      </c>
      <c r="B51" s="487" t="s">
        <v>833</v>
      </c>
      <c r="C51" s="491"/>
      <c r="D51" s="491"/>
    </row>
    <row r="52" spans="1:4" s="485" customFormat="1" ht="15.75">
      <c r="A52" s="489" t="s">
        <v>834</v>
      </c>
      <c r="B52" s="487" t="s">
        <v>835</v>
      </c>
      <c r="C52" s="491"/>
      <c r="D52" s="491"/>
    </row>
    <row r="53" spans="1:4" s="485" customFormat="1" ht="15.75">
      <c r="A53" s="486" t="s">
        <v>836</v>
      </c>
      <c r="B53" s="487" t="s">
        <v>837</v>
      </c>
      <c r="C53" s="491"/>
      <c r="D53" s="491"/>
    </row>
    <row r="54" spans="1:4" s="485" customFormat="1" ht="21">
      <c r="A54" s="486" t="s">
        <v>838</v>
      </c>
      <c r="B54" s="487" t="s">
        <v>839</v>
      </c>
      <c r="C54" s="492">
        <f>+C10+C11+C37+C53</f>
        <v>5118162255</v>
      </c>
      <c r="D54" s="492">
        <f>+D10+D11+D37+D53</f>
        <v>3489432983</v>
      </c>
    </row>
    <row r="55" spans="1:4" s="485" customFormat="1" ht="15.75">
      <c r="A55" s="486" t="s">
        <v>840</v>
      </c>
      <c r="B55" s="487" t="s">
        <v>841</v>
      </c>
      <c r="C55" s="491">
        <v>12773587</v>
      </c>
      <c r="D55" s="491">
        <v>12773587</v>
      </c>
    </row>
    <row r="56" spans="1:4" s="485" customFormat="1" ht="15.75">
      <c r="A56" s="486" t="s">
        <v>842</v>
      </c>
      <c r="B56" s="487" t="s">
        <v>843</v>
      </c>
      <c r="C56" s="491"/>
      <c r="D56" s="491"/>
    </row>
    <row r="57" spans="1:4" s="485" customFormat="1" ht="15.75">
      <c r="A57" s="486" t="s">
        <v>844</v>
      </c>
      <c r="B57" s="487" t="s">
        <v>845</v>
      </c>
      <c r="C57" s="492">
        <f>+C55+C56</f>
        <v>12773587</v>
      </c>
      <c r="D57" s="492">
        <f>+D55+D56</f>
        <v>12773587</v>
      </c>
    </row>
    <row r="58" spans="1:4" s="485" customFormat="1" ht="15.75">
      <c r="A58" s="486" t="s">
        <v>846</v>
      </c>
      <c r="B58" s="487" t="s">
        <v>847</v>
      </c>
      <c r="C58" s="491"/>
      <c r="D58" s="491"/>
    </row>
    <row r="59" spans="1:4" s="485" customFormat="1" ht="15.75">
      <c r="A59" s="486" t="s">
        <v>848</v>
      </c>
      <c r="B59" s="487" t="s">
        <v>849</v>
      </c>
      <c r="C59" s="491">
        <v>685019</v>
      </c>
      <c r="D59" s="491">
        <v>685019</v>
      </c>
    </row>
    <row r="60" spans="1:4" s="485" customFormat="1" ht="15.75">
      <c r="A60" s="486" t="s">
        <v>850</v>
      </c>
      <c r="B60" s="487" t="s">
        <v>851</v>
      </c>
      <c r="C60" s="491">
        <v>237359403</v>
      </c>
      <c r="D60" s="491">
        <v>237359403</v>
      </c>
    </row>
    <row r="61" spans="1:4" s="485" customFormat="1" ht="15.75">
      <c r="A61" s="486" t="s">
        <v>852</v>
      </c>
      <c r="B61" s="487" t="s">
        <v>853</v>
      </c>
      <c r="C61" s="491">
        <v>21780213</v>
      </c>
      <c r="D61" s="491">
        <v>21780213</v>
      </c>
    </row>
    <row r="62" spans="1:4" s="485" customFormat="1" ht="15.75">
      <c r="A62" s="486" t="s">
        <v>854</v>
      </c>
      <c r="B62" s="487" t="s">
        <v>855</v>
      </c>
      <c r="C62" s="492">
        <f>+C58+C59+C60+C61</f>
        <v>259824635</v>
      </c>
      <c r="D62" s="492">
        <f>+D58+D59+D60+D61</f>
        <v>259824635</v>
      </c>
    </row>
    <row r="63" spans="1:4" s="485" customFormat="1" ht="15.75">
      <c r="A63" s="486" t="s">
        <v>856</v>
      </c>
      <c r="B63" s="487" t="s">
        <v>857</v>
      </c>
      <c r="C63" s="491">
        <v>35481169</v>
      </c>
      <c r="D63" s="491">
        <v>18275307</v>
      </c>
    </row>
    <row r="64" spans="1:4" s="485" customFormat="1" ht="15.75">
      <c r="A64" s="486" t="s">
        <v>858</v>
      </c>
      <c r="B64" s="487" t="s">
        <v>859</v>
      </c>
      <c r="C64" s="491">
        <v>25627863</v>
      </c>
      <c r="D64" s="491">
        <v>25627863</v>
      </c>
    </row>
    <row r="65" spans="1:4" s="485" customFormat="1" ht="15.75">
      <c r="A65" s="486" t="s">
        <v>860</v>
      </c>
      <c r="B65" s="487" t="s">
        <v>861</v>
      </c>
      <c r="C65" s="491">
        <v>3701671</v>
      </c>
      <c r="D65" s="491">
        <v>3701671</v>
      </c>
    </row>
    <row r="66" spans="1:4" s="485" customFormat="1" ht="15.75">
      <c r="A66" s="486" t="s">
        <v>862</v>
      </c>
      <c r="B66" s="487" t="s">
        <v>863</v>
      </c>
      <c r="C66" s="492">
        <f>+C63+C64+C65</f>
        <v>64810703</v>
      </c>
      <c r="D66" s="492">
        <f>+D63+D64+D65</f>
        <v>47604841</v>
      </c>
    </row>
    <row r="67" spans="1:4" s="485" customFormat="1" ht="15.75">
      <c r="A67" s="486" t="s">
        <v>864</v>
      </c>
      <c r="B67" s="487" t="s">
        <v>865</v>
      </c>
      <c r="C67" s="491"/>
      <c r="D67" s="491"/>
    </row>
    <row r="68" spans="1:4" s="485" customFormat="1" ht="21">
      <c r="A68" s="486" t="s">
        <v>866</v>
      </c>
      <c r="B68" s="487" t="s">
        <v>867</v>
      </c>
      <c r="C68" s="491"/>
      <c r="D68" s="491"/>
    </row>
    <row r="69" spans="1:4" s="485" customFormat="1" ht="15.75">
      <c r="A69" s="486" t="s">
        <v>169</v>
      </c>
      <c r="B69" s="487" t="s">
        <v>868</v>
      </c>
      <c r="C69" s="492">
        <v>-4631607</v>
      </c>
      <c r="D69" s="492">
        <v>-4631607</v>
      </c>
    </row>
    <row r="70" spans="1:4" s="485" customFormat="1" ht="15.75">
      <c r="A70" s="486" t="s">
        <v>869</v>
      </c>
      <c r="B70" s="487" t="s">
        <v>870</v>
      </c>
      <c r="C70" s="491"/>
      <c r="D70" s="491"/>
    </row>
    <row r="71" spans="1:4" s="485" customFormat="1" ht="16.5" thickBot="1">
      <c r="A71" s="493" t="s">
        <v>871</v>
      </c>
      <c r="B71" s="494" t="s">
        <v>872</v>
      </c>
      <c r="C71" s="495">
        <f>+C54+C57+C62+C66+C69+C70</f>
        <v>5450939573</v>
      </c>
      <c r="D71" s="495">
        <f>+D54+D57+D62+D66+D69+D70</f>
        <v>3805004439</v>
      </c>
    </row>
    <row r="72" spans="1:4" ht="15.75">
      <c r="A72" s="496"/>
      <c r="C72" s="497"/>
      <c r="D72" s="497"/>
    </row>
    <row r="73" spans="1:4" ht="15.75">
      <c r="A73" s="496"/>
      <c r="C73" s="497"/>
      <c r="D73" s="497"/>
    </row>
    <row r="74" spans="1:4" ht="15.75">
      <c r="A74" s="498"/>
      <c r="C74" s="497"/>
      <c r="D74" s="497"/>
    </row>
    <row r="75" spans="1:4" ht="15.75">
      <c r="A75" s="1021"/>
      <c r="B75" s="1021"/>
      <c r="C75" s="1021"/>
      <c r="D75" s="1021"/>
    </row>
    <row r="76" spans="1:4" ht="15.75">
      <c r="A76" s="1021"/>
      <c r="B76" s="1021"/>
      <c r="C76" s="1021"/>
      <c r="D76" s="1021"/>
    </row>
  </sheetData>
  <sheetProtection/>
  <mergeCells count="12">
    <mergeCell ref="A1:D1"/>
    <mergeCell ref="A2:D2"/>
    <mergeCell ref="A3:D3"/>
    <mergeCell ref="A4:D4"/>
    <mergeCell ref="C5:D5"/>
    <mergeCell ref="D6:D7"/>
    <mergeCell ref="A75:D75"/>
    <mergeCell ref="A76:D76"/>
    <mergeCell ref="A6:A8"/>
    <mergeCell ref="B6:B8"/>
    <mergeCell ref="C6:C7"/>
    <mergeCell ref="C8:D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A25" sqref="A25"/>
    </sheetView>
  </sheetViews>
  <sheetFormatPr defaultColWidth="9.00390625" defaultRowHeight="12.75"/>
  <cols>
    <col min="1" max="1" width="71.125" style="500" customWidth="1"/>
    <col min="2" max="2" width="6.125" style="512" customWidth="1"/>
    <col min="3" max="3" width="18.00390625" style="499" customWidth="1"/>
    <col min="4" max="16384" width="9.375" style="499" customWidth="1"/>
  </cols>
  <sheetData>
    <row r="1" spans="1:3" ht="16.5" customHeight="1">
      <c r="A1" s="1036" t="str">
        <f>CONCATENATE("7.2. tájékoztató tábla ",Z_ALAPADATOK!A7," ",Z_ALAPADATOK!B7," ",Z_ALAPADATOK!C7," ",Z_ALAPADATOK!D7," ",Z_ALAPADATOK!E7," ",Z_ALAPADATOK!F7," ",Z_ALAPADATOK!G7," ",Z_ALAPADATOK!H7)</f>
        <v>7.2. tájékoztató tábla a … / 2020. ( … ) önkormányzati rendelethez</v>
      </c>
      <c r="B1" s="1037"/>
      <c r="C1" s="1037"/>
    </row>
    <row r="2" spans="1:3" ht="16.5" customHeight="1">
      <c r="A2" s="602"/>
      <c r="B2" s="603"/>
      <c r="C2" s="604"/>
    </row>
    <row r="3" spans="1:3" ht="16.5" customHeight="1">
      <c r="A3" s="1040" t="s">
        <v>933</v>
      </c>
      <c r="B3" s="1040"/>
      <c r="C3" s="1040"/>
    </row>
    <row r="4" spans="1:3" ht="16.5" customHeight="1">
      <c r="A4" s="1038" t="s">
        <v>970</v>
      </c>
      <c r="B4" s="1038"/>
      <c r="C4" s="1038"/>
    </row>
    <row r="5" spans="1:3" ht="16.5" customHeight="1">
      <c r="A5" s="1038" t="str">
        <f>'Z_7.1.tájékoztató_t.'!A4</f>
        <v>2019. év</v>
      </c>
      <c r="B5" s="1039"/>
      <c r="C5" s="1039"/>
    </row>
    <row r="6" spans="1:3" ht="13.5" thickBot="1">
      <c r="A6" s="602"/>
      <c r="B6" s="1041" t="str">
        <f>'Z_6.tájékoztató_t.'!E6</f>
        <v>Forintban!</v>
      </c>
      <c r="C6" s="1041"/>
    </row>
    <row r="7" spans="1:3" s="501" customFormat="1" ht="31.5" customHeight="1">
      <c r="A7" s="1042" t="s">
        <v>873</v>
      </c>
      <c r="B7" s="1044" t="s">
        <v>769</v>
      </c>
      <c r="C7" s="1046" t="s">
        <v>874</v>
      </c>
    </row>
    <row r="8" spans="1:3" s="501" customFormat="1" ht="12.75">
      <c r="A8" s="1043"/>
      <c r="B8" s="1045"/>
      <c r="C8" s="1047"/>
    </row>
    <row r="9" spans="1:3" s="502" customFormat="1" ht="13.5" thickBot="1">
      <c r="A9" s="605" t="s">
        <v>565</v>
      </c>
      <c r="B9" s="606" t="s">
        <v>566</v>
      </c>
      <c r="C9" s="607" t="s">
        <v>567</v>
      </c>
    </row>
    <row r="10" spans="1:3" ht="15.75" customHeight="1">
      <c r="A10" s="486" t="s">
        <v>875</v>
      </c>
      <c r="B10" s="503" t="s">
        <v>775</v>
      </c>
      <c r="C10" s="504">
        <v>3971707988</v>
      </c>
    </row>
    <row r="11" spans="1:3" ht="15.75" customHeight="1">
      <c r="A11" s="486" t="s">
        <v>876</v>
      </c>
      <c r="B11" s="487" t="s">
        <v>777</v>
      </c>
      <c r="C11" s="504">
        <v>59679881</v>
      </c>
    </row>
    <row r="12" spans="1:3" ht="15.75" customHeight="1">
      <c r="A12" s="486" t="s">
        <v>877</v>
      </c>
      <c r="B12" s="487" t="s">
        <v>779</v>
      </c>
      <c r="C12" s="504">
        <v>215162801</v>
      </c>
    </row>
    <row r="13" spans="1:3" ht="15.75" customHeight="1">
      <c r="A13" s="486" t="s">
        <v>878</v>
      </c>
      <c r="B13" s="487" t="s">
        <v>781</v>
      </c>
      <c r="C13" s="505">
        <v>-984568145</v>
      </c>
    </row>
    <row r="14" spans="1:3" ht="15.75" customHeight="1">
      <c r="A14" s="486" t="s">
        <v>879</v>
      </c>
      <c r="B14" s="487" t="s">
        <v>783</v>
      </c>
      <c r="C14" s="505"/>
    </row>
    <row r="15" spans="1:3" ht="15.75" customHeight="1">
      <c r="A15" s="486" t="s">
        <v>880</v>
      </c>
      <c r="B15" s="487" t="s">
        <v>785</v>
      </c>
      <c r="C15" s="505">
        <v>-48346879</v>
      </c>
    </row>
    <row r="16" spans="1:3" ht="15.75" customHeight="1">
      <c r="A16" s="486" t="s">
        <v>881</v>
      </c>
      <c r="B16" s="487" t="s">
        <v>787</v>
      </c>
      <c r="C16" s="506">
        <f>+C10+C11+C12+C13+C14+C15</f>
        <v>3213635646</v>
      </c>
    </row>
    <row r="17" spans="1:3" ht="15.75" customHeight="1">
      <c r="A17" s="486" t="s">
        <v>882</v>
      </c>
      <c r="B17" s="487" t="s">
        <v>789</v>
      </c>
      <c r="C17" s="507">
        <v>2176154</v>
      </c>
    </row>
    <row r="18" spans="1:3" ht="15.75" customHeight="1">
      <c r="A18" s="486" t="s">
        <v>883</v>
      </c>
      <c r="B18" s="487" t="s">
        <v>791</v>
      </c>
      <c r="C18" s="505">
        <v>18883381</v>
      </c>
    </row>
    <row r="19" spans="1:3" ht="15.75" customHeight="1">
      <c r="A19" s="486" t="s">
        <v>884</v>
      </c>
      <c r="B19" s="487" t="s">
        <v>195</v>
      </c>
      <c r="C19" s="505">
        <v>7268700</v>
      </c>
    </row>
    <row r="20" spans="1:3" ht="15.75" customHeight="1">
      <c r="A20" s="486" t="s">
        <v>885</v>
      </c>
      <c r="B20" s="487" t="s">
        <v>196</v>
      </c>
      <c r="C20" s="506">
        <f>+C17+C18+C19</f>
        <v>28328235</v>
      </c>
    </row>
    <row r="21" spans="1:3" s="508" customFormat="1" ht="15.75" customHeight="1">
      <c r="A21" s="486" t="s">
        <v>886</v>
      </c>
      <c r="B21" s="487" t="s">
        <v>197</v>
      </c>
      <c r="C21" s="505"/>
    </row>
    <row r="22" spans="1:3" ht="15.75" customHeight="1">
      <c r="A22" s="486" t="s">
        <v>887</v>
      </c>
      <c r="B22" s="487" t="s">
        <v>198</v>
      </c>
      <c r="C22" s="505">
        <v>563040558</v>
      </c>
    </row>
    <row r="23" spans="1:3" ht="15.75" customHeight="1" thickBot="1">
      <c r="A23" s="509" t="s">
        <v>888</v>
      </c>
      <c r="B23" s="494" t="s">
        <v>199</v>
      </c>
      <c r="C23" s="510">
        <f>+C16+C20+C21+C22</f>
        <v>3805004439</v>
      </c>
    </row>
    <row r="24" spans="1:5" ht="15.75">
      <c r="A24" s="496"/>
      <c r="B24" s="498"/>
      <c r="C24" s="497"/>
      <c r="D24" s="497"/>
      <c r="E24" s="497"/>
    </row>
    <row r="25" spans="1:5" ht="15.75">
      <c r="A25" s="496"/>
      <c r="B25" s="498"/>
      <c r="C25" s="497"/>
      <c r="D25" s="497"/>
      <c r="E25" s="497"/>
    </row>
    <row r="26" spans="1:5" ht="15.75">
      <c r="A26" s="498"/>
      <c r="B26" s="498"/>
      <c r="C26" s="497"/>
      <c r="D26" s="497"/>
      <c r="E26" s="497"/>
    </row>
    <row r="27" spans="1:5" ht="15.75">
      <c r="A27" s="1035"/>
      <c r="B27" s="1035"/>
      <c r="C27" s="1035"/>
      <c r="D27" s="511"/>
      <c r="E27" s="511"/>
    </row>
    <row r="28" spans="1:5" ht="15.75">
      <c r="A28" s="1035"/>
      <c r="B28" s="1035"/>
      <c r="C28" s="1035"/>
      <c r="D28" s="511"/>
      <c r="E28" s="511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dőlt"Elek Város Önkormányzat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4">
      <selection activeCell="D11" sqref="D11"/>
    </sheetView>
  </sheetViews>
  <sheetFormatPr defaultColWidth="12.00390625" defaultRowHeight="12.75"/>
  <cols>
    <col min="1" max="1" width="58.875" style="513" customWidth="1"/>
    <col min="2" max="2" width="6.875" style="513" customWidth="1"/>
    <col min="3" max="3" width="17.125" style="513" customWidth="1"/>
    <col min="4" max="4" width="19.125" style="513" customWidth="1"/>
    <col min="5" max="16384" width="12.00390625" style="513" customWidth="1"/>
  </cols>
  <sheetData>
    <row r="1" spans="1:4" ht="16.5" customHeight="1">
      <c r="A1" s="1053" t="str">
        <f>CONCATENATE("7.3. tájékoztató tábla ",Z_ALAPADATOK!A7," ",Z_ALAPADATOK!B7," ",Z_ALAPADATOK!C7," ",Z_ALAPADATOK!D7," ",Z_ALAPADATOK!E7," ",Z_ALAPADATOK!F7," ",Z_ALAPADATOK!G7," ",Z_ALAPADATOK!H7)</f>
        <v>7.3. tájékoztató tábla a … / 2020. ( … ) önkormányzati rendelethez</v>
      </c>
      <c r="B1" s="1053"/>
      <c r="C1" s="1053"/>
      <c r="D1" s="1053"/>
    </row>
    <row r="2" s="608" customFormat="1" ht="16.5" customHeight="1"/>
    <row r="3" spans="1:4" s="541" customFormat="1" ht="16.5" customHeight="1">
      <c r="A3" s="1054" t="s">
        <v>933</v>
      </c>
      <c r="B3" s="1054"/>
      <c r="C3" s="1054"/>
      <c r="D3" s="1054"/>
    </row>
    <row r="4" spans="1:4" s="541" customFormat="1" ht="16.5" customHeight="1">
      <c r="A4" s="1054" t="s">
        <v>937</v>
      </c>
      <c r="B4" s="1054"/>
      <c r="C4" s="1054"/>
      <c r="D4" s="1054"/>
    </row>
    <row r="5" spans="1:4" s="541" customFormat="1" ht="16.5" customHeight="1">
      <c r="A5" s="1048" t="str">
        <f>'Z_7.1.tájékoztató_t.'!A4</f>
        <v>2019. év</v>
      </c>
      <c r="B5" s="1049"/>
      <c r="C5" s="1049"/>
      <c r="D5" s="1049"/>
    </row>
    <row r="6" ht="16.5" customHeight="1" thickBot="1"/>
    <row r="7" spans="1:4" ht="43.5" customHeight="1" thickBot="1">
      <c r="A7" s="514" t="s">
        <v>224</v>
      </c>
      <c r="B7" s="515" t="s">
        <v>769</v>
      </c>
      <c r="C7" s="516" t="s">
        <v>889</v>
      </c>
      <c r="D7" s="517" t="s">
        <v>890</v>
      </c>
    </row>
    <row r="8" spans="1:4" ht="16.5" thickBot="1">
      <c r="A8" s="518" t="s">
        <v>565</v>
      </c>
      <c r="B8" s="519" t="s">
        <v>566</v>
      </c>
      <c r="C8" s="519" t="s">
        <v>567</v>
      </c>
      <c r="D8" s="520" t="s">
        <v>569</v>
      </c>
    </row>
    <row r="9" spans="1:4" ht="15.75" customHeight="1">
      <c r="A9" s="521" t="s">
        <v>891</v>
      </c>
      <c r="B9" s="522" t="s">
        <v>186</v>
      </c>
      <c r="C9" s="523">
        <v>1169</v>
      </c>
      <c r="D9" s="524">
        <v>309365934</v>
      </c>
    </row>
    <row r="10" spans="1:4" ht="15.75" customHeight="1">
      <c r="A10" s="521" t="s">
        <v>892</v>
      </c>
      <c r="B10" s="525" t="s">
        <v>187</v>
      </c>
      <c r="C10" s="526"/>
      <c r="D10" s="527"/>
    </row>
    <row r="11" spans="1:4" ht="15.75" customHeight="1">
      <c r="A11" s="521" t="s">
        <v>893</v>
      </c>
      <c r="B11" s="525" t="s">
        <v>188</v>
      </c>
      <c r="C11" s="526">
        <v>686</v>
      </c>
      <c r="D11" s="527">
        <v>41777889</v>
      </c>
    </row>
    <row r="12" spans="1:4" ht="15.75" customHeight="1" thickBot="1">
      <c r="A12" s="528" t="s">
        <v>894</v>
      </c>
      <c r="B12" s="529" t="s">
        <v>189</v>
      </c>
      <c r="C12" s="530"/>
      <c r="D12" s="531"/>
    </row>
    <row r="13" spans="1:4" ht="15.75" customHeight="1" thickBot="1">
      <c r="A13" s="532" t="s">
        <v>895</v>
      </c>
      <c r="B13" s="533" t="s">
        <v>190</v>
      </c>
      <c r="C13" s="706"/>
      <c r="D13" s="534">
        <f>+D14+D15+D16+D17</f>
        <v>245367296</v>
      </c>
    </row>
    <row r="14" spans="1:4" ht="15.75" customHeight="1">
      <c r="A14" s="535" t="s">
        <v>896</v>
      </c>
      <c r="B14" s="522" t="s">
        <v>191</v>
      </c>
      <c r="C14" s="523">
        <v>48</v>
      </c>
      <c r="D14" s="524">
        <v>245367296</v>
      </c>
    </row>
    <row r="15" spans="1:4" ht="15.75" customHeight="1">
      <c r="A15" s="521" t="s">
        <v>897</v>
      </c>
      <c r="B15" s="525" t="s">
        <v>192</v>
      </c>
      <c r="C15" s="526"/>
      <c r="D15" s="527"/>
    </row>
    <row r="16" spans="1:4" ht="15.75" customHeight="1">
      <c r="A16" s="521" t="s">
        <v>898</v>
      </c>
      <c r="B16" s="525" t="s">
        <v>193</v>
      </c>
      <c r="C16" s="526"/>
      <c r="D16" s="527"/>
    </row>
    <row r="17" spans="1:4" ht="15.75" customHeight="1" thickBot="1">
      <c r="A17" s="528" t="s">
        <v>899</v>
      </c>
      <c r="B17" s="529" t="s">
        <v>194</v>
      </c>
      <c r="C17" s="530"/>
      <c r="D17" s="531"/>
    </row>
    <row r="18" spans="1:4" ht="15.75" customHeight="1" thickBot="1">
      <c r="A18" s="532" t="s">
        <v>900</v>
      </c>
      <c r="B18" s="533" t="s">
        <v>195</v>
      </c>
      <c r="C18" s="706"/>
      <c r="D18" s="534">
        <f>+D19+D20+D21</f>
        <v>0</v>
      </c>
    </row>
    <row r="19" spans="1:4" ht="15.75" customHeight="1">
      <c r="A19" s="535" t="s">
        <v>901</v>
      </c>
      <c r="B19" s="522" t="s">
        <v>196</v>
      </c>
      <c r="C19" s="523"/>
      <c r="D19" s="524"/>
    </row>
    <row r="20" spans="1:4" ht="15.75" customHeight="1">
      <c r="A20" s="521" t="s">
        <v>902</v>
      </c>
      <c r="B20" s="525" t="s">
        <v>197</v>
      </c>
      <c r="C20" s="526"/>
      <c r="D20" s="527"/>
    </row>
    <row r="21" spans="1:4" ht="15.75" customHeight="1" thickBot="1">
      <c r="A21" s="528" t="s">
        <v>903</v>
      </c>
      <c r="B21" s="529" t="s">
        <v>198</v>
      </c>
      <c r="C21" s="530"/>
      <c r="D21" s="531"/>
    </row>
    <row r="22" spans="1:4" ht="15.75" customHeight="1" thickBot="1">
      <c r="A22" s="532" t="s">
        <v>904</v>
      </c>
      <c r="B22" s="533" t="s">
        <v>199</v>
      </c>
      <c r="C22" s="706"/>
      <c r="D22" s="534">
        <f>+D23+D24+D25</f>
        <v>0</v>
      </c>
    </row>
    <row r="23" spans="1:4" ht="15.75" customHeight="1">
      <c r="A23" s="535" t="s">
        <v>905</v>
      </c>
      <c r="B23" s="522" t="s">
        <v>200</v>
      </c>
      <c r="C23" s="523"/>
      <c r="D23" s="524"/>
    </row>
    <row r="24" spans="1:4" ht="15.75" customHeight="1">
      <c r="A24" s="521" t="s">
        <v>906</v>
      </c>
      <c r="B24" s="525" t="s">
        <v>201</v>
      </c>
      <c r="C24" s="526"/>
      <c r="D24" s="527"/>
    </row>
    <row r="25" spans="1:4" ht="15.75" customHeight="1">
      <c r="A25" s="521" t="s">
        <v>907</v>
      </c>
      <c r="B25" s="525" t="s">
        <v>202</v>
      </c>
      <c r="C25" s="526"/>
      <c r="D25" s="527"/>
    </row>
    <row r="26" spans="1:4" ht="15.75" customHeight="1">
      <c r="A26" s="521" t="s">
        <v>908</v>
      </c>
      <c r="B26" s="525" t="s">
        <v>203</v>
      </c>
      <c r="C26" s="526"/>
      <c r="D26" s="527"/>
    </row>
    <row r="27" spans="1:4" ht="15.75" customHeight="1">
      <c r="A27" s="521"/>
      <c r="B27" s="525" t="s">
        <v>204</v>
      </c>
      <c r="C27" s="526"/>
      <c r="D27" s="527"/>
    </row>
    <row r="28" spans="1:4" ht="15.75" customHeight="1">
      <c r="A28" s="521"/>
      <c r="B28" s="525" t="s">
        <v>205</v>
      </c>
      <c r="C28" s="526"/>
      <c r="D28" s="527"/>
    </row>
    <row r="29" spans="1:4" ht="15.75" customHeight="1">
      <c r="A29" s="521"/>
      <c r="B29" s="525" t="s">
        <v>206</v>
      </c>
      <c r="C29" s="526"/>
      <c r="D29" s="527"/>
    </row>
    <row r="30" spans="1:4" ht="15.75" customHeight="1">
      <c r="A30" s="521"/>
      <c r="B30" s="525" t="s">
        <v>207</v>
      </c>
      <c r="C30" s="526"/>
      <c r="D30" s="527"/>
    </row>
    <row r="31" spans="1:4" ht="15.75" customHeight="1">
      <c r="A31" s="521"/>
      <c r="B31" s="525" t="s">
        <v>208</v>
      </c>
      <c r="C31" s="526"/>
      <c r="D31" s="527"/>
    </row>
    <row r="32" spans="1:4" ht="15.75" customHeight="1">
      <c r="A32" s="521"/>
      <c r="B32" s="525" t="s">
        <v>209</v>
      </c>
      <c r="C32" s="526"/>
      <c r="D32" s="527"/>
    </row>
    <row r="33" spans="1:4" ht="15.75" customHeight="1">
      <c r="A33" s="521"/>
      <c r="B33" s="525" t="s">
        <v>210</v>
      </c>
      <c r="C33" s="526"/>
      <c r="D33" s="527"/>
    </row>
    <row r="34" spans="1:4" ht="15.75" customHeight="1">
      <c r="A34" s="521"/>
      <c r="B34" s="525" t="s">
        <v>211</v>
      </c>
      <c r="C34" s="526"/>
      <c r="D34" s="527"/>
    </row>
    <row r="35" spans="1:4" ht="15.75" customHeight="1">
      <c r="A35" s="521"/>
      <c r="B35" s="525" t="s">
        <v>212</v>
      </c>
      <c r="C35" s="526"/>
      <c r="D35" s="527"/>
    </row>
    <row r="36" spans="1:4" ht="15.75" customHeight="1">
      <c r="A36" s="521"/>
      <c r="B36" s="525" t="s">
        <v>213</v>
      </c>
      <c r="C36" s="526"/>
      <c r="D36" s="527"/>
    </row>
    <row r="37" spans="1:4" ht="15.75" customHeight="1">
      <c r="A37" s="521"/>
      <c r="B37" s="525" t="s">
        <v>763</v>
      </c>
      <c r="C37" s="526"/>
      <c r="D37" s="527"/>
    </row>
    <row r="38" spans="1:4" ht="15.75" customHeight="1">
      <c r="A38" s="521"/>
      <c r="B38" s="525" t="s">
        <v>764</v>
      </c>
      <c r="C38" s="526"/>
      <c r="D38" s="527"/>
    </row>
    <row r="39" spans="1:4" ht="15.75" customHeight="1">
      <c r="A39" s="521"/>
      <c r="B39" s="525" t="s">
        <v>765</v>
      </c>
      <c r="C39" s="526"/>
      <c r="D39" s="527"/>
    </row>
    <row r="40" spans="1:4" ht="15.75" customHeight="1">
      <c r="A40" s="521"/>
      <c r="B40" s="525" t="s">
        <v>766</v>
      </c>
      <c r="C40" s="526"/>
      <c r="D40" s="527"/>
    </row>
    <row r="41" spans="1:4" ht="15.75" customHeight="1" thickBot="1">
      <c r="A41" s="528"/>
      <c r="B41" s="529" t="s">
        <v>767</v>
      </c>
      <c r="C41" s="530"/>
      <c r="D41" s="531"/>
    </row>
    <row r="42" spans="1:6" ht="15.75" customHeight="1" thickBot="1">
      <c r="A42" s="1050" t="s">
        <v>909</v>
      </c>
      <c r="B42" s="1051"/>
      <c r="C42" s="536"/>
      <c r="D42" s="534">
        <f>+D9+D10+D11+D12+D13+D18+D22+D26+D27+D28+D29+D30+D31+D32+D33+D34+D35+D36+D37+D38+D39+D40+D41</f>
        <v>596511119</v>
      </c>
      <c r="F42" s="537"/>
    </row>
    <row r="43" ht="15.75">
      <c r="A43" s="538" t="s">
        <v>910</v>
      </c>
    </row>
    <row r="44" spans="1:4" ht="15.75">
      <c r="A44" s="539"/>
      <c r="B44" s="539"/>
      <c r="C44" s="1052"/>
      <c r="D44" s="1052"/>
    </row>
    <row r="45" spans="1:2" ht="15.75">
      <c r="A45" s="540"/>
      <c r="B45" s="540"/>
    </row>
    <row r="46" spans="1:3" ht="15.75">
      <c r="A46" s="540"/>
      <c r="B46" s="540"/>
      <c r="C46" s="540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9.375" style="77" customWidth="1"/>
    <col min="2" max="2" width="51.875" style="77" customWidth="1"/>
    <col min="3" max="3" width="25.00390625" style="77" customWidth="1"/>
    <col min="4" max="4" width="22.875" style="77" customWidth="1"/>
    <col min="5" max="5" width="25.00390625" style="77" customWidth="1"/>
    <col min="6" max="6" width="5.50390625" style="77" customWidth="1"/>
    <col min="7" max="16384" width="9.375" style="77" customWidth="1"/>
  </cols>
  <sheetData>
    <row r="1" spans="1:5" ht="12.75">
      <c r="A1" s="612"/>
      <c r="B1" s="612"/>
      <c r="C1" s="612"/>
      <c r="D1" s="612"/>
      <c r="E1" s="612"/>
    </row>
    <row r="2" spans="1:5" ht="15.75">
      <c r="A2" s="852" t="str">
        <f>CONCATENATE(PROPER(Z_ALAPADATOK!A3)," tulajdonában álló gazdálkodó szervezetek működéséből származó")</f>
        <v>Elek Város Önkormányzata tulajdonában álló gazdálkodó szervezetek működéséből származó</v>
      </c>
      <c r="B2" s="852"/>
      <c r="C2" s="852"/>
      <c r="D2" s="852"/>
      <c r="E2" s="852"/>
    </row>
    <row r="3" spans="1:6" ht="15.75">
      <c r="A3" s="1058" t="str">
        <f>CONCATENATE("kötelezettségek és részesedések alakulása ",Z_ALAPADATOK!B1,". évben")</f>
        <v>kötelezettségek és részesedések alakulása 2019. évben</v>
      </c>
      <c r="B3" s="852"/>
      <c r="C3" s="852"/>
      <c r="D3" s="852"/>
      <c r="E3" s="852"/>
      <c r="F3" s="1055" t="str">
        <f>CONCATENATE("8. tájékoztató tábla ",Z_ALAPADATOK!A7," ",Z_ALAPADATOK!B7," ",Z_ALAPADATOK!C7," ",Z_ALAPADATOK!D7," ",Z_ALAPADATOK!E7," ",Z_ALAPADATOK!F7," ",Z_ALAPADATOK!G7," ",Z_ALAPADATOK!H7)</f>
        <v>8. tájékoztató tábla a … / 2020. ( … ) önkormányzati rendelethez</v>
      </c>
    </row>
    <row r="4" spans="1:6" ht="16.5" thickBot="1">
      <c r="A4" s="613"/>
      <c r="B4" s="612"/>
      <c r="C4" s="612"/>
      <c r="D4" s="612"/>
      <c r="E4" s="612"/>
      <c r="F4" s="1055"/>
    </row>
    <row r="5" spans="1:6" ht="79.5" thickBot="1">
      <c r="A5" s="614" t="s">
        <v>769</v>
      </c>
      <c r="B5" s="615" t="s">
        <v>911</v>
      </c>
      <c r="C5" s="615" t="s">
        <v>912</v>
      </c>
      <c r="D5" s="615" t="s">
        <v>913</v>
      </c>
      <c r="E5" s="616" t="s">
        <v>914</v>
      </c>
      <c r="F5" s="1055"/>
    </row>
    <row r="6" spans="1:6" ht="15.75">
      <c r="A6" s="609" t="s">
        <v>186</v>
      </c>
      <c r="B6" s="832" t="s">
        <v>170</v>
      </c>
      <c r="C6" s="833">
        <v>1</v>
      </c>
      <c r="D6" s="834">
        <v>3000000</v>
      </c>
      <c r="E6" s="543"/>
      <c r="F6" s="1055"/>
    </row>
    <row r="7" spans="1:6" ht="15.75">
      <c r="A7" s="610" t="s">
        <v>187</v>
      </c>
      <c r="B7" s="835" t="s">
        <v>171</v>
      </c>
      <c r="C7" s="836"/>
      <c r="D7" s="837">
        <v>9800000</v>
      </c>
      <c r="E7" s="547"/>
      <c r="F7" s="1055"/>
    </row>
    <row r="8" spans="1:6" ht="15.75">
      <c r="A8" s="610" t="s">
        <v>188</v>
      </c>
      <c r="B8" s="544"/>
      <c r="C8" s="545"/>
      <c r="D8" s="546"/>
      <c r="E8" s="547"/>
      <c r="F8" s="1055"/>
    </row>
    <row r="9" spans="1:6" ht="15.75">
      <c r="A9" s="610" t="s">
        <v>189</v>
      </c>
      <c r="B9" s="544"/>
      <c r="C9" s="545"/>
      <c r="D9" s="546"/>
      <c r="E9" s="547"/>
      <c r="F9" s="1055"/>
    </row>
    <row r="10" spans="1:6" ht="15.75">
      <c r="A10" s="610" t="s">
        <v>190</v>
      </c>
      <c r="B10" s="544"/>
      <c r="C10" s="545"/>
      <c r="D10" s="546"/>
      <c r="E10" s="547"/>
      <c r="F10" s="1055"/>
    </row>
    <row r="11" spans="1:6" ht="15.75">
      <c r="A11" s="610" t="s">
        <v>191</v>
      </c>
      <c r="B11" s="544"/>
      <c r="C11" s="545"/>
      <c r="D11" s="546"/>
      <c r="E11" s="547"/>
      <c r="F11" s="1055"/>
    </row>
    <row r="12" spans="1:6" ht="15.75">
      <c r="A12" s="610" t="s">
        <v>192</v>
      </c>
      <c r="B12" s="544"/>
      <c r="C12" s="545"/>
      <c r="D12" s="546"/>
      <c r="E12" s="547"/>
      <c r="F12" s="1055"/>
    </row>
    <row r="13" spans="1:6" ht="15.75">
      <c r="A13" s="610" t="s">
        <v>193</v>
      </c>
      <c r="B13" s="544"/>
      <c r="C13" s="545"/>
      <c r="D13" s="546"/>
      <c r="E13" s="547"/>
      <c r="F13" s="1055"/>
    </row>
    <row r="14" spans="1:6" ht="15.75">
      <c r="A14" s="610" t="s">
        <v>194</v>
      </c>
      <c r="B14" s="544"/>
      <c r="C14" s="545"/>
      <c r="D14" s="546"/>
      <c r="E14" s="547"/>
      <c r="F14" s="1055"/>
    </row>
    <row r="15" spans="1:6" ht="15.75">
      <c r="A15" s="610" t="s">
        <v>195</v>
      </c>
      <c r="B15" s="544"/>
      <c r="C15" s="545"/>
      <c r="D15" s="546"/>
      <c r="E15" s="547"/>
      <c r="F15" s="1055"/>
    </row>
    <row r="16" spans="1:6" ht="15.75">
      <c r="A16" s="610" t="s">
        <v>196</v>
      </c>
      <c r="B16" s="544"/>
      <c r="C16" s="545"/>
      <c r="D16" s="546"/>
      <c r="E16" s="547"/>
      <c r="F16" s="1055"/>
    </row>
    <row r="17" spans="1:6" ht="15.75">
      <c r="A17" s="610" t="s">
        <v>197</v>
      </c>
      <c r="B17" s="544"/>
      <c r="C17" s="545"/>
      <c r="D17" s="546"/>
      <c r="E17" s="547"/>
      <c r="F17" s="1055"/>
    </row>
    <row r="18" spans="1:6" ht="15.75">
      <c r="A18" s="610" t="s">
        <v>198</v>
      </c>
      <c r="B18" s="544"/>
      <c r="C18" s="545"/>
      <c r="D18" s="546"/>
      <c r="E18" s="547"/>
      <c r="F18" s="1055"/>
    </row>
    <row r="19" spans="1:6" ht="15.75">
      <c r="A19" s="610" t="s">
        <v>199</v>
      </c>
      <c r="B19" s="544"/>
      <c r="C19" s="545"/>
      <c r="D19" s="546"/>
      <c r="E19" s="547"/>
      <c r="F19" s="1055"/>
    </row>
    <row r="20" spans="1:6" ht="15.75">
      <c r="A20" s="610" t="s">
        <v>200</v>
      </c>
      <c r="B20" s="544"/>
      <c r="C20" s="545"/>
      <c r="D20" s="546"/>
      <c r="E20" s="547"/>
      <c r="F20" s="1055"/>
    </row>
    <row r="21" spans="1:6" ht="15.75">
      <c r="A21" s="610" t="s">
        <v>201</v>
      </c>
      <c r="B21" s="544"/>
      <c r="C21" s="545"/>
      <c r="D21" s="546"/>
      <c r="E21" s="547"/>
      <c r="F21" s="1055"/>
    </row>
    <row r="22" spans="1:6" ht="16.5" thickBot="1">
      <c r="A22" s="611" t="s">
        <v>202</v>
      </c>
      <c r="B22" s="548"/>
      <c r="C22" s="549"/>
      <c r="D22" s="550"/>
      <c r="E22" s="551"/>
      <c r="F22" s="1055"/>
    </row>
    <row r="23" spans="1:6" ht="16.5" thickBot="1">
      <c r="A23" s="1056" t="s">
        <v>915</v>
      </c>
      <c r="B23" s="1057"/>
      <c r="C23" s="552"/>
      <c r="D23" s="553">
        <f>IF(SUM(D6:D22)=0,"",SUM(D6:D22))</f>
        <v>12800000</v>
      </c>
      <c r="E23" s="554">
        <f>IF(SUM(E6:E22)=0,"",SUM(E6:E22))</f>
      </c>
      <c r="F23" s="1055"/>
    </row>
    <row r="24" ht="15.75">
      <c r="A24" s="542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18">
      <selection activeCell="G106" sqref="G106"/>
    </sheetView>
  </sheetViews>
  <sheetFormatPr defaultColWidth="9.00390625" defaultRowHeight="12.75"/>
  <cols>
    <col min="1" max="1" width="9.50390625" style="152" customWidth="1"/>
    <col min="2" max="2" width="65.875" style="152" customWidth="1"/>
    <col min="3" max="3" width="17.875" style="153" customWidth="1"/>
    <col min="4" max="5" width="17.875" style="174" customWidth="1"/>
    <col min="6" max="16384" width="9.375" style="174" customWidth="1"/>
  </cols>
  <sheetData>
    <row r="1" spans="1:5" ht="15.75">
      <c r="A1" s="310"/>
      <c r="B1" s="860" t="str">
        <f>CONCATENATE("1.1. melléklet ",Z_ALAPADATOK!A7," ",Z_ALAPADATOK!B7," ",Z_ALAPADATOK!C7," ",Z_ALAPADATOK!D7," ",Z_ALAPADATOK!E7," ",Z_ALAPADATOK!F7," ",Z_ALAPADATOK!G7," ",Z_ALAPADATOK!H7)</f>
        <v>1.1. melléklet a … / 2020. ( … ) önkormányzati rendelethez</v>
      </c>
      <c r="C1" s="861"/>
      <c r="D1" s="861"/>
      <c r="E1" s="861"/>
    </row>
    <row r="2" spans="1:5" ht="15.75">
      <c r="A2" s="862" t="str">
        <f>CONCATENATE(Z_ALAPADATOK!A3)</f>
        <v>Elek Város Önkormányzata</v>
      </c>
      <c r="B2" s="863"/>
      <c r="C2" s="863"/>
      <c r="D2" s="863"/>
      <c r="E2" s="863"/>
    </row>
    <row r="3" spans="1:5" ht="15.75">
      <c r="A3" s="862" t="str">
        <f>CONCATENATE(Z_ALAPADATOK!B1,". évi ZÁRSZÁMADÁSÁNAK PÉNZÜGYI MÉRLEGE")</f>
        <v>2019. évi ZÁRSZÁMADÁSÁNAK PÉNZÜGYI MÉRLEGE</v>
      </c>
      <c r="B3" s="862"/>
      <c r="C3" s="864"/>
      <c r="D3" s="862"/>
      <c r="E3" s="862"/>
    </row>
    <row r="4" spans="1:5" ht="12" customHeight="1">
      <c r="A4" s="862"/>
      <c r="B4" s="862"/>
      <c r="C4" s="864"/>
      <c r="D4" s="862"/>
      <c r="E4" s="862"/>
    </row>
    <row r="5" spans="1:5" ht="15.75">
      <c r="A5" s="310"/>
      <c r="B5" s="310"/>
      <c r="C5" s="311"/>
      <c r="D5" s="312"/>
      <c r="E5" s="312"/>
    </row>
    <row r="6" spans="1:5" ht="15.75" customHeight="1">
      <c r="A6" s="874" t="s">
        <v>183</v>
      </c>
      <c r="B6" s="874"/>
      <c r="C6" s="874"/>
      <c r="D6" s="874"/>
      <c r="E6" s="874"/>
    </row>
    <row r="7" spans="1:5" ht="15.75" customHeight="1" thickBot="1">
      <c r="A7" s="876" t="s">
        <v>280</v>
      </c>
      <c r="B7" s="876"/>
      <c r="C7" s="313"/>
      <c r="D7" s="312"/>
      <c r="E7" s="313" t="s">
        <v>667</v>
      </c>
    </row>
    <row r="8" spans="1:5" ht="15.75">
      <c r="A8" s="866" t="s">
        <v>231</v>
      </c>
      <c r="B8" s="868" t="s">
        <v>185</v>
      </c>
      <c r="C8" s="870" t="str">
        <f>+CONCATENATE(LEFT(Z_ÖSSZEFÜGGÉSEK!A6,4),". évi")</f>
        <v>2019. évi</v>
      </c>
      <c r="D8" s="871"/>
      <c r="E8" s="872"/>
    </row>
    <row r="9" spans="1:5" ht="24.75" thickBot="1">
      <c r="A9" s="867"/>
      <c r="B9" s="869"/>
      <c r="C9" s="243" t="s">
        <v>598</v>
      </c>
      <c r="D9" s="242" t="s">
        <v>599</v>
      </c>
      <c r="E9" s="303" t="str">
        <f>+CONCATENATE(LEFT(Z_ÖSSZEFÜGGÉSEK!A6,4),". XII. 31.",CHAR(10),"teljesítés")</f>
        <v>2019. XII. 31.
teljesítés</v>
      </c>
    </row>
    <row r="10" spans="1:5" s="175" customFormat="1" ht="12" customHeight="1" thickBot="1">
      <c r="A10" s="171" t="s">
        <v>565</v>
      </c>
      <c r="B10" s="172" t="s">
        <v>566</v>
      </c>
      <c r="C10" s="172" t="s">
        <v>567</v>
      </c>
      <c r="D10" s="172" t="s">
        <v>569</v>
      </c>
      <c r="E10" s="244" t="s">
        <v>568</v>
      </c>
    </row>
    <row r="11" spans="1:5" s="176" customFormat="1" ht="12" customHeight="1" thickBot="1">
      <c r="A11" s="18" t="s">
        <v>186</v>
      </c>
      <c r="B11" s="19" t="s">
        <v>342</v>
      </c>
      <c r="C11" s="164">
        <f>+C12+C13+C14+C15+C16+C17</f>
        <v>413947518</v>
      </c>
      <c r="D11" s="164">
        <f>+D12+D13+D14+D15+D16+D17</f>
        <v>472195561</v>
      </c>
      <c r="E11" s="100">
        <f>+E12+E13+E14+E15+E16+E17</f>
        <v>472195561</v>
      </c>
    </row>
    <row r="12" spans="1:5" s="176" customFormat="1" ht="12" customHeight="1">
      <c r="A12" s="13" t="s">
        <v>243</v>
      </c>
      <c r="B12" s="177" t="s">
        <v>343</v>
      </c>
      <c r="C12" s="166">
        <v>180621648</v>
      </c>
      <c r="D12" s="166">
        <v>186418794</v>
      </c>
      <c r="E12" s="166">
        <v>186418794</v>
      </c>
    </row>
    <row r="13" spans="1:5" s="176" customFormat="1" ht="12" customHeight="1">
      <c r="A13" s="12" t="s">
        <v>244</v>
      </c>
      <c r="B13" s="178" t="s">
        <v>344</v>
      </c>
      <c r="C13" s="165">
        <v>91830668</v>
      </c>
      <c r="D13" s="165">
        <v>92224426</v>
      </c>
      <c r="E13" s="165">
        <v>92224426</v>
      </c>
    </row>
    <row r="14" spans="1:5" s="176" customFormat="1" ht="12" customHeight="1">
      <c r="A14" s="12" t="s">
        <v>245</v>
      </c>
      <c r="B14" s="178" t="s">
        <v>345</v>
      </c>
      <c r="C14" s="165">
        <v>135618232</v>
      </c>
      <c r="D14" s="165">
        <v>154357883</v>
      </c>
      <c r="E14" s="165">
        <v>154357883</v>
      </c>
    </row>
    <row r="15" spans="1:5" s="176" customFormat="1" ht="12" customHeight="1">
      <c r="A15" s="12" t="s">
        <v>246</v>
      </c>
      <c r="B15" s="178" t="s">
        <v>346</v>
      </c>
      <c r="C15" s="165">
        <v>5876970</v>
      </c>
      <c r="D15" s="165">
        <v>6759903</v>
      </c>
      <c r="E15" s="165">
        <v>6759903</v>
      </c>
    </row>
    <row r="16" spans="1:5" s="176" customFormat="1" ht="12" customHeight="1">
      <c r="A16" s="12" t="s">
        <v>277</v>
      </c>
      <c r="B16" s="108" t="s">
        <v>513</v>
      </c>
      <c r="C16" s="165"/>
      <c r="D16" s="165">
        <v>32434555</v>
      </c>
      <c r="E16" s="165">
        <v>32434555</v>
      </c>
    </row>
    <row r="17" spans="1:5" s="176" customFormat="1" ht="12" customHeight="1" thickBot="1">
      <c r="A17" s="14" t="s">
        <v>247</v>
      </c>
      <c r="B17" s="109" t="s">
        <v>514</v>
      </c>
      <c r="C17" s="165"/>
      <c r="D17" s="165"/>
      <c r="E17" s="101"/>
    </row>
    <row r="18" spans="1:5" s="176" customFormat="1" ht="12" customHeight="1" thickBot="1">
      <c r="A18" s="18" t="s">
        <v>187</v>
      </c>
      <c r="B18" s="107" t="s">
        <v>347</v>
      </c>
      <c r="C18" s="164">
        <f>+C19+C20+C21+C22+C23</f>
        <v>22781887</v>
      </c>
      <c r="D18" s="164">
        <f>+D19+D20+D21+D22+D23</f>
        <v>218388896</v>
      </c>
      <c r="E18" s="100">
        <f>+E19+E20+E21+E22+E23</f>
        <v>218388896</v>
      </c>
    </row>
    <row r="19" spans="1:5" s="176" customFormat="1" ht="12" customHeight="1">
      <c r="A19" s="13" t="s">
        <v>249</v>
      </c>
      <c r="B19" s="177" t="s">
        <v>348</v>
      </c>
      <c r="C19" s="166"/>
      <c r="D19" s="166"/>
      <c r="E19" s="102"/>
    </row>
    <row r="20" spans="1:5" s="176" customFormat="1" ht="12" customHeight="1">
      <c r="A20" s="12" t="s">
        <v>250</v>
      </c>
      <c r="B20" s="178" t="s">
        <v>349</v>
      </c>
      <c r="C20" s="165"/>
      <c r="D20" s="165"/>
      <c r="E20" s="101"/>
    </row>
    <row r="21" spans="1:5" s="176" customFormat="1" ht="12" customHeight="1">
      <c r="A21" s="12" t="s">
        <v>251</v>
      </c>
      <c r="B21" s="178" t="s">
        <v>505</v>
      </c>
      <c r="C21" s="165"/>
      <c r="D21" s="165"/>
      <c r="E21" s="101"/>
    </row>
    <row r="22" spans="1:5" s="176" customFormat="1" ht="12" customHeight="1">
      <c r="A22" s="12" t="s">
        <v>252</v>
      </c>
      <c r="B22" s="178" t="s">
        <v>506</v>
      </c>
      <c r="C22" s="165"/>
      <c r="D22" s="165"/>
      <c r="E22" s="101"/>
    </row>
    <row r="23" spans="1:5" s="176" customFormat="1" ht="12" customHeight="1">
      <c r="A23" s="12" t="s">
        <v>253</v>
      </c>
      <c r="B23" s="178" t="s">
        <v>350</v>
      </c>
      <c r="C23" s="165">
        <v>22781887</v>
      </c>
      <c r="D23" s="165">
        <v>218388896</v>
      </c>
      <c r="E23" s="101">
        <v>218388896</v>
      </c>
    </row>
    <row r="24" spans="1:5" s="176" customFormat="1" ht="12" customHeight="1" thickBot="1">
      <c r="A24" s="14" t="s">
        <v>260</v>
      </c>
      <c r="B24" s="109" t="s">
        <v>351</v>
      </c>
      <c r="C24" s="167">
        <v>3139296</v>
      </c>
      <c r="D24" s="167">
        <v>7910590</v>
      </c>
      <c r="E24" s="738">
        <v>10211730</v>
      </c>
    </row>
    <row r="25" spans="1:5" s="176" customFormat="1" ht="12" customHeight="1" thickBot="1">
      <c r="A25" s="18" t="s">
        <v>188</v>
      </c>
      <c r="B25" s="19" t="s">
        <v>352</v>
      </c>
      <c r="C25" s="164">
        <f>+C26+C27+C28+C29+C30</f>
        <v>8856290</v>
      </c>
      <c r="D25" s="164">
        <f>+D26+D27+D28+D29+D30</f>
        <v>40395785</v>
      </c>
      <c r="E25" s="100">
        <f>+E26+E27+E28+E29+E30</f>
        <v>40395785</v>
      </c>
    </row>
    <row r="26" spans="1:5" s="176" customFormat="1" ht="12" customHeight="1">
      <c r="A26" s="13" t="s">
        <v>232</v>
      </c>
      <c r="B26" s="177" t="s">
        <v>353</v>
      </c>
      <c r="C26" s="166">
        <v>8856290</v>
      </c>
      <c r="D26" s="166">
        <v>9124290</v>
      </c>
      <c r="E26" s="102">
        <v>268000</v>
      </c>
    </row>
    <row r="27" spans="1:5" s="176" customFormat="1" ht="12" customHeight="1">
      <c r="A27" s="12" t="s">
        <v>233</v>
      </c>
      <c r="B27" s="178" t="s">
        <v>354</v>
      </c>
      <c r="C27" s="165"/>
      <c r="D27" s="165"/>
      <c r="E27" s="101"/>
    </row>
    <row r="28" spans="1:5" s="176" customFormat="1" ht="12" customHeight="1">
      <c r="A28" s="12" t="s">
        <v>234</v>
      </c>
      <c r="B28" s="178" t="s">
        <v>507</v>
      </c>
      <c r="C28" s="165"/>
      <c r="D28" s="165"/>
      <c r="E28" s="101"/>
    </row>
    <row r="29" spans="1:5" s="176" customFormat="1" ht="12" customHeight="1">
      <c r="A29" s="12" t="s">
        <v>235</v>
      </c>
      <c r="B29" s="178" t="s">
        <v>508</v>
      </c>
      <c r="C29" s="165"/>
      <c r="D29" s="165"/>
      <c r="E29" s="101"/>
    </row>
    <row r="30" spans="1:5" s="176" customFormat="1" ht="12" customHeight="1">
      <c r="A30" s="12" t="s">
        <v>290</v>
      </c>
      <c r="B30" s="178" t="s">
        <v>355</v>
      </c>
      <c r="C30" s="165"/>
      <c r="D30" s="165">
        <v>31271495</v>
      </c>
      <c r="E30" s="101">
        <v>40127785</v>
      </c>
    </row>
    <row r="31" spans="1:5" s="176" customFormat="1" ht="12" customHeight="1" thickBot="1">
      <c r="A31" s="14" t="s">
        <v>291</v>
      </c>
      <c r="B31" s="179" t="s">
        <v>356</v>
      </c>
      <c r="C31" s="167"/>
      <c r="D31" s="167"/>
      <c r="E31" s="103"/>
    </row>
    <row r="32" spans="1:5" s="176" customFormat="1" ht="12" customHeight="1" thickBot="1">
      <c r="A32" s="18" t="s">
        <v>292</v>
      </c>
      <c r="B32" s="19" t="s">
        <v>656</v>
      </c>
      <c r="C32" s="170">
        <f>SUM(C33:C39)</f>
        <v>60000000</v>
      </c>
      <c r="D32" s="170">
        <f>SUM(D33:D39)</f>
        <v>74848030</v>
      </c>
      <c r="E32" s="206">
        <f>SUM(E33:E39)</f>
        <v>74848030</v>
      </c>
    </row>
    <row r="33" spans="1:5" s="176" customFormat="1" ht="12" customHeight="1">
      <c r="A33" s="13" t="s">
        <v>357</v>
      </c>
      <c r="B33" s="707" t="s">
        <v>43</v>
      </c>
      <c r="C33" s="166">
        <v>4500000</v>
      </c>
      <c r="D33" s="166">
        <v>4673191</v>
      </c>
      <c r="E33" s="102">
        <v>4673191</v>
      </c>
    </row>
    <row r="34" spans="1:5" s="176" customFormat="1" ht="12" customHeight="1">
      <c r="A34" s="12" t="s">
        <v>358</v>
      </c>
      <c r="B34" s="708" t="s">
        <v>30</v>
      </c>
      <c r="C34" s="165"/>
      <c r="D34" s="165"/>
      <c r="E34" s="101"/>
    </row>
    <row r="35" spans="1:5" s="176" customFormat="1" ht="12" customHeight="1">
      <c r="A35" s="12" t="s">
        <v>359</v>
      </c>
      <c r="B35" s="708" t="s">
        <v>658</v>
      </c>
      <c r="C35" s="165">
        <v>48000000</v>
      </c>
      <c r="D35" s="165">
        <v>59690359</v>
      </c>
      <c r="E35" s="101">
        <v>59690359</v>
      </c>
    </row>
    <row r="36" spans="1:5" s="176" customFormat="1" ht="12" customHeight="1">
      <c r="A36" s="12" t="s">
        <v>360</v>
      </c>
      <c r="B36" s="708" t="s">
        <v>659</v>
      </c>
      <c r="C36" s="165"/>
      <c r="D36" s="165"/>
      <c r="E36" s="101"/>
    </row>
    <row r="37" spans="1:5" s="176" customFormat="1" ht="12" customHeight="1">
      <c r="A37" s="12" t="s">
        <v>660</v>
      </c>
      <c r="B37" s="708" t="s">
        <v>361</v>
      </c>
      <c r="C37" s="165">
        <v>7500000</v>
      </c>
      <c r="D37" s="165">
        <v>9880000</v>
      </c>
      <c r="E37" s="101">
        <v>9880000</v>
      </c>
    </row>
    <row r="38" spans="1:5" s="176" customFormat="1" ht="12" customHeight="1">
      <c r="A38" s="12" t="s">
        <v>661</v>
      </c>
      <c r="B38" s="708" t="s">
        <v>15</v>
      </c>
      <c r="C38" s="165"/>
      <c r="D38" s="165"/>
      <c r="E38" s="101"/>
    </row>
    <row r="39" spans="1:5" s="176" customFormat="1" ht="12" customHeight="1" thickBot="1">
      <c r="A39" s="14" t="s">
        <v>662</v>
      </c>
      <c r="B39" s="709" t="s">
        <v>44</v>
      </c>
      <c r="C39" s="167"/>
      <c r="D39" s="167">
        <v>604480</v>
      </c>
      <c r="E39" s="103">
        <v>604480</v>
      </c>
    </row>
    <row r="40" spans="1:5" s="176" customFormat="1" ht="12" customHeight="1" thickBot="1">
      <c r="A40" s="18" t="s">
        <v>190</v>
      </c>
      <c r="B40" s="19" t="s">
        <v>515</v>
      </c>
      <c r="C40" s="164">
        <f>SUM(C41:C51)</f>
        <v>100476086</v>
      </c>
      <c r="D40" s="164">
        <f>SUM(D41:D51)</f>
        <v>120803856</v>
      </c>
      <c r="E40" s="100">
        <f>SUM(E41:E51)</f>
        <v>120803858</v>
      </c>
    </row>
    <row r="41" spans="1:5" s="176" customFormat="1" ht="12" customHeight="1">
      <c r="A41" s="13" t="s">
        <v>236</v>
      </c>
      <c r="B41" s="177" t="s">
        <v>364</v>
      </c>
      <c r="C41" s="166">
        <v>15812490</v>
      </c>
      <c r="D41" s="166">
        <v>30976539</v>
      </c>
      <c r="E41" s="102">
        <v>30976539</v>
      </c>
    </row>
    <row r="42" spans="1:5" s="176" customFormat="1" ht="12" customHeight="1">
      <c r="A42" s="12" t="s">
        <v>237</v>
      </c>
      <c r="B42" s="178" t="s">
        <v>365</v>
      </c>
      <c r="C42" s="165">
        <v>7196000</v>
      </c>
      <c r="D42" s="165">
        <v>8738446</v>
      </c>
      <c r="E42" s="101">
        <v>8738446</v>
      </c>
    </row>
    <row r="43" spans="1:5" s="176" customFormat="1" ht="12" customHeight="1">
      <c r="A43" s="12" t="s">
        <v>238</v>
      </c>
      <c r="B43" s="178" t="s">
        <v>366</v>
      </c>
      <c r="C43" s="165">
        <v>8620000</v>
      </c>
      <c r="D43" s="165">
        <v>3272106</v>
      </c>
      <c r="E43" s="101">
        <v>3272106</v>
      </c>
    </row>
    <row r="44" spans="1:5" s="176" customFormat="1" ht="12" customHeight="1">
      <c r="A44" s="12" t="s">
        <v>294</v>
      </c>
      <c r="B44" s="178" t="s">
        <v>367</v>
      </c>
      <c r="C44" s="165">
        <v>14791000</v>
      </c>
      <c r="D44" s="165">
        <v>12631418</v>
      </c>
      <c r="E44" s="101">
        <v>12631418</v>
      </c>
    </row>
    <row r="45" spans="1:5" s="176" customFormat="1" ht="12" customHeight="1">
      <c r="A45" s="12" t="s">
        <v>295</v>
      </c>
      <c r="B45" s="178" t="s">
        <v>368</v>
      </c>
      <c r="C45" s="165">
        <v>40313475</v>
      </c>
      <c r="D45" s="165">
        <v>40850290</v>
      </c>
      <c r="E45" s="101">
        <v>40850290</v>
      </c>
    </row>
    <row r="46" spans="1:5" s="176" customFormat="1" ht="12" customHeight="1">
      <c r="A46" s="12" t="s">
        <v>296</v>
      </c>
      <c r="B46" s="178" t="s">
        <v>369</v>
      </c>
      <c r="C46" s="165">
        <v>12727121</v>
      </c>
      <c r="D46" s="165">
        <v>14377054</v>
      </c>
      <c r="E46" s="101">
        <v>14377054</v>
      </c>
    </row>
    <row r="47" spans="1:5" s="176" customFormat="1" ht="12" customHeight="1">
      <c r="A47" s="12" t="s">
        <v>297</v>
      </c>
      <c r="B47" s="178" t="s">
        <v>370</v>
      </c>
      <c r="C47" s="165"/>
      <c r="D47" s="165"/>
      <c r="E47" s="101"/>
    </row>
    <row r="48" spans="1:5" s="176" customFormat="1" ht="12" customHeight="1">
      <c r="A48" s="12" t="s">
        <v>298</v>
      </c>
      <c r="B48" s="178" t="s">
        <v>663</v>
      </c>
      <c r="C48" s="165"/>
      <c r="D48" s="165">
        <v>289</v>
      </c>
      <c r="E48" s="101">
        <v>289</v>
      </c>
    </row>
    <row r="49" spans="1:5" s="176" customFormat="1" ht="12" customHeight="1">
      <c r="A49" s="12" t="s">
        <v>362</v>
      </c>
      <c r="B49" s="178" t="s">
        <v>372</v>
      </c>
      <c r="C49" s="168"/>
      <c r="D49" s="168">
        <v>7545</v>
      </c>
      <c r="E49" s="104">
        <v>7545</v>
      </c>
    </row>
    <row r="50" spans="1:5" s="176" customFormat="1" ht="12" customHeight="1">
      <c r="A50" s="14" t="s">
        <v>363</v>
      </c>
      <c r="B50" s="179" t="s">
        <v>517</v>
      </c>
      <c r="C50" s="169"/>
      <c r="D50" s="169">
        <v>336109</v>
      </c>
      <c r="E50" s="105">
        <v>336109</v>
      </c>
    </row>
    <row r="51" spans="1:5" s="176" customFormat="1" ht="12" customHeight="1" thickBot="1">
      <c r="A51" s="14" t="s">
        <v>516</v>
      </c>
      <c r="B51" s="109" t="s">
        <v>373</v>
      </c>
      <c r="C51" s="169">
        <v>1016000</v>
      </c>
      <c r="D51" s="169">
        <v>9614060</v>
      </c>
      <c r="E51" s="105">
        <v>9614062</v>
      </c>
    </row>
    <row r="52" spans="1:5" s="176" customFormat="1" ht="12" customHeight="1" thickBot="1">
      <c r="A52" s="18" t="s">
        <v>191</v>
      </c>
      <c r="B52" s="19" t="s">
        <v>374</v>
      </c>
      <c r="C52" s="164">
        <f>SUM(C53:C57)</f>
        <v>0</v>
      </c>
      <c r="D52" s="164">
        <f>SUM(D53:D57)</f>
        <v>75248</v>
      </c>
      <c r="E52" s="100">
        <f>SUM(E53:E57)</f>
        <v>75248</v>
      </c>
    </row>
    <row r="53" spans="1:5" s="176" customFormat="1" ht="12" customHeight="1">
      <c r="A53" s="13" t="s">
        <v>239</v>
      </c>
      <c r="B53" s="177" t="s">
        <v>378</v>
      </c>
      <c r="C53" s="217"/>
      <c r="D53" s="217"/>
      <c r="E53" s="106"/>
    </row>
    <row r="54" spans="1:5" s="176" customFormat="1" ht="12" customHeight="1">
      <c r="A54" s="12" t="s">
        <v>240</v>
      </c>
      <c r="B54" s="178" t="s">
        <v>379</v>
      </c>
      <c r="C54" s="168"/>
      <c r="D54" s="168">
        <v>59500</v>
      </c>
      <c r="E54" s="104">
        <v>59500</v>
      </c>
    </row>
    <row r="55" spans="1:5" s="176" customFormat="1" ht="12" customHeight="1">
      <c r="A55" s="12" t="s">
        <v>375</v>
      </c>
      <c r="B55" s="178" t="s">
        <v>380</v>
      </c>
      <c r="C55" s="168"/>
      <c r="D55" s="168">
        <v>15748</v>
      </c>
      <c r="E55" s="104">
        <v>15748</v>
      </c>
    </row>
    <row r="56" spans="1:5" s="176" customFormat="1" ht="12" customHeight="1">
      <c r="A56" s="12" t="s">
        <v>376</v>
      </c>
      <c r="B56" s="178" t="s">
        <v>381</v>
      </c>
      <c r="C56" s="168"/>
      <c r="D56" s="168"/>
      <c r="E56" s="104"/>
    </row>
    <row r="57" spans="1:5" s="176" customFormat="1" ht="12" customHeight="1" thickBot="1">
      <c r="A57" s="14" t="s">
        <v>377</v>
      </c>
      <c r="B57" s="109" t="s">
        <v>382</v>
      </c>
      <c r="C57" s="169"/>
      <c r="D57" s="169"/>
      <c r="E57" s="105"/>
    </row>
    <row r="58" spans="1:5" s="176" customFormat="1" ht="12" customHeight="1" thickBot="1">
      <c r="A58" s="18" t="s">
        <v>299</v>
      </c>
      <c r="B58" s="19" t="s">
        <v>383</v>
      </c>
      <c r="C58" s="164">
        <f>SUM(C59:C61)</f>
        <v>0</v>
      </c>
      <c r="D58" s="164">
        <f>SUM(D59:D61)</f>
        <v>352510</v>
      </c>
      <c r="E58" s="100">
        <f>SUM(E59:E61)</f>
        <v>352510</v>
      </c>
    </row>
    <row r="59" spans="1:5" s="176" customFormat="1" ht="12" customHeight="1">
      <c r="A59" s="13" t="s">
        <v>241</v>
      </c>
      <c r="B59" s="177" t="s">
        <v>384</v>
      </c>
      <c r="C59" s="166"/>
      <c r="D59" s="166"/>
      <c r="E59" s="102"/>
    </row>
    <row r="60" spans="1:5" s="176" customFormat="1" ht="12" customHeight="1">
      <c r="A60" s="12" t="s">
        <v>242</v>
      </c>
      <c r="B60" s="178" t="s">
        <v>509</v>
      </c>
      <c r="C60" s="165"/>
      <c r="D60" s="165"/>
      <c r="E60" s="101"/>
    </row>
    <row r="61" spans="1:5" s="176" customFormat="1" ht="12" customHeight="1">
      <c r="A61" s="12" t="s">
        <v>387</v>
      </c>
      <c r="B61" s="178" t="s">
        <v>385</v>
      </c>
      <c r="C61" s="165"/>
      <c r="D61" s="165">
        <v>352510</v>
      </c>
      <c r="E61" s="101">
        <v>352510</v>
      </c>
    </row>
    <row r="62" spans="1:5" s="176" customFormat="1" ht="12" customHeight="1" thickBot="1">
      <c r="A62" s="14" t="s">
        <v>388</v>
      </c>
      <c r="B62" s="109" t="s">
        <v>386</v>
      </c>
      <c r="C62" s="167"/>
      <c r="D62" s="167"/>
      <c r="E62" s="103"/>
    </row>
    <row r="63" spans="1:5" s="176" customFormat="1" ht="12" customHeight="1" thickBot="1">
      <c r="A63" s="18" t="s">
        <v>193</v>
      </c>
      <c r="B63" s="107" t="s">
        <v>389</v>
      </c>
      <c r="C63" s="164">
        <f>SUM(C64:C66)</f>
        <v>13000000</v>
      </c>
      <c r="D63" s="164">
        <f>SUM(D64:D66)</f>
        <v>28951738</v>
      </c>
      <c r="E63" s="100">
        <f>SUM(E64:E66)</f>
        <v>28951738</v>
      </c>
    </row>
    <row r="64" spans="1:5" s="176" customFormat="1" ht="12" customHeight="1">
      <c r="A64" s="13" t="s">
        <v>300</v>
      </c>
      <c r="B64" s="177" t="s">
        <v>391</v>
      </c>
      <c r="C64" s="168"/>
      <c r="D64" s="168"/>
      <c r="E64" s="104"/>
    </row>
    <row r="65" spans="1:5" s="176" customFormat="1" ht="12" customHeight="1">
      <c r="A65" s="12" t="s">
        <v>301</v>
      </c>
      <c r="B65" s="178" t="s">
        <v>510</v>
      </c>
      <c r="C65" s="168"/>
      <c r="D65" s="168">
        <v>30000</v>
      </c>
      <c r="E65" s="104">
        <v>30000</v>
      </c>
    </row>
    <row r="66" spans="1:5" s="176" customFormat="1" ht="12" customHeight="1">
      <c r="A66" s="12" t="s">
        <v>324</v>
      </c>
      <c r="B66" s="178" t="s">
        <v>392</v>
      </c>
      <c r="C66" s="168">
        <v>13000000</v>
      </c>
      <c r="D66" s="168">
        <v>28921738</v>
      </c>
      <c r="E66" s="104">
        <v>28921738</v>
      </c>
    </row>
    <row r="67" spans="1:5" s="176" customFormat="1" ht="12" customHeight="1" thickBot="1">
      <c r="A67" s="14" t="s">
        <v>390</v>
      </c>
      <c r="B67" s="109" t="s">
        <v>393</v>
      </c>
      <c r="C67" s="168"/>
      <c r="D67" s="168"/>
      <c r="E67" s="104"/>
    </row>
    <row r="68" spans="1:5" s="176" customFormat="1" ht="12" customHeight="1" thickBot="1">
      <c r="A68" s="226" t="s">
        <v>557</v>
      </c>
      <c r="B68" s="19" t="s">
        <v>394</v>
      </c>
      <c r="C68" s="170">
        <f>+C11+C18+C25+C32+C40+C52+C58+C63</f>
        <v>619061781</v>
      </c>
      <c r="D68" s="170">
        <f>+D11+D18+D25+D32+D40+D52+D58+D63</f>
        <v>956011624</v>
      </c>
      <c r="E68" s="206">
        <f>+E11+E18+E25+E32+E40+E52+E58+E63</f>
        <v>956011626</v>
      </c>
    </row>
    <row r="69" spans="1:5" s="176" customFormat="1" ht="12" customHeight="1" thickBot="1">
      <c r="A69" s="218" t="s">
        <v>395</v>
      </c>
      <c r="B69" s="107" t="s">
        <v>396</v>
      </c>
      <c r="C69" s="164">
        <f>SUM(C70:C72)</f>
        <v>0</v>
      </c>
      <c r="D69" s="164">
        <f>SUM(D70:D72)</f>
        <v>0</v>
      </c>
      <c r="E69" s="100">
        <f>SUM(E70:E72)</f>
        <v>0</v>
      </c>
    </row>
    <row r="70" spans="1:5" s="176" customFormat="1" ht="12" customHeight="1">
      <c r="A70" s="13" t="s">
        <v>424</v>
      </c>
      <c r="B70" s="177" t="s">
        <v>397</v>
      </c>
      <c r="C70" s="168"/>
      <c r="D70" s="168"/>
      <c r="E70" s="104"/>
    </row>
    <row r="71" spans="1:5" s="176" customFormat="1" ht="12" customHeight="1">
      <c r="A71" s="12" t="s">
        <v>433</v>
      </c>
      <c r="B71" s="178" t="s">
        <v>398</v>
      </c>
      <c r="C71" s="168"/>
      <c r="D71" s="168"/>
      <c r="E71" s="104"/>
    </row>
    <row r="72" spans="1:5" s="176" customFormat="1" ht="12" customHeight="1" thickBot="1">
      <c r="A72" s="14" t="s">
        <v>434</v>
      </c>
      <c r="B72" s="222" t="s">
        <v>542</v>
      </c>
      <c r="C72" s="168"/>
      <c r="D72" s="168"/>
      <c r="E72" s="104"/>
    </row>
    <row r="73" spans="1:5" s="176" customFormat="1" ht="12" customHeight="1" thickBot="1">
      <c r="A73" s="218" t="s">
        <v>400</v>
      </c>
      <c r="B73" s="107" t="s">
        <v>401</v>
      </c>
      <c r="C73" s="164">
        <f>SUM(C74:C77)</f>
        <v>0</v>
      </c>
      <c r="D73" s="164">
        <f>SUM(D74:D77)</f>
        <v>0</v>
      </c>
      <c r="E73" s="100">
        <f>SUM(E74:E77)</f>
        <v>0</v>
      </c>
    </row>
    <row r="74" spans="1:5" s="176" customFormat="1" ht="12" customHeight="1">
      <c r="A74" s="13" t="s">
        <v>278</v>
      </c>
      <c r="B74" s="301" t="s">
        <v>402</v>
      </c>
      <c r="C74" s="168"/>
      <c r="D74" s="168"/>
      <c r="E74" s="104"/>
    </row>
    <row r="75" spans="1:5" s="176" customFormat="1" ht="12" customHeight="1">
      <c r="A75" s="12" t="s">
        <v>279</v>
      </c>
      <c r="B75" s="301" t="s">
        <v>670</v>
      </c>
      <c r="C75" s="168"/>
      <c r="D75" s="168"/>
      <c r="E75" s="104"/>
    </row>
    <row r="76" spans="1:5" s="176" customFormat="1" ht="12" customHeight="1">
      <c r="A76" s="12" t="s">
        <v>425</v>
      </c>
      <c r="B76" s="301" t="s">
        <v>403</v>
      </c>
      <c r="C76" s="168"/>
      <c r="D76" s="168"/>
      <c r="E76" s="104"/>
    </row>
    <row r="77" spans="1:5" s="176" customFormat="1" ht="12" customHeight="1" thickBot="1">
      <c r="A77" s="14" t="s">
        <v>426</v>
      </c>
      <c r="B77" s="302" t="s">
        <v>671</v>
      </c>
      <c r="C77" s="168"/>
      <c r="D77" s="168"/>
      <c r="E77" s="104"/>
    </row>
    <row r="78" spans="1:5" s="176" customFormat="1" ht="12" customHeight="1" thickBot="1">
      <c r="A78" s="218" t="s">
        <v>404</v>
      </c>
      <c r="B78" s="107" t="s">
        <v>405</v>
      </c>
      <c r="C78" s="164">
        <f>SUM(C79:C80)</f>
        <v>253118762</v>
      </c>
      <c r="D78" s="164">
        <f>SUM(D79:D80)</f>
        <v>429334401</v>
      </c>
      <c r="E78" s="100">
        <f>SUM(E79:E80)</f>
        <v>429334401</v>
      </c>
    </row>
    <row r="79" spans="1:5" s="176" customFormat="1" ht="12" customHeight="1">
      <c r="A79" s="13" t="s">
        <v>427</v>
      </c>
      <c r="B79" s="177" t="s">
        <v>406</v>
      </c>
      <c r="C79" s="168">
        <v>253118762</v>
      </c>
      <c r="D79" s="168">
        <v>429334401</v>
      </c>
      <c r="E79" s="104">
        <v>429334401</v>
      </c>
    </row>
    <row r="80" spans="1:5" s="176" customFormat="1" ht="12" customHeight="1" thickBot="1">
      <c r="A80" s="14" t="s">
        <v>428</v>
      </c>
      <c r="B80" s="109" t="s">
        <v>407</v>
      </c>
      <c r="C80" s="168"/>
      <c r="D80" s="168"/>
      <c r="E80" s="104"/>
    </row>
    <row r="81" spans="1:5" s="176" customFormat="1" ht="12" customHeight="1" thickBot="1">
      <c r="A81" s="218" t="s">
        <v>408</v>
      </c>
      <c r="B81" s="107" t="s">
        <v>409</v>
      </c>
      <c r="C81" s="164">
        <f>SUM(C82:C84)</f>
        <v>0</v>
      </c>
      <c r="D81" s="164">
        <f>SUM(D82:D84)</f>
        <v>17273526</v>
      </c>
      <c r="E81" s="100">
        <f>SUM(E82:E84)</f>
        <v>17273526</v>
      </c>
    </row>
    <row r="82" spans="1:5" s="176" customFormat="1" ht="12" customHeight="1">
      <c r="A82" s="13" t="s">
        <v>429</v>
      </c>
      <c r="B82" s="177" t="s">
        <v>410</v>
      </c>
      <c r="C82" s="168"/>
      <c r="D82" s="168">
        <v>17273526</v>
      </c>
      <c r="E82" s="104">
        <v>17273526</v>
      </c>
    </row>
    <row r="83" spans="1:5" s="176" customFormat="1" ht="12" customHeight="1">
      <c r="A83" s="12" t="s">
        <v>430</v>
      </c>
      <c r="B83" s="178" t="s">
        <v>411</v>
      </c>
      <c r="C83" s="168"/>
      <c r="D83" s="168"/>
      <c r="E83" s="104"/>
    </row>
    <row r="84" spans="1:5" s="176" customFormat="1" ht="12" customHeight="1" thickBot="1">
      <c r="A84" s="14" t="s">
        <v>431</v>
      </c>
      <c r="B84" s="109" t="s">
        <v>672</v>
      </c>
      <c r="C84" s="168"/>
      <c r="D84" s="168"/>
      <c r="E84" s="104"/>
    </row>
    <row r="85" spans="1:5" s="176" customFormat="1" ht="12" customHeight="1" thickBot="1">
      <c r="A85" s="218" t="s">
        <v>412</v>
      </c>
      <c r="B85" s="107" t="s">
        <v>432</v>
      </c>
      <c r="C85" s="164">
        <f>SUM(C86:C89)</f>
        <v>0</v>
      </c>
      <c r="D85" s="164">
        <f>SUM(D86:D89)</f>
        <v>0</v>
      </c>
      <c r="E85" s="100">
        <f>SUM(E86:E89)</f>
        <v>0</v>
      </c>
    </row>
    <row r="86" spans="1:5" s="176" customFormat="1" ht="12" customHeight="1">
      <c r="A86" s="181" t="s">
        <v>413</v>
      </c>
      <c r="B86" s="177" t="s">
        <v>414</v>
      </c>
      <c r="C86" s="168"/>
      <c r="D86" s="168"/>
      <c r="E86" s="104"/>
    </row>
    <row r="87" spans="1:5" s="176" customFormat="1" ht="12" customHeight="1">
      <c r="A87" s="182" t="s">
        <v>415</v>
      </c>
      <c r="B87" s="178" t="s">
        <v>416</v>
      </c>
      <c r="C87" s="168"/>
      <c r="D87" s="168"/>
      <c r="E87" s="104"/>
    </row>
    <row r="88" spans="1:5" s="176" customFormat="1" ht="12" customHeight="1">
      <c r="A88" s="182" t="s">
        <v>417</v>
      </c>
      <c r="B88" s="178" t="s">
        <v>418</v>
      </c>
      <c r="C88" s="168"/>
      <c r="D88" s="168"/>
      <c r="E88" s="104"/>
    </row>
    <row r="89" spans="1:5" s="176" customFormat="1" ht="12" customHeight="1" thickBot="1">
      <c r="A89" s="183" t="s">
        <v>419</v>
      </c>
      <c r="B89" s="109" t="s">
        <v>420</v>
      </c>
      <c r="C89" s="168"/>
      <c r="D89" s="168"/>
      <c r="E89" s="104"/>
    </row>
    <row r="90" spans="1:5" s="176" customFormat="1" ht="12" customHeight="1" thickBot="1">
      <c r="A90" s="218" t="s">
        <v>421</v>
      </c>
      <c r="B90" s="107" t="s">
        <v>556</v>
      </c>
      <c r="C90" s="220"/>
      <c r="D90" s="220"/>
      <c r="E90" s="221"/>
    </row>
    <row r="91" spans="1:5" s="176" customFormat="1" ht="13.5" customHeight="1" thickBot="1">
      <c r="A91" s="218" t="s">
        <v>423</v>
      </c>
      <c r="B91" s="107" t="s">
        <v>422</v>
      </c>
      <c r="C91" s="220"/>
      <c r="D91" s="220"/>
      <c r="E91" s="221"/>
    </row>
    <row r="92" spans="1:5" s="176" customFormat="1" ht="15.75" customHeight="1" thickBot="1">
      <c r="A92" s="218" t="s">
        <v>435</v>
      </c>
      <c r="B92" s="184" t="s">
        <v>559</v>
      </c>
      <c r="C92" s="170">
        <f>+C69+C73+C78+C81+C85+C91+C90</f>
        <v>253118762</v>
      </c>
      <c r="D92" s="170">
        <f>+D69+D73+D78+D81+D85+D91+D90</f>
        <v>446607927</v>
      </c>
      <c r="E92" s="206">
        <f>+E69+E73+E78+E81+E85+E91+E90</f>
        <v>446607927</v>
      </c>
    </row>
    <row r="93" spans="1:5" s="176" customFormat="1" ht="25.5" customHeight="1" thickBot="1">
      <c r="A93" s="219" t="s">
        <v>558</v>
      </c>
      <c r="B93" s="185" t="s">
        <v>560</v>
      </c>
      <c r="C93" s="170">
        <f>+C68+C92</f>
        <v>872180543</v>
      </c>
      <c r="D93" s="170">
        <f>+D68+D92</f>
        <v>1402619551</v>
      </c>
      <c r="E93" s="206">
        <f>+E68+E92</f>
        <v>1402619553</v>
      </c>
    </row>
    <row r="94" spans="1:3" s="176" customFormat="1" ht="15" customHeight="1">
      <c r="A94" s="3"/>
      <c r="B94" s="4"/>
      <c r="C94" s="111"/>
    </row>
    <row r="95" spans="1:5" ht="16.5" customHeight="1">
      <c r="A95" s="875" t="s">
        <v>214</v>
      </c>
      <c r="B95" s="875"/>
      <c r="C95" s="875"/>
      <c r="D95" s="875"/>
      <c r="E95" s="875"/>
    </row>
    <row r="96" spans="1:5" s="186" customFormat="1" ht="16.5" customHeight="1" thickBot="1">
      <c r="A96" s="877" t="s">
        <v>281</v>
      </c>
      <c r="B96" s="877"/>
      <c r="C96" s="58"/>
      <c r="E96" s="58" t="str">
        <f>E7</f>
        <v> Forintban!</v>
      </c>
    </row>
    <row r="97" spans="1:5" ht="15.75">
      <c r="A97" s="866" t="s">
        <v>231</v>
      </c>
      <c r="B97" s="868" t="s">
        <v>600</v>
      </c>
      <c r="C97" s="870" t="str">
        <f>+CONCATENATE(LEFT(Z_ÖSSZEFÜGGÉSEK!A6,4),". évi")</f>
        <v>2019. évi</v>
      </c>
      <c r="D97" s="871"/>
      <c r="E97" s="872"/>
    </row>
    <row r="98" spans="1:5" ht="24.75" thickBot="1">
      <c r="A98" s="867"/>
      <c r="B98" s="869"/>
      <c r="C98" s="243" t="s">
        <v>598</v>
      </c>
      <c r="D98" s="242" t="s">
        <v>599</v>
      </c>
      <c r="E98" s="303" t="str">
        <f>CONCATENATE(E9)</f>
        <v>2019. XII. 31.
teljesítés</v>
      </c>
    </row>
    <row r="99" spans="1:5" s="175" customFormat="1" ht="12" customHeight="1" thickBot="1">
      <c r="A99" s="25" t="s">
        <v>565</v>
      </c>
      <c r="B99" s="26" t="s">
        <v>566</v>
      </c>
      <c r="C99" s="26" t="s">
        <v>567</v>
      </c>
      <c r="D99" s="26" t="s">
        <v>569</v>
      </c>
      <c r="E99" s="254" t="s">
        <v>568</v>
      </c>
    </row>
    <row r="100" spans="1:5" ht="12" customHeight="1" thickBot="1">
      <c r="A100" s="20" t="s">
        <v>186</v>
      </c>
      <c r="B100" s="24" t="s">
        <v>518</v>
      </c>
      <c r="C100" s="163">
        <f>C101+C102+C103+C104+C105+C118</f>
        <v>666212818</v>
      </c>
      <c r="D100" s="163">
        <f>D101+D102+D103+D104+D105+D118</f>
        <v>1121149455</v>
      </c>
      <c r="E100" s="229">
        <f>E101+E102+E103+E104+E105+E118</f>
        <v>884609672</v>
      </c>
    </row>
    <row r="101" spans="1:5" ht="12" customHeight="1">
      <c r="A101" s="15" t="s">
        <v>243</v>
      </c>
      <c r="B101" s="8" t="s">
        <v>215</v>
      </c>
      <c r="C101" s="236">
        <v>316868319</v>
      </c>
      <c r="D101" s="236">
        <v>485615116</v>
      </c>
      <c r="E101" s="230">
        <v>473595499</v>
      </c>
    </row>
    <row r="102" spans="1:5" ht="12" customHeight="1">
      <c r="A102" s="12" t="s">
        <v>244</v>
      </c>
      <c r="B102" s="6" t="s">
        <v>302</v>
      </c>
      <c r="C102" s="165">
        <v>58142518</v>
      </c>
      <c r="D102" s="165">
        <v>76780550</v>
      </c>
      <c r="E102" s="101">
        <v>76336741</v>
      </c>
    </row>
    <row r="103" spans="1:5" ht="12" customHeight="1">
      <c r="A103" s="12" t="s">
        <v>245</v>
      </c>
      <c r="B103" s="6" t="s">
        <v>270</v>
      </c>
      <c r="C103" s="167">
        <v>233405483</v>
      </c>
      <c r="D103" s="167">
        <v>289462139</v>
      </c>
      <c r="E103" s="103">
        <v>279452279</v>
      </c>
    </row>
    <row r="104" spans="1:5" ht="12" customHeight="1">
      <c r="A104" s="12" t="s">
        <v>246</v>
      </c>
      <c r="B104" s="9" t="s">
        <v>303</v>
      </c>
      <c r="C104" s="167">
        <v>26630000</v>
      </c>
      <c r="D104" s="167">
        <v>40134000</v>
      </c>
      <c r="E104" s="103">
        <v>39842942</v>
      </c>
    </row>
    <row r="105" spans="1:5" ht="12" customHeight="1">
      <c r="A105" s="12" t="s">
        <v>255</v>
      </c>
      <c r="B105" s="17" t="s">
        <v>304</v>
      </c>
      <c r="C105" s="167">
        <v>11166498</v>
      </c>
      <c r="D105" s="167">
        <v>20803826</v>
      </c>
      <c r="E105" s="103">
        <v>15382211</v>
      </c>
    </row>
    <row r="106" spans="1:5" ht="12" customHeight="1">
      <c r="A106" s="12" t="s">
        <v>247</v>
      </c>
      <c r="B106" s="6" t="s">
        <v>523</v>
      </c>
      <c r="C106" s="167">
        <v>5000000</v>
      </c>
      <c r="D106" s="167">
        <v>10252601</v>
      </c>
      <c r="E106" s="103">
        <v>9688721</v>
      </c>
    </row>
    <row r="107" spans="1:5" ht="12" customHeight="1">
      <c r="A107" s="12" t="s">
        <v>248</v>
      </c>
      <c r="B107" s="62" t="s">
        <v>522</v>
      </c>
      <c r="C107" s="167"/>
      <c r="D107" s="167"/>
      <c r="E107" s="103"/>
    </row>
    <row r="108" spans="1:5" ht="12" customHeight="1">
      <c r="A108" s="12" t="s">
        <v>256</v>
      </c>
      <c r="B108" s="62" t="s">
        <v>521</v>
      </c>
      <c r="C108" s="167"/>
      <c r="D108" s="167"/>
      <c r="E108" s="103"/>
    </row>
    <row r="109" spans="1:5" ht="12" customHeight="1">
      <c r="A109" s="12" t="s">
        <v>257</v>
      </c>
      <c r="B109" s="60" t="s">
        <v>438</v>
      </c>
      <c r="C109" s="167"/>
      <c r="D109" s="167"/>
      <c r="E109" s="103"/>
    </row>
    <row r="110" spans="1:5" ht="12" customHeight="1">
      <c r="A110" s="12" t="s">
        <v>258</v>
      </c>
      <c r="B110" s="61" t="s">
        <v>439</v>
      </c>
      <c r="C110" s="167"/>
      <c r="D110" s="167"/>
      <c r="E110" s="103"/>
    </row>
    <row r="111" spans="1:5" ht="12" customHeight="1">
      <c r="A111" s="12" t="s">
        <v>259</v>
      </c>
      <c r="B111" s="61" t="s">
        <v>440</v>
      </c>
      <c r="C111" s="167"/>
      <c r="D111" s="167"/>
      <c r="E111" s="103"/>
    </row>
    <row r="112" spans="1:5" ht="12" customHeight="1">
      <c r="A112" s="12" t="s">
        <v>261</v>
      </c>
      <c r="B112" s="60" t="s">
        <v>441</v>
      </c>
      <c r="C112" s="167">
        <v>3170838</v>
      </c>
      <c r="D112" s="167">
        <v>6077559</v>
      </c>
      <c r="E112" s="103">
        <v>3027559</v>
      </c>
    </row>
    <row r="113" spans="1:5" ht="12" customHeight="1">
      <c r="A113" s="12" t="s">
        <v>305</v>
      </c>
      <c r="B113" s="60" t="s">
        <v>442</v>
      </c>
      <c r="C113" s="167"/>
      <c r="D113" s="167"/>
      <c r="E113" s="103"/>
    </row>
    <row r="114" spans="1:5" ht="12" customHeight="1">
      <c r="A114" s="12" t="s">
        <v>436</v>
      </c>
      <c r="B114" s="61" t="s">
        <v>443</v>
      </c>
      <c r="C114" s="167"/>
      <c r="D114" s="167"/>
      <c r="E114" s="103"/>
    </row>
    <row r="115" spans="1:5" ht="12" customHeight="1">
      <c r="A115" s="11" t="s">
        <v>437</v>
      </c>
      <c r="B115" s="62" t="s">
        <v>444</v>
      </c>
      <c r="C115" s="167"/>
      <c r="D115" s="167"/>
      <c r="E115" s="103"/>
    </row>
    <row r="116" spans="1:5" ht="12" customHeight="1">
      <c r="A116" s="12" t="s">
        <v>519</v>
      </c>
      <c r="B116" s="62" t="s">
        <v>445</v>
      </c>
      <c r="C116" s="167"/>
      <c r="D116" s="167"/>
      <c r="E116" s="103"/>
    </row>
    <row r="117" spans="1:5" ht="12" customHeight="1">
      <c r="A117" s="14" t="s">
        <v>520</v>
      </c>
      <c r="B117" s="62" t="s">
        <v>446</v>
      </c>
      <c r="C117" s="167">
        <v>2995660</v>
      </c>
      <c r="D117" s="167">
        <v>4473666</v>
      </c>
      <c r="E117" s="103">
        <v>2665931</v>
      </c>
    </row>
    <row r="118" spans="1:5" ht="12" customHeight="1">
      <c r="A118" s="12" t="s">
        <v>524</v>
      </c>
      <c r="B118" s="9" t="s">
        <v>216</v>
      </c>
      <c r="C118" s="165">
        <f>SUM(C119:C120)</f>
        <v>20000000</v>
      </c>
      <c r="D118" s="165">
        <f>SUM(D119:D120)</f>
        <v>208353824</v>
      </c>
      <c r="E118" s="101"/>
    </row>
    <row r="119" spans="1:5" ht="12" customHeight="1">
      <c r="A119" s="12" t="s">
        <v>525</v>
      </c>
      <c r="B119" s="6" t="s">
        <v>527</v>
      </c>
      <c r="C119" s="165">
        <v>17647000</v>
      </c>
      <c r="D119" s="165">
        <v>190490983</v>
      </c>
      <c r="E119" s="101"/>
    </row>
    <row r="120" spans="1:5" ht="12" customHeight="1" thickBot="1">
      <c r="A120" s="16" t="s">
        <v>526</v>
      </c>
      <c r="B120" s="225" t="s">
        <v>528</v>
      </c>
      <c r="C120" s="237">
        <v>2353000</v>
      </c>
      <c r="D120" s="237">
        <v>17862841</v>
      </c>
      <c r="E120" s="231"/>
    </row>
    <row r="121" spans="1:5" ht="12" customHeight="1" thickBot="1">
      <c r="A121" s="223" t="s">
        <v>187</v>
      </c>
      <c r="B121" s="224" t="s">
        <v>447</v>
      </c>
      <c r="C121" s="238">
        <f>+C122+C124+C126</f>
        <v>190577694</v>
      </c>
      <c r="D121" s="164">
        <f>+D122+D124+D126</f>
        <v>266080065</v>
      </c>
      <c r="E121" s="232">
        <f>+E122+E124+E126</f>
        <v>247151002</v>
      </c>
    </row>
    <row r="122" spans="1:5" ht="12" customHeight="1">
      <c r="A122" s="13" t="s">
        <v>249</v>
      </c>
      <c r="B122" s="6" t="s">
        <v>323</v>
      </c>
      <c r="C122" s="166">
        <v>28013862</v>
      </c>
      <c r="D122" s="247">
        <v>55126237</v>
      </c>
      <c r="E122" s="102">
        <v>53887649</v>
      </c>
    </row>
    <row r="123" spans="1:5" ht="12" customHeight="1">
      <c r="A123" s="13" t="s">
        <v>250</v>
      </c>
      <c r="B123" s="10" t="s">
        <v>451</v>
      </c>
      <c r="C123" s="166"/>
      <c r="D123" s="247"/>
      <c r="E123" s="102"/>
    </row>
    <row r="124" spans="1:5" ht="12" customHeight="1">
      <c r="A124" s="13" t="s">
        <v>251</v>
      </c>
      <c r="B124" s="10" t="s">
        <v>306</v>
      </c>
      <c r="C124" s="165">
        <v>155763832</v>
      </c>
      <c r="D124" s="248">
        <v>193774913</v>
      </c>
      <c r="E124" s="101">
        <v>179636348</v>
      </c>
    </row>
    <row r="125" spans="1:5" ht="12" customHeight="1">
      <c r="A125" s="13" t="s">
        <v>252</v>
      </c>
      <c r="B125" s="10" t="s">
        <v>452</v>
      </c>
      <c r="C125" s="165">
        <v>120091212</v>
      </c>
      <c r="D125" s="248">
        <v>120091212</v>
      </c>
      <c r="E125" s="737">
        <v>112293643</v>
      </c>
    </row>
    <row r="126" spans="1:5" ht="12" customHeight="1">
      <c r="A126" s="13" t="s">
        <v>253</v>
      </c>
      <c r="B126" s="109" t="s">
        <v>325</v>
      </c>
      <c r="C126" s="165">
        <v>6800000</v>
      </c>
      <c r="D126" s="248">
        <v>17178915</v>
      </c>
      <c r="E126" s="101">
        <v>13627005</v>
      </c>
    </row>
    <row r="127" spans="1:5" ht="12" customHeight="1">
      <c r="A127" s="13" t="s">
        <v>260</v>
      </c>
      <c r="B127" s="108" t="s">
        <v>511</v>
      </c>
      <c r="C127" s="165"/>
      <c r="D127" s="248"/>
      <c r="E127" s="101"/>
    </row>
    <row r="128" spans="1:5" ht="12" customHeight="1">
      <c r="A128" s="13" t="s">
        <v>262</v>
      </c>
      <c r="B128" s="173" t="s">
        <v>457</v>
      </c>
      <c r="C128" s="165"/>
      <c r="D128" s="248"/>
      <c r="E128" s="101"/>
    </row>
    <row r="129" spans="1:5" ht="15.75">
      <c r="A129" s="13" t="s">
        <v>307</v>
      </c>
      <c r="B129" s="61" t="s">
        <v>440</v>
      </c>
      <c r="C129" s="165"/>
      <c r="D129" s="248"/>
      <c r="E129" s="101"/>
    </row>
    <row r="130" spans="1:5" ht="12" customHeight="1">
      <c r="A130" s="13" t="s">
        <v>308</v>
      </c>
      <c r="B130" s="61" t="s">
        <v>456</v>
      </c>
      <c r="C130" s="165"/>
      <c r="D130" s="248">
        <v>250000</v>
      </c>
      <c r="E130" s="101">
        <v>250000</v>
      </c>
    </row>
    <row r="131" spans="1:5" ht="12" customHeight="1">
      <c r="A131" s="13" t="s">
        <v>309</v>
      </c>
      <c r="B131" s="61" t="s">
        <v>455</v>
      </c>
      <c r="C131" s="165"/>
      <c r="D131" s="248"/>
      <c r="E131" s="101"/>
    </row>
    <row r="132" spans="1:5" ht="12" customHeight="1">
      <c r="A132" s="13" t="s">
        <v>448</v>
      </c>
      <c r="B132" s="61" t="s">
        <v>443</v>
      </c>
      <c r="C132" s="165"/>
      <c r="D132" s="248">
        <v>2378915</v>
      </c>
      <c r="E132" s="101">
        <v>2377005</v>
      </c>
    </row>
    <row r="133" spans="1:5" ht="12" customHeight="1">
      <c r="A133" s="13" t="s">
        <v>449</v>
      </c>
      <c r="B133" s="61" t="s">
        <v>454</v>
      </c>
      <c r="C133" s="165"/>
      <c r="D133" s="248">
        <v>11000000</v>
      </c>
      <c r="E133" s="101">
        <v>11000000</v>
      </c>
    </row>
    <row r="134" spans="1:5" ht="16.5" thickBot="1">
      <c r="A134" s="11" t="s">
        <v>450</v>
      </c>
      <c r="B134" s="61" t="s">
        <v>453</v>
      </c>
      <c r="C134" s="167">
        <v>3800000</v>
      </c>
      <c r="D134" s="249">
        <v>3550000</v>
      </c>
      <c r="E134" s="103"/>
    </row>
    <row r="135" spans="1:5" ht="12" customHeight="1" thickBot="1">
      <c r="A135" s="18" t="s">
        <v>188</v>
      </c>
      <c r="B135" s="54" t="s">
        <v>529</v>
      </c>
      <c r="C135" s="164">
        <f>+C100+C121</f>
        <v>856790512</v>
      </c>
      <c r="D135" s="246">
        <f>+D100+D121</f>
        <v>1387229520</v>
      </c>
      <c r="E135" s="100">
        <f>+E100+E121</f>
        <v>1131760674</v>
      </c>
    </row>
    <row r="136" spans="1:5" ht="12" customHeight="1" thickBot="1">
      <c r="A136" s="18" t="s">
        <v>189</v>
      </c>
      <c r="B136" s="54" t="s">
        <v>601</v>
      </c>
      <c r="C136" s="164">
        <f>+C137+C138+C139</f>
        <v>0</v>
      </c>
      <c r="D136" s="246">
        <f>+D137+D138+D139</f>
        <v>0</v>
      </c>
      <c r="E136" s="100">
        <f>+E137+E138+E139</f>
        <v>0</v>
      </c>
    </row>
    <row r="137" spans="1:5" ht="12" customHeight="1">
      <c r="A137" s="13" t="s">
        <v>357</v>
      </c>
      <c r="B137" s="10" t="s">
        <v>537</v>
      </c>
      <c r="C137" s="165"/>
      <c r="D137" s="248"/>
      <c r="E137" s="101"/>
    </row>
    <row r="138" spans="1:5" ht="12" customHeight="1">
      <c r="A138" s="13" t="s">
        <v>358</v>
      </c>
      <c r="B138" s="10" t="s">
        <v>538</v>
      </c>
      <c r="C138" s="165"/>
      <c r="D138" s="248"/>
      <c r="E138" s="101"/>
    </row>
    <row r="139" spans="1:5" ht="12" customHeight="1" thickBot="1">
      <c r="A139" s="11" t="s">
        <v>359</v>
      </c>
      <c r="B139" s="10" t="s">
        <v>539</v>
      </c>
      <c r="C139" s="165"/>
      <c r="D139" s="248"/>
      <c r="E139" s="101"/>
    </row>
    <row r="140" spans="1:5" ht="12" customHeight="1" thickBot="1">
      <c r="A140" s="18" t="s">
        <v>190</v>
      </c>
      <c r="B140" s="54" t="s">
        <v>531</v>
      </c>
      <c r="C140" s="164">
        <f>SUM(C141:C146)</f>
        <v>0</v>
      </c>
      <c r="D140" s="246">
        <f>SUM(D141:D146)</f>
        <v>0</v>
      </c>
      <c r="E140" s="100">
        <f>SUM(E141:E146)</f>
        <v>0</v>
      </c>
    </row>
    <row r="141" spans="1:5" ht="12" customHeight="1">
      <c r="A141" s="13" t="s">
        <v>236</v>
      </c>
      <c r="B141" s="7" t="s">
        <v>540</v>
      </c>
      <c r="C141" s="165"/>
      <c r="D141" s="248"/>
      <c r="E141" s="101"/>
    </row>
    <row r="142" spans="1:5" ht="12" customHeight="1">
      <c r="A142" s="13" t="s">
        <v>237</v>
      </c>
      <c r="B142" s="7" t="s">
        <v>532</v>
      </c>
      <c r="C142" s="165"/>
      <c r="D142" s="248"/>
      <c r="E142" s="101"/>
    </row>
    <row r="143" spans="1:5" ht="12" customHeight="1">
      <c r="A143" s="13" t="s">
        <v>238</v>
      </c>
      <c r="B143" s="7" t="s">
        <v>533</v>
      </c>
      <c r="C143" s="165"/>
      <c r="D143" s="248"/>
      <c r="E143" s="101"/>
    </row>
    <row r="144" spans="1:5" ht="12" customHeight="1">
      <c r="A144" s="13" t="s">
        <v>294</v>
      </c>
      <c r="B144" s="7" t="s">
        <v>534</v>
      </c>
      <c r="C144" s="165"/>
      <c r="D144" s="248"/>
      <c r="E144" s="101"/>
    </row>
    <row r="145" spans="1:5" ht="12" customHeight="1">
      <c r="A145" s="13" t="s">
        <v>295</v>
      </c>
      <c r="B145" s="7" t="s">
        <v>535</v>
      </c>
      <c r="C145" s="165"/>
      <c r="D145" s="248"/>
      <c r="E145" s="101"/>
    </row>
    <row r="146" spans="1:5" ht="12" customHeight="1" thickBot="1">
      <c r="A146" s="16" t="s">
        <v>296</v>
      </c>
      <c r="B146" s="309" t="s">
        <v>536</v>
      </c>
      <c r="C146" s="237"/>
      <c r="D146" s="286"/>
      <c r="E146" s="231"/>
    </row>
    <row r="147" spans="1:5" ht="12" customHeight="1" thickBot="1">
      <c r="A147" s="18" t="s">
        <v>191</v>
      </c>
      <c r="B147" s="54" t="s">
        <v>544</v>
      </c>
      <c r="C147" s="170">
        <f>+C148+C149+C150+C151</f>
        <v>15390031</v>
      </c>
      <c r="D147" s="250">
        <f>+D148+D149+D150+D151</f>
        <v>15390031</v>
      </c>
      <c r="E147" s="206">
        <f>+E148+E149+E150+E151</f>
        <v>15390031</v>
      </c>
    </row>
    <row r="148" spans="1:5" ht="12" customHeight="1">
      <c r="A148" s="13" t="s">
        <v>239</v>
      </c>
      <c r="B148" s="7" t="s">
        <v>458</v>
      </c>
      <c r="C148" s="165"/>
      <c r="D148" s="248"/>
      <c r="E148" s="101"/>
    </row>
    <row r="149" spans="1:5" ht="12" customHeight="1">
      <c r="A149" s="13" t="s">
        <v>240</v>
      </c>
      <c r="B149" s="7" t="s">
        <v>459</v>
      </c>
      <c r="C149" s="165">
        <v>15390031</v>
      </c>
      <c r="D149" s="248">
        <v>15390031</v>
      </c>
      <c r="E149" s="101">
        <v>15390031</v>
      </c>
    </row>
    <row r="150" spans="1:5" ht="12" customHeight="1">
      <c r="A150" s="13" t="s">
        <v>375</v>
      </c>
      <c r="B150" s="7" t="s">
        <v>545</v>
      </c>
      <c r="C150" s="165"/>
      <c r="D150" s="248"/>
      <c r="E150" s="101"/>
    </row>
    <row r="151" spans="1:5" ht="12" customHeight="1" thickBot="1">
      <c r="A151" s="11" t="s">
        <v>376</v>
      </c>
      <c r="B151" s="5" t="s">
        <v>475</v>
      </c>
      <c r="C151" s="165"/>
      <c r="D151" s="248"/>
      <c r="E151" s="101"/>
    </row>
    <row r="152" spans="1:5" ht="12" customHeight="1" thickBot="1">
      <c r="A152" s="18" t="s">
        <v>192</v>
      </c>
      <c r="B152" s="54" t="s">
        <v>546</v>
      </c>
      <c r="C152" s="239">
        <f>SUM(C153:C157)</f>
        <v>0</v>
      </c>
      <c r="D152" s="251">
        <f>SUM(D153:D157)</f>
        <v>0</v>
      </c>
      <c r="E152" s="233">
        <f>SUM(E153:E157)</f>
        <v>0</v>
      </c>
    </row>
    <row r="153" spans="1:5" ht="12" customHeight="1">
      <c r="A153" s="13" t="s">
        <v>241</v>
      </c>
      <c r="B153" s="7" t="s">
        <v>541</v>
      </c>
      <c r="C153" s="165"/>
      <c r="D153" s="248"/>
      <c r="E153" s="101"/>
    </row>
    <row r="154" spans="1:5" ht="12" customHeight="1">
      <c r="A154" s="13" t="s">
        <v>242</v>
      </c>
      <c r="B154" s="7" t="s">
        <v>548</v>
      </c>
      <c r="C154" s="165"/>
      <c r="D154" s="248"/>
      <c r="E154" s="101"/>
    </row>
    <row r="155" spans="1:5" ht="12" customHeight="1">
      <c r="A155" s="13" t="s">
        <v>387</v>
      </c>
      <c r="B155" s="7" t="s">
        <v>543</v>
      </c>
      <c r="C155" s="165"/>
      <c r="D155" s="248"/>
      <c r="E155" s="101"/>
    </row>
    <row r="156" spans="1:5" ht="12" customHeight="1">
      <c r="A156" s="13" t="s">
        <v>388</v>
      </c>
      <c r="B156" s="7" t="s">
        <v>549</v>
      </c>
      <c r="C156" s="165"/>
      <c r="D156" s="248"/>
      <c r="E156" s="101"/>
    </row>
    <row r="157" spans="1:5" ht="12" customHeight="1" thickBot="1">
      <c r="A157" s="13" t="s">
        <v>547</v>
      </c>
      <c r="B157" s="7" t="s">
        <v>550</v>
      </c>
      <c r="C157" s="165"/>
      <c r="D157" s="248"/>
      <c r="E157" s="101"/>
    </row>
    <row r="158" spans="1:5" ht="12" customHeight="1" thickBot="1">
      <c r="A158" s="18" t="s">
        <v>193</v>
      </c>
      <c r="B158" s="54" t="s">
        <v>551</v>
      </c>
      <c r="C158" s="240"/>
      <c r="D158" s="252"/>
      <c r="E158" s="234"/>
    </row>
    <row r="159" spans="1:5" ht="12" customHeight="1" thickBot="1">
      <c r="A159" s="18" t="s">
        <v>194</v>
      </c>
      <c r="B159" s="54" t="s">
        <v>552</v>
      </c>
      <c r="C159" s="240"/>
      <c r="D159" s="252"/>
      <c r="E159" s="234"/>
    </row>
    <row r="160" spans="1:9" ht="15" customHeight="1" thickBot="1">
      <c r="A160" s="18" t="s">
        <v>195</v>
      </c>
      <c r="B160" s="54" t="s">
        <v>554</v>
      </c>
      <c r="C160" s="241">
        <f>+C136+C140+C147+C152+C158+C159</f>
        <v>15390031</v>
      </c>
      <c r="D160" s="253">
        <f>+D136+D140+D147+D152+D158+D159</f>
        <v>15390031</v>
      </c>
      <c r="E160" s="235">
        <f>+E136+E140+E147+E152+E158+E159</f>
        <v>15390031</v>
      </c>
      <c r="F160" s="187"/>
      <c r="G160" s="188"/>
      <c r="H160" s="188"/>
      <c r="I160" s="188"/>
    </row>
    <row r="161" spans="1:5" s="176" customFormat="1" ht="12.75" customHeight="1" thickBot="1">
      <c r="A161" s="110" t="s">
        <v>196</v>
      </c>
      <c r="B161" s="151" t="s">
        <v>553</v>
      </c>
      <c r="C161" s="241">
        <f>+C135+C160</f>
        <v>872180543</v>
      </c>
      <c r="D161" s="253">
        <f>+D135+D160</f>
        <v>1402619551</v>
      </c>
      <c r="E161" s="235">
        <f>+E135+E160</f>
        <v>1147150705</v>
      </c>
    </row>
    <row r="162" spans="3:4" ht="15.75">
      <c r="C162" s="629">
        <f>C93-C161</f>
        <v>0</v>
      </c>
      <c r="D162" s="629">
        <f>D93-D161</f>
        <v>0</v>
      </c>
    </row>
    <row r="163" spans="1:5" ht="15.75">
      <c r="A163" s="873" t="s">
        <v>460</v>
      </c>
      <c r="B163" s="873"/>
      <c r="C163" s="873"/>
      <c r="D163" s="873"/>
      <c r="E163" s="873"/>
    </row>
    <row r="164" spans="1:5" ht="15" customHeight="1" thickBot="1">
      <c r="A164" s="865" t="s">
        <v>282</v>
      </c>
      <c r="B164" s="865"/>
      <c r="C164" s="112"/>
      <c r="E164" s="112" t="str">
        <f>E96</f>
        <v> Forintban!</v>
      </c>
    </row>
    <row r="165" spans="1:5" ht="25.5" customHeight="1" thickBot="1">
      <c r="A165" s="18">
        <v>1</v>
      </c>
      <c r="B165" s="23" t="s">
        <v>555</v>
      </c>
      <c r="C165" s="245">
        <f>+C68-C135</f>
        <v>-237728731</v>
      </c>
      <c r="D165" s="164">
        <f>+D68-D135</f>
        <v>-431217896</v>
      </c>
      <c r="E165" s="100">
        <f>+E68-E135</f>
        <v>-175749048</v>
      </c>
    </row>
    <row r="166" spans="1:5" ht="32.25" customHeight="1" thickBot="1">
      <c r="A166" s="18" t="s">
        <v>187</v>
      </c>
      <c r="B166" s="23" t="s">
        <v>561</v>
      </c>
      <c r="C166" s="164">
        <f>+C92-C160</f>
        <v>237728731</v>
      </c>
      <c r="D166" s="164">
        <f>+D92-D160</f>
        <v>431217896</v>
      </c>
      <c r="E166" s="100">
        <f>+E92-E160</f>
        <v>431217896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5">
      <selection activeCell="J14" sqref="J14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9.375" style="31" customWidth="1"/>
    <col min="5" max="5" width="11.00390625" style="31" bestFit="1" customWidth="1"/>
    <col min="6" max="16384" width="9.375" style="31" customWidth="1"/>
  </cols>
  <sheetData>
    <row r="2" spans="1:3" ht="15">
      <c r="A2" s="1016" t="str">
        <f>CONCATENATE("9. tájékoztató tábla ",Z_ALAPADATOK!A7," ",Z_ALAPADATOK!B7," ",Z_ALAPADATOK!C7," ",Z_ALAPADATOK!D7," ",Z_ALAPADATOK!E7," ",Z_ALAPADATOK!F7," ",Z_ALAPADATOK!G7," ",Z_ALAPADATOK!H7)</f>
        <v>9. tájékoztató tábla a … / 2020. ( … ) önkormányzati rendelethez</v>
      </c>
      <c r="B2" s="1060"/>
      <c r="C2" s="1060"/>
    </row>
    <row r="3" spans="1:3" ht="14.25">
      <c r="A3" s="555"/>
      <c r="B3" s="555"/>
      <c r="C3" s="555"/>
    </row>
    <row r="4" spans="1:3" ht="33.75" customHeight="1">
      <c r="A4" s="1059" t="s">
        <v>916</v>
      </c>
      <c r="B4" s="1059"/>
      <c r="C4" s="1059"/>
    </row>
    <row r="5" ht="13.5" thickBot="1">
      <c r="C5" s="556"/>
    </row>
    <row r="6" spans="1:3" s="560" customFormat="1" ht="43.5" customHeight="1" thickBot="1">
      <c r="A6" s="557" t="s">
        <v>184</v>
      </c>
      <c r="B6" s="558" t="s">
        <v>224</v>
      </c>
      <c r="C6" s="559" t="s">
        <v>917</v>
      </c>
    </row>
    <row r="7" spans="1:3" ht="28.5" customHeight="1">
      <c r="A7" s="561" t="s">
        <v>186</v>
      </c>
      <c r="B7" s="562" t="str">
        <f>CONCATENATE("Pénzkészlet ",Z_ALAPADATOK!B1,". január 1-jén
Ebből:")</f>
        <v>Pénzkészlet 2019. január 1-jén
Ebből:</v>
      </c>
      <c r="C7" s="655">
        <f>SUM(C8:C9)</f>
        <v>432936964</v>
      </c>
    </row>
    <row r="8" spans="1:3" ht="18" customHeight="1">
      <c r="A8" s="563" t="s">
        <v>187</v>
      </c>
      <c r="B8" s="564" t="s">
        <v>918</v>
      </c>
      <c r="C8" s="617">
        <v>432440119</v>
      </c>
    </row>
    <row r="9" spans="1:3" ht="18" customHeight="1">
      <c r="A9" s="563" t="s">
        <v>188</v>
      </c>
      <c r="B9" s="564" t="s">
        <v>919</v>
      </c>
      <c r="C9" s="617">
        <v>496845</v>
      </c>
    </row>
    <row r="10" spans="1:3" ht="18" customHeight="1">
      <c r="A10" s="563" t="s">
        <v>189</v>
      </c>
      <c r="B10" s="565" t="s">
        <v>920</v>
      </c>
      <c r="C10" s="617">
        <v>973285152</v>
      </c>
    </row>
    <row r="11" spans="1:3" ht="18" customHeight="1">
      <c r="A11" s="566" t="s">
        <v>190</v>
      </c>
      <c r="B11" s="567" t="s">
        <v>921</v>
      </c>
      <c r="C11" s="618">
        <v>1147150705</v>
      </c>
    </row>
    <row r="12" spans="1:3" ht="18" customHeight="1" thickBot="1">
      <c r="A12" s="568" t="s">
        <v>191</v>
      </c>
      <c r="B12" s="569" t="s">
        <v>922</v>
      </c>
      <c r="C12" s="619">
        <v>753224</v>
      </c>
    </row>
    <row r="13" spans="1:3" ht="25.5" customHeight="1">
      <c r="A13" s="570" t="s">
        <v>192</v>
      </c>
      <c r="B13" s="571" t="str">
        <f>CONCATENATE("Pénzkészlet ",Z_ALAPADATOK!B1,". december 31-én
Ebből:")</f>
        <v>Pénzkészlet 2019. december 31-én
Ebből:</v>
      </c>
      <c r="C13" s="620">
        <f>C7+C10-C11+C12</f>
        <v>259824635</v>
      </c>
    </row>
    <row r="14" spans="1:3" ht="18" customHeight="1">
      <c r="A14" s="563" t="s">
        <v>193</v>
      </c>
      <c r="B14" s="564" t="s">
        <v>918</v>
      </c>
      <c r="C14" s="617">
        <v>259139616</v>
      </c>
    </row>
    <row r="15" spans="1:3" ht="18" customHeight="1" thickBot="1">
      <c r="A15" s="568" t="s">
        <v>194</v>
      </c>
      <c r="B15" s="572" t="s">
        <v>919</v>
      </c>
      <c r="C15" s="619">
        <v>685019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27">
      <selection activeCell="E133" sqref="E133"/>
    </sheetView>
  </sheetViews>
  <sheetFormatPr defaultColWidth="9.00390625" defaultRowHeight="12.75"/>
  <cols>
    <col min="1" max="1" width="9.50390625" style="152" customWidth="1"/>
    <col min="2" max="2" width="65.875" style="152" customWidth="1"/>
    <col min="3" max="3" width="17.875" style="153" customWidth="1"/>
    <col min="4" max="5" width="17.875" style="174" customWidth="1"/>
    <col min="6" max="16384" width="9.375" style="174" customWidth="1"/>
  </cols>
  <sheetData>
    <row r="1" spans="1:5" ht="15.75">
      <c r="A1" s="310"/>
      <c r="B1" s="860" t="str">
        <f>CONCATENATE("1.2. melléklet ",Z_ALAPADATOK!A7," ",Z_ALAPADATOK!B7," ",Z_ALAPADATOK!C7," ",Z_ALAPADATOK!D7," ",Z_ALAPADATOK!E7," ",Z_ALAPADATOK!F7," ",Z_ALAPADATOK!G7," ",Z_ALAPADATOK!H7)</f>
        <v>1.2. melléklet a … / 2020. ( … ) önkormányzati rendelethez</v>
      </c>
      <c r="C1" s="861"/>
      <c r="D1" s="861"/>
      <c r="E1" s="861"/>
    </row>
    <row r="2" spans="1:5" ht="15.75">
      <c r="A2" s="862" t="str">
        <f>CONCATENATE(Z_ALAPADATOK!A3)</f>
        <v>Elek Város Önkormányzata</v>
      </c>
      <c r="B2" s="863"/>
      <c r="C2" s="863"/>
      <c r="D2" s="863"/>
      <c r="E2" s="863"/>
    </row>
    <row r="3" spans="1:5" ht="15.75">
      <c r="A3" s="862" t="str">
        <f>CONCATENATE(Z_ALAPADATOK!B1,". ÉVI ZÁRSZÁMADÁS")</f>
        <v>2019. ÉVI ZÁRSZÁMADÁS</v>
      </c>
      <c r="B3" s="862"/>
      <c r="C3" s="864"/>
      <c r="D3" s="862"/>
      <c r="E3" s="862"/>
    </row>
    <row r="4" spans="1:5" ht="17.25" customHeight="1">
      <c r="A4" s="862" t="s">
        <v>8</v>
      </c>
      <c r="B4" s="862"/>
      <c r="C4" s="864"/>
      <c r="D4" s="862"/>
      <c r="E4" s="862"/>
    </row>
    <row r="5" spans="1:5" ht="15.75">
      <c r="A5" s="310"/>
      <c r="B5" s="310"/>
      <c r="C5" s="311"/>
      <c r="D5" s="312"/>
      <c r="E5" s="312"/>
    </row>
    <row r="6" spans="1:5" ht="15.75" customHeight="1">
      <c r="A6" s="874" t="s">
        <v>183</v>
      </c>
      <c r="B6" s="874"/>
      <c r="C6" s="874"/>
      <c r="D6" s="874"/>
      <c r="E6" s="874"/>
    </row>
    <row r="7" spans="1:5" ht="15.75" customHeight="1" thickBot="1">
      <c r="A7" s="876" t="s">
        <v>280</v>
      </c>
      <c r="B7" s="876"/>
      <c r="C7" s="313"/>
      <c r="D7" s="312"/>
      <c r="E7" s="313" t="str">
        <f>CONCATENATE('Z_1.1.sz.mell.'!E7)</f>
        <v> Forintban!</v>
      </c>
    </row>
    <row r="8" spans="1:5" ht="15.75">
      <c r="A8" s="866" t="s">
        <v>231</v>
      </c>
      <c r="B8" s="868" t="s">
        <v>185</v>
      </c>
      <c r="C8" s="870" t="str">
        <f>+CONCATENATE(LEFT(Z_ÖSSZEFÜGGÉSEK!A6,4),". évi")</f>
        <v>2019. évi</v>
      </c>
      <c r="D8" s="871"/>
      <c r="E8" s="872"/>
    </row>
    <row r="9" spans="1:5" ht="24.75" thickBot="1">
      <c r="A9" s="867"/>
      <c r="B9" s="869"/>
      <c r="C9" s="243" t="s">
        <v>598</v>
      </c>
      <c r="D9" s="242" t="s">
        <v>599</v>
      </c>
      <c r="E9" s="303" t="str">
        <f>CONCATENATE('Z_1.1.sz.mell.'!E9)</f>
        <v>2019. XII. 31.
teljesítés</v>
      </c>
    </row>
    <row r="10" spans="1:5" s="175" customFormat="1" ht="12" customHeight="1" thickBot="1">
      <c r="A10" s="171" t="s">
        <v>565</v>
      </c>
      <c r="B10" s="172" t="s">
        <v>566</v>
      </c>
      <c r="C10" s="172" t="s">
        <v>567</v>
      </c>
      <c r="D10" s="172" t="s">
        <v>569</v>
      </c>
      <c r="E10" s="244" t="s">
        <v>568</v>
      </c>
    </row>
    <row r="11" spans="1:5" s="176" customFormat="1" ht="12" customHeight="1" thickBot="1">
      <c r="A11" s="18" t="s">
        <v>186</v>
      </c>
      <c r="B11" s="19" t="s">
        <v>342</v>
      </c>
      <c r="C11" s="164">
        <f>+C12+C13+C14+C15+C16+C17</f>
        <v>413947518</v>
      </c>
      <c r="D11" s="164">
        <f>+D12+D13+D14+D15+D16+D17</f>
        <v>472195561</v>
      </c>
      <c r="E11" s="100">
        <f>+E12+E13+E14+E15+E16+E17</f>
        <v>472195561</v>
      </c>
    </row>
    <row r="12" spans="1:5" s="176" customFormat="1" ht="12" customHeight="1">
      <c r="A12" s="13" t="s">
        <v>243</v>
      </c>
      <c r="B12" s="177" t="s">
        <v>343</v>
      </c>
      <c r="C12" s="166">
        <v>180621648</v>
      </c>
      <c r="D12" s="166">
        <v>186418794</v>
      </c>
      <c r="E12" s="166">
        <v>186418794</v>
      </c>
    </row>
    <row r="13" spans="1:5" s="176" customFormat="1" ht="12" customHeight="1">
      <c r="A13" s="12" t="s">
        <v>244</v>
      </c>
      <c r="B13" s="178" t="s">
        <v>344</v>
      </c>
      <c r="C13" s="165">
        <v>91830668</v>
      </c>
      <c r="D13" s="165">
        <v>92224426</v>
      </c>
      <c r="E13" s="165">
        <v>92224426</v>
      </c>
    </row>
    <row r="14" spans="1:5" s="176" customFormat="1" ht="12" customHeight="1">
      <c r="A14" s="12" t="s">
        <v>245</v>
      </c>
      <c r="B14" s="178" t="s">
        <v>345</v>
      </c>
      <c r="C14" s="165">
        <v>135618232</v>
      </c>
      <c r="D14" s="165">
        <v>154357883</v>
      </c>
      <c r="E14" s="165">
        <v>154357883</v>
      </c>
    </row>
    <row r="15" spans="1:5" s="176" customFormat="1" ht="12" customHeight="1">
      <c r="A15" s="12" t="s">
        <v>246</v>
      </c>
      <c r="B15" s="178" t="s">
        <v>346</v>
      </c>
      <c r="C15" s="165">
        <v>5876970</v>
      </c>
      <c r="D15" s="165">
        <v>6759903</v>
      </c>
      <c r="E15" s="165">
        <v>6759903</v>
      </c>
    </row>
    <row r="16" spans="1:5" s="176" customFormat="1" ht="12" customHeight="1">
      <c r="A16" s="12" t="s">
        <v>277</v>
      </c>
      <c r="B16" s="108" t="s">
        <v>513</v>
      </c>
      <c r="C16" s="165"/>
      <c r="D16" s="165">
        <v>32434555</v>
      </c>
      <c r="E16" s="165">
        <v>32434555</v>
      </c>
    </row>
    <row r="17" spans="1:5" s="176" customFormat="1" ht="12" customHeight="1" thickBot="1">
      <c r="A17" s="14" t="s">
        <v>247</v>
      </c>
      <c r="B17" s="109" t="s">
        <v>514</v>
      </c>
      <c r="C17" s="165"/>
      <c r="D17" s="165"/>
      <c r="E17" s="101"/>
    </row>
    <row r="18" spans="1:5" s="176" customFormat="1" ht="12" customHeight="1" thickBot="1">
      <c r="A18" s="18" t="s">
        <v>187</v>
      </c>
      <c r="B18" s="107" t="s">
        <v>347</v>
      </c>
      <c r="C18" s="164">
        <f>+C19+C20+C21+C22+C23</f>
        <v>19042591</v>
      </c>
      <c r="D18" s="164">
        <f>+D19+D20+D21+D22+D23</f>
        <v>203739706</v>
      </c>
      <c r="E18" s="100">
        <f>+E19+E20+E21+E22+E23</f>
        <v>203739706</v>
      </c>
    </row>
    <row r="19" spans="1:5" s="176" customFormat="1" ht="12" customHeight="1">
      <c r="A19" s="13" t="s">
        <v>249</v>
      </c>
      <c r="B19" s="177" t="s">
        <v>348</v>
      </c>
      <c r="C19" s="166"/>
      <c r="D19" s="166"/>
      <c r="E19" s="102"/>
    </row>
    <row r="20" spans="1:5" s="176" customFormat="1" ht="12" customHeight="1">
      <c r="A20" s="12" t="s">
        <v>250</v>
      </c>
      <c r="B20" s="178" t="s">
        <v>349</v>
      </c>
      <c r="C20" s="165"/>
      <c r="D20" s="165"/>
      <c r="E20" s="101"/>
    </row>
    <row r="21" spans="1:5" s="176" customFormat="1" ht="12" customHeight="1">
      <c r="A21" s="12" t="s">
        <v>251</v>
      </c>
      <c r="B21" s="178" t="s">
        <v>505</v>
      </c>
      <c r="C21" s="165"/>
      <c r="D21" s="165"/>
      <c r="E21" s="101"/>
    </row>
    <row r="22" spans="1:5" s="176" customFormat="1" ht="12" customHeight="1">
      <c r="A22" s="12" t="s">
        <v>252</v>
      </c>
      <c r="B22" s="178" t="s">
        <v>506</v>
      </c>
      <c r="C22" s="165"/>
      <c r="D22" s="165"/>
      <c r="E22" s="101"/>
    </row>
    <row r="23" spans="1:5" s="176" customFormat="1" ht="12" customHeight="1">
      <c r="A23" s="12" t="s">
        <v>253</v>
      </c>
      <c r="B23" s="178" t="s">
        <v>350</v>
      </c>
      <c r="C23" s="165">
        <v>19042591</v>
      </c>
      <c r="D23" s="165">
        <v>203739706</v>
      </c>
      <c r="E23" s="101">
        <v>203739706</v>
      </c>
    </row>
    <row r="24" spans="1:5" s="176" customFormat="1" ht="12" customHeight="1" thickBot="1">
      <c r="A24" s="14" t="s">
        <v>260</v>
      </c>
      <c r="B24" s="109" t="s">
        <v>351</v>
      </c>
      <c r="C24" s="167"/>
      <c r="D24" s="167"/>
      <c r="E24" s="103"/>
    </row>
    <row r="25" spans="1:5" s="176" customFormat="1" ht="12" customHeight="1" thickBot="1">
      <c r="A25" s="18" t="s">
        <v>188</v>
      </c>
      <c r="B25" s="19" t="s">
        <v>352</v>
      </c>
      <c r="C25" s="164">
        <f>+C26+C27+C28+C29+C30</f>
        <v>8856290</v>
      </c>
      <c r="D25" s="164">
        <f>+D26+D27+D28+D29+D30</f>
        <v>21455360</v>
      </c>
      <c r="E25" s="100">
        <f>+E26+E27+E28+E29+E30</f>
        <v>21455360</v>
      </c>
    </row>
    <row r="26" spans="1:5" s="176" customFormat="1" ht="12" customHeight="1">
      <c r="A26" s="13" t="s">
        <v>232</v>
      </c>
      <c r="B26" s="177" t="s">
        <v>353</v>
      </c>
      <c r="C26" s="166">
        <v>8856290</v>
      </c>
      <c r="D26" s="166">
        <v>9124290</v>
      </c>
      <c r="E26" s="102">
        <v>268000</v>
      </c>
    </row>
    <row r="27" spans="1:5" s="176" customFormat="1" ht="12" customHeight="1">
      <c r="A27" s="12" t="s">
        <v>233</v>
      </c>
      <c r="B27" s="178" t="s">
        <v>354</v>
      </c>
      <c r="C27" s="165"/>
      <c r="D27" s="165"/>
      <c r="E27" s="101"/>
    </row>
    <row r="28" spans="1:5" s="176" customFormat="1" ht="12" customHeight="1">
      <c r="A28" s="12" t="s">
        <v>234</v>
      </c>
      <c r="B28" s="178" t="s">
        <v>507</v>
      </c>
      <c r="C28" s="165"/>
      <c r="D28" s="165"/>
      <c r="E28" s="101"/>
    </row>
    <row r="29" spans="1:5" s="176" customFormat="1" ht="12" customHeight="1">
      <c r="A29" s="12" t="s">
        <v>235</v>
      </c>
      <c r="B29" s="178" t="s">
        <v>508</v>
      </c>
      <c r="C29" s="165"/>
      <c r="D29" s="165"/>
      <c r="E29" s="101"/>
    </row>
    <row r="30" spans="1:5" s="176" customFormat="1" ht="12" customHeight="1">
      <c r="A30" s="12" t="s">
        <v>290</v>
      </c>
      <c r="B30" s="178" t="s">
        <v>355</v>
      </c>
      <c r="C30" s="165"/>
      <c r="D30" s="165">
        <v>12331070</v>
      </c>
      <c r="E30" s="101">
        <v>21187360</v>
      </c>
    </row>
    <row r="31" spans="1:5" s="176" customFormat="1" ht="12" customHeight="1" thickBot="1">
      <c r="A31" s="14" t="s">
        <v>291</v>
      </c>
      <c r="B31" s="179" t="s">
        <v>356</v>
      </c>
      <c r="C31" s="167"/>
      <c r="D31" s="167"/>
      <c r="E31" s="103"/>
    </row>
    <row r="32" spans="1:5" s="176" customFormat="1" ht="12" customHeight="1" thickBot="1">
      <c r="A32" s="20" t="s">
        <v>292</v>
      </c>
      <c r="B32" s="755" t="s">
        <v>656</v>
      </c>
      <c r="C32" s="756">
        <f>SUM(C33:C39)</f>
        <v>60000000</v>
      </c>
      <c r="D32" s="756">
        <f>SUM(D33:D39)</f>
        <v>74848030</v>
      </c>
      <c r="E32" s="757">
        <f>SUM(E33:E39)</f>
        <v>74848030</v>
      </c>
    </row>
    <row r="33" spans="1:5" s="176" customFormat="1" ht="12" customHeight="1">
      <c r="A33" s="15" t="s">
        <v>357</v>
      </c>
      <c r="B33" s="759" t="str">
        <f>'Z_1.1.sz.mell.'!B33</f>
        <v>Magánszemélyek kommunális adója</v>
      </c>
      <c r="C33" s="236">
        <v>4500000</v>
      </c>
      <c r="D33" s="236">
        <v>4673191</v>
      </c>
      <c r="E33" s="760">
        <v>4673191</v>
      </c>
    </row>
    <row r="34" spans="1:5" s="176" customFormat="1" ht="12" customHeight="1">
      <c r="A34" s="12" t="s">
        <v>358</v>
      </c>
      <c r="B34" s="178" t="str">
        <f>'Z_1.1.sz.mell.'!B34</f>
        <v>Idegenforgalmi adó </v>
      </c>
      <c r="C34" s="165"/>
      <c r="D34" s="165"/>
      <c r="E34" s="761"/>
    </row>
    <row r="35" spans="1:5" s="176" customFormat="1" ht="12" customHeight="1">
      <c r="A35" s="12" t="s">
        <v>359</v>
      </c>
      <c r="B35" s="178" t="str">
        <f>'Z_1.1.sz.mell.'!B35</f>
        <v>Iparűzési adó</v>
      </c>
      <c r="C35" s="165">
        <v>48000000</v>
      </c>
      <c r="D35" s="165">
        <v>59690359</v>
      </c>
      <c r="E35" s="761">
        <v>59690359</v>
      </c>
    </row>
    <row r="36" spans="1:5" s="176" customFormat="1" ht="12" customHeight="1">
      <c r="A36" s="12" t="s">
        <v>360</v>
      </c>
      <c r="B36" s="178" t="str">
        <f>'Z_1.1.sz.mell.'!B36</f>
        <v>Talajterhelési díj</v>
      </c>
      <c r="C36" s="165"/>
      <c r="D36" s="165"/>
      <c r="E36" s="761"/>
    </row>
    <row r="37" spans="1:5" s="176" customFormat="1" ht="12" customHeight="1">
      <c r="A37" s="12" t="s">
        <v>660</v>
      </c>
      <c r="B37" s="178" t="str">
        <f>'Z_1.1.sz.mell.'!B37</f>
        <v>Gépjárműadó</v>
      </c>
      <c r="C37" s="165">
        <v>7500000</v>
      </c>
      <c r="D37" s="165">
        <v>9880000</v>
      </c>
      <c r="E37" s="761">
        <v>9880000</v>
      </c>
    </row>
    <row r="38" spans="1:5" s="176" customFormat="1" ht="12" customHeight="1">
      <c r="A38" s="12" t="s">
        <v>661</v>
      </c>
      <c r="B38" s="178" t="str">
        <f>'Z_1.1.sz.mell.'!B38</f>
        <v>Telekadó</v>
      </c>
      <c r="C38" s="165"/>
      <c r="D38" s="165"/>
      <c r="E38" s="761"/>
    </row>
    <row r="39" spans="1:5" s="176" customFormat="1" ht="12" customHeight="1" thickBot="1">
      <c r="A39" s="16" t="s">
        <v>662</v>
      </c>
      <c r="B39" s="762" t="str">
        <f>'Z_1.1.sz.mell.'!B39</f>
        <v>Egyéb közhatalmi bevételek</v>
      </c>
      <c r="C39" s="237"/>
      <c r="D39" s="237">
        <v>604480</v>
      </c>
      <c r="E39" s="763">
        <v>604480</v>
      </c>
    </row>
    <row r="40" spans="1:5" s="176" customFormat="1" ht="12" customHeight="1" thickBot="1">
      <c r="A40" s="223" t="s">
        <v>190</v>
      </c>
      <c r="B40" s="758" t="s">
        <v>515</v>
      </c>
      <c r="C40" s="238">
        <f>SUM(C41:C51)</f>
        <v>82863224</v>
      </c>
      <c r="D40" s="238">
        <f>SUM(D41:D51)</f>
        <v>82284692</v>
      </c>
      <c r="E40" s="232">
        <f>SUM(E41:E51)</f>
        <v>82284687</v>
      </c>
    </row>
    <row r="41" spans="1:5" s="176" customFormat="1" ht="12" customHeight="1">
      <c r="A41" s="15" t="s">
        <v>236</v>
      </c>
      <c r="B41" s="759" t="s">
        <v>364</v>
      </c>
      <c r="C41" s="236">
        <v>2000000</v>
      </c>
      <c r="D41" s="236">
        <v>1508060</v>
      </c>
      <c r="E41" s="760">
        <v>1508060</v>
      </c>
    </row>
    <row r="42" spans="1:5" s="176" customFormat="1" ht="12" customHeight="1">
      <c r="A42" s="12" t="s">
        <v>237</v>
      </c>
      <c r="B42" s="178" t="s">
        <v>365</v>
      </c>
      <c r="C42" s="165">
        <v>7196000</v>
      </c>
      <c r="D42" s="165">
        <v>7780625</v>
      </c>
      <c r="E42" s="761">
        <v>7780625</v>
      </c>
    </row>
    <row r="43" spans="1:5" s="176" customFormat="1" ht="12" customHeight="1">
      <c r="A43" s="12" t="s">
        <v>238</v>
      </c>
      <c r="B43" s="178" t="s">
        <v>366</v>
      </c>
      <c r="C43" s="165">
        <v>8620000</v>
      </c>
      <c r="D43" s="165">
        <v>3272106</v>
      </c>
      <c r="E43" s="761">
        <v>3272106</v>
      </c>
    </row>
    <row r="44" spans="1:5" s="176" customFormat="1" ht="12" customHeight="1">
      <c r="A44" s="12" t="s">
        <v>294</v>
      </c>
      <c r="B44" s="178" t="s">
        <v>367</v>
      </c>
      <c r="C44" s="165">
        <v>13991000</v>
      </c>
      <c r="D44" s="165">
        <v>11980238</v>
      </c>
      <c r="E44" s="761">
        <v>11980238</v>
      </c>
    </row>
    <row r="45" spans="1:5" s="176" customFormat="1" ht="12" customHeight="1">
      <c r="A45" s="12" t="s">
        <v>295</v>
      </c>
      <c r="B45" s="178" t="s">
        <v>368</v>
      </c>
      <c r="C45" s="165">
        <v>40313475</v>
      </c>
      <c r="D45" s="165">
        <v>40850290</v>
      </c>
      <c r="E45" s="761">
        <v>40850290</v>
      </c>
    </row>
    <row r="46" spans="1:5" s="176" customFormat="1" ht="12" customHeight="1">
      <c r="A46" s="12" t="s">
        <v>296</v>
      </c>
      <c r="B46" s="178" t="s">
        <v>369</v>
      </c>
      <c r="C46" s="165">
        <v>9726749</v>
      </c>
      <c r="D46" s="165">
        <v>6935414</v>
      </c>
      <c r="E46" s="761">
        <v>6935414</v>
      </c>
    </row>
    <row r="47" spans="1:5" s="176" customFormat="1" ht="12" customHeight="1">
      <c r="A47" s="12" t="s">
        <v>297</v>
      </c>
      <c r="B47" s="178" t="s">
        <v>370</v>
      </c>
      <c r="C47" s="165"/>
      <c r="D47" s="165"/>
      <c r="E47" s="761"/>
    </row>
    <row r="48" spans="1:5" s="176" customFormat="1" ht="12" customHeight="1">
      <c r="A48" s="12" t="s">
        <v>298</v>
      </c>
      <c r="B48" s="178" t="s">
        <v>663</v>
      </c>
      <c r="C48" s="165"/>
      <c r="D48" s="165">
        <v>284</v>
      </c>
      <c r="E48" s="761">
        <v>277</v>
      </c>
    </row>
    <row r="49" spans="1:5" s="176" customFormat="1" ht="12" customHeight="1">
      <c r="A49" s="12" t="s">
        <v>362</v>
      </c>
      <c r="B49" s="178" t="s">
        <v>372</v>
      </c>
      <c r="C49" s="168"/>
      <c r="D49" s="168">
        <v>7545</v>
      </c>
      <c r="E49" s="764">
        <v>7545</v>
      </c>
    </row>
    <row r="50" spans="1:5" s="176" customFormat="1" ht="12" customHeight="1">
      <c r="A50" s="14" t="s">
        <v>363</v>
      </c>
      <c r="B50" s="179" t="s">
        <v>517</v>
      </c>
      <c r="C50" s="169"/>
      <c r="D50" s="169">
        <v>336109</v>
      </c>
      <c r="E50" s="765">
        <v>336109</v>
      </c>
    </row>
    <row r="51" spans="1:5" s="176" customFormat="1" ht="12" customHeight="1" thickBot="1">
      <c r="A51" s="16" t="s">
        <v>516</v>
      </c>
      <c r="B51" s="766" t="s">
        <v>373</v>
      </c>
      <c r="C51" s="315">
        <v>1016000</v>
      </c>
      <c r="D51" s="315">
        <v>9614021</v>
      </c>
      <c r="E51" s="767">
        <v>9614023</v>
      </c>
    </row>
    <row r="52" spans="1:5" s="176" customFormat="1" ht="12" customHeight="1" thickBot="1">
      <c r="A52" s="18" t="s">
        <v>191</v>
      </c>
      <c r="B52" s="19" t="s">
        <v>374</v>
      </c>
      <c r="C52" s="164">
        <f>SUM(C53:C57)</f>
        <v>0</v>
      </c>
      <c r="D52" s="164">
        <f>SUM(D53:D57)</f>
        <v>75248</v>
      </c>
      <c r="E52" s="100">
        <f>SUM(E53:E57)</f>
        <v>75248</v>
      </c>
    </row>
    <row r="53" spans="1:5" s="176" customFormat="1" ht="12" customHeight="1">
      <c r="A53" s="13" t="s">
        <v>239</v>
      </c>
      <c r="B53" s="177" t="s">
        <v>378</v>
      </c>
      <c r="C53" s="217"/>
      <c r="D53" s="217"/>
      <c r="E53" s="106"/>
    </row>
    <row r="54" spans="1:5" s="176" customFormat="1" ht="12" customHeight="1">
      <c r="A54" s="12" t="s">
        <v>240</v>
      </c>
      <c r="B54" s="178" t="s">
        <v>379</v>
      </c>
      <c r="C54" s="168"/>
      <c r="D54" s="168">
        <v>59500</v>
      </c>
      <c r="E54" s="104">
        <v>59500</v>
      </c>
    </row>
    <row r="55" spans="1:5" s="176" customFormat="1" ht="12" customHeight="1">
      <c r="A55" s="12" t="s">
        <v>375</v>
      </c>
      <c r="B55" s="178" t="s">
        <v>380</v>
      </c>
      <c r="C55" s="168"/>
      <c r="D55" s="168">
        <v>15748</v>
      </c>
      <c r="E55" s="104">
        <v>15748</v>
      </c>
    </row>
    <row r="56" spans="1:5" s="176" customFormat="1" ht="12" customHeight="1">
      <c r="A56" s="12" t="s">
        <v>376</v>
      </c>
      <c r="B56" s="178" t="s">
        <v>381</v>
      </c>
      <c r="C56" s="168"/>
      <c r="D56" s="168"/>
      <c r="E56" s="104"/>
    </row>
    <row r="57" spans="1:5" s="176" customFormat="1" ht="12" customHeight="1" thickBot="1">
      <c r="A57" s="14" t="s">
        <v>377</v>
      </c>
      <c r="B57" s="109" t="s">
        <v>382</v>
      </c>
      <c r="C57" s="169"/>
      <c r="D57" s="169"/>
      <c r="E57" s="105"/>
    </row>
    <row r="58" spans="1:5" s="176" customFormat="1" ht="12" customHeight="1" thickBot="1">
      <c r="A58" s="18" t="s">
        <v>299</v>
      </c>
      <c r="B58" s="19" t="s">
        <v>383</v>
      </c>
      <c r="C58" s="164">
        <f>SUM(C59:C61)</f>
        <v>0</v>
      </c>
      <c r="D58" s="164">
        <f>SUM(D59:D61)</f>
        <v>352510</v>
      </c>
      <c r="E58" s="100">
        <f>SUM(E59:E61)</f>
        <v>352510</v>
      </c>
    </row>
    <row r="59" spans="1:5" s="176" customFormat="1" ht="12" customHeight="1">
      <c r="A59" s="13" t="s">
        <v>241</v>
      </c>
      <c r="B59" s="177" t="s">
        <v>384</v>
      </c>
      <c r="C59" s="166"/>
      <c r="D59" s="166"/>
      <c r="E59" s="102"/>
    </row>
    <row r="60" spans="1:5" s="176" customFormat="1" ht="12" customHeight="1">
      <c r="A60" s="12" t="s">
        <v>242</v>
      </c>
      <c r="B60" s="178" t="s">
        <v>509</v>
      </c>
      <c r="C60" s="165"/>
      <c r="D60" s="165"/>
      <c r="E60" s="101"/>
    </row>
    <row r="61" spans="1:5" s="176" customFormat="1" ht="12" customHeight="1">
      <c r="A61" s="12" t="s">
        <v>387</v>
      </c>
      <c r="B61" s="178" t="s">
        <v>385</v>
      </c>
      <c r="C61" s="165"/>
      <c r="D61" s="165">
        <v>352510</v>
      </c>
      <c r="E61" s="101">
        <v>352510</v>
      </c>
    </row>
    <row r="62" spans="1:5" s="176" customFormat="1" ht="12" customHeight="1" thickBot="1">
      <c r="A62" s="14" t="s">
        <v>388</v>
      </c>
      <c r="B62" s="109" t="s">
        <v>386</v>
      </c>
      <c r="C62" s="167"/>
      <c r="D62" s="167"/>
      <c r="E62" s="103"/>
    </row>
    <row r="63" spans="1:5" s="176" customFormat="1" ht="12" customHeight="1" thickBot="1">
      <c r="A63" s="18" t="s">
        <v>193</v>
      </c>
      <c r="B63" s="107" t="s">
        <v>389</v>
      </c>
      <c r="C63" s="164">
        <f>SUM(C64:C66)</f>
        <v>13000000</v>
      </c>
      <c r="D63" s="164">
        <f>SUM(D64:D66)</f>
        <v>13030000</v>
      </c>
      <c r="E63" s="100">
        <f>SUM(E64:E66)</f>
        <v>13030000</v>
      </c>
    </row>
    <row r="64" spans="1:5" s="176" customFormat="1" ht="12" customHeight="1">
      <c r="A64" s="13" t="s">
        <v>300</v>
      </c>
      <c r="B64" s="177" t="s">
        <v>391</v>
      </c>
      <c r="C64" s="168"/>
      <c r="D64" s="168"/>
      <c r="E64" s="104"/>
    </row>
    <row r="65" spans="1:5" s="176" customFormat="1" ht="12" customHeight="1">
      <c r="A65" s="12" t="s">
        <v>301</v>
      </c>
      <c r="B65" s="178" t="s">
        <v>510</v>
      </c>
      <c r="C65" s="168"/>
      <c r="D65" s="168">
        <v>30000</v>
      </c>
      <c r="E65" s="104">
        <v>30000</v>
      </c>
    </row>
    <row r="66" spans="1:5" s="176" customFormat="1" ht="12" customHeight="1">
      <c r="A66" s="12" t="s">
        <v>324</v>
      </c>
      <c r="B66" s="178" t="s">
        <v>392</v>
      </c>
      <c r="C66" s="168">
        <v>13000000</v>
      </c>
      <c r="D66" s="168">
        <v>13000000</v>
      </c>
      <c r="E66" s="104">
        <v>13000000</v>
      </c>
    </row>
    <row r="67" spans="1:5" s="176" customFormat="1" ht="12" customHeight="1" thickBot="1">
      <c r="A67" s="14" t="s">
        <v>390</v>
      </c>
      <c r="B67" s="109" t="s">
        <v>393</v>
      </c>
      <c r="C67" s="168"/>
      <c r="D67" s="168"/>
      <c r="E67" s="104"/>
    </row>
    <row r="68" spans="1:5" s="176" customFormat="1" ht="12" customHeight="1" thickBot="1">
      <c r="A68" s="226" t="s">
        <v>557</v>
      </c>
      <c r="B68" s="19" t="s">
        <v>394</v>
      </c>
      <c r="C68" s="170">
        <f>+C11+C18+C25+C32+C40+C52+C58+C63</f>
        <v>597709623</v>
      </c>
      <c r="D68" s="170">
        <f>+D11+D18+D25+D32+D40+D52+D58+D63</f>
        <v>867981107</v>
      </c>
      <c r="E68" s="206">
        <f>+E11+E18+E25+E32+E40+E52+E58+E63</f>
        <v>867981102</v>
      </c>
    </row>
    <row r="69" spans="1:5" s="176" customFormat="1" ht="12" customHeight="1" thickBot="1">
      <c r="A69" s="218" t="s">
        <v>395</v>
      </c>
      <c r="B69" s="107" t="s">
        <v>396</v>
      </c>
      <c r="C69" s="164">
        <f>SUM(C70:C72)</f>
        <v>0</v>
      </c>
      <c r="D69" s="164">
        <f>SUM(D70:D72)</f>
        <v>0</v>
      </c>
      <c r="E69" s="100">
        <f>SUM(E70:E72)</f>
        <v>0</v>
      </c>
    </row>
    <row r="70" spans="1:5" s="176" customFormat="1" ht="12" customHeight="1">
      <c r="A70" s="13" t="s">
        <v>424</v>
      </c>
      <c r="B70" s="177" t="s">
        <v>397</v>
      </c>
      <c r="C70" s="168"/>
      <c r="D70" s="168"/>
      <c r="E70" s="104"/>
    </row>
    <row r="71" spans="1:5" s="176" customFormat="1" ht="12" customHeight="1">
      <c r="A71" s="12" t="s">
        <v>433</v>
      </c>
      <c r="B71" s="178" t="s">
        <v>398</v>
      </c>
      <c r="C71" s="168"/>
      <c r="D71" s="168"/>
      <c r="E71" s="104"/>
    </row>
    <row r="72" spans="1:5" s="176" customFormat="1" ht="12" customHeight="1" thickBot="1">
      <c r="A72" s="14" t="s">
        <v>434</v>
      </c>
      <c r="B72" s="222" t="s">
        <v>542</v>
      </c>
      <c r="C72" s="168"/>
      <c r="D72" s="168"/>
      <c r="E72" s="104"/>
    </row>
    <row r="73" spans="1:5" s="176" customFormat="1" ht="12" customHeight="1" thickBot="1">
      <c r="A73" s="218" t="s">
        <v>400</v>
      </c>
      <c r="B73" s="107" t="s">
        <v>401</v>
      </c>
      <c r="C73" s="164">
        <f>SUM(C74:C77)</f>
        <v>0</v>
      </c>
      <c r="D73" s="164">
        <f>SUM(D74:D77)</f>
        <v>0</v>
      </c>
      <c r="E73" s="100">
        <f>SUM(E74:E77)</f>
        <v>0</v>
      </c>
    </row>
    <row r="74" spans="1:5" s="176" customFormat="1" ht="12" customHeight="1">
      <c r="A74" s="13" t="s">
        <v>278</v>
      </c>
      <c r="B74" s="301" t="s">
        <v>402</v>
      </c>
      <c r="C74" s="168"/>
      <c r="D74" s="168"/>
      <c r="E74" s="104"/>
    </row>
    <row r="75" spans="1:5" s="176" customFormat="1" ht="12" customHeight="1">
      <c r="A75" s="12" t="s">
        <v>279</v>
      </c>
      <c r="B75" s="301" t="s">
        <v>670</v>
      </c>
      <c r="C75" s="168"/>
      <c r="D75" s="168"/>
      <c r="E75" s="104"/>
    </row>
    <row r="76" spans="1:5" s="176" customFormat="1" ht="12" customHeight="1">
      <c r="A76" s="12" t="s">
        <v>425</v>
      </c>
      <c r="B76" s="301" t="s">
        <v>403</v>
      </c>
      <c r="C76" s="168"/>
      <c r="D76" s="168"/>
      <c r="E76" s="104"/>
    </row>
    <row r="77" spans="1:5" s="176" customFormat="1" ht="12" customHeight="1" thickBot="1">
      <c r="A77" s="14" t="s">
        <v>426</v>
      </c>
      <c r="B77" s="302" t="s">
        <v>671</v>
      </c>
      <c r="C77" s="168"/>
      <c r="D77" s="168"/>
      <c r="E77" s="104"/>
    </row>
    <row r="78" spans="1:5" s="176" customFormat="1" ht="12" customHeight="1" thickBot="1">
      <c r="A78" s="218" t="s">
        <v>404</v>
      </c>
      <c r="B78" s="107" t="s">
        <v>405</v>
      </c>
      <c r="C78" s="164">
        <f>SUM(C79:C80)</f>
        <v>222877368</v>
      </c>
      <c r="D78" s="164">
        <f>SUM(D79:D80)</f>
        <v>398619960</v>
      </c>
      <c r="E78" s="100">
        <f>SUM(E79:E80)</f>
        <v>406198900</v>
      </c>
    </row>
    <row r="79" spans="1:5" s="176" customFormat="1" ht="12" customHeight="1">
      <c r="A79" s="13" t="s">
        <v>427</v>
      </c>
      <c r="B79" s="177" t="s">
        <v>406</v>
      </c>
      <c r="C79" s="168">
        <v>222877368</v>
      </c>
      <c r="D79" s="168">
        <v>398619960</v>
      </c>
      <c r="E79" s="104">
        <v>406198900</v>
      </c>
    </row>
    <row r="80" spans="1:5" s="176" customFormat="1" ht="12" customHeight="1" thickBot="1">
      <c r="A80" s="14" t="s">
        <v>428</v>
      </c>
      <c r="B80" s="109" t="s">
        <v>407</v>
      </c>
      <c r="C80" s="168"/>
      <c r="D80" s="168"/>
      <c r="E80" s="104"/>
    </row>
    <row r="81" spans="1:5" s="176" customFormat="1" ht="12" customHeight="1" thickBot="1">
      <c r="A81" s="218" t="s">
        <v>408</v>
      </c>
      <c r="B81" s="107" t="s">
        <v>409</v>
      </c>
      <c r="C81" s="164">
        <f>SUM(C82:C84)</f>
        <v>0</v>
      </c>
      <c r="D81" s="164">
        <f>SUM(D82:D84)</f>
        <v>17273526</v>
      </c>
      <c r="E81" s="100">
        <f>SUM(E82:E84)</f>
        <v>17273526</v>
      </c>
    </row>
    <row r="82" spans="1:5" s="176" customFormat="1" ht="12" customHeight="1">
      <c r="A82" s="13" t="s">
        <v>429</v>
      </c>
      <c r="B82" s="177" t="s">
        <v>410</v>
      </c>
      <c r="C82" s="168"/>
      <c r="D82" s="168">
        <v>17273526</v>
      </c>
      <c r="E82" s="104">
        <v>17273526</v>
      </c>
    </row>
    <row r="83" spans="1:5" s="176" customFormat="1" ht="12" customHeight="1">
      <c r="A83" s="12" t="s">
        <v>430</v>
      </c>
      <c r="B83" s="178" t="s">
        <v>411</v>
      </c>
      <c r="C83" s="168"/>
      <c r="D83" s="168"/>
      <c r="E83" s="104"/>
    </row>
    <row r="84" spans="1:5" s="176" customFormat="1" ht="12" customHeight="1" thickBot="1">
      <c r="A84" s="14" t="s">
        <v>431</v>
      </c>
      <c r="B84" s="109" t="s">
        <v>672</v>
      </c>
      <c r="C84" s="168"/>
      <c r="D84" s="168"/>
      <c r="E84" s="104"/>
    </row>
    <row r="85" spans="1:5" s="176" customFormat="1" ht="12" customHeight="1" thickBot="1">
      <c r="A85" s="218" t="s">
        <v>412</v>
      </c>
      <c r="B85" s="107" t="s">
        <v>432</v>
      </c>
      <c r="C85" s="164">
        <f>SUM(C86:C89)</f>
        <v>0</v>
      </c>
      <c r="D85" s="164">
        <f>SUM(D86:D89)</f>
        <v>0</v>
      </c>
      <c r="E85" s="100">
        <f>SUM(E86:E89)</f>
        <v>0</v>
      </c>
    </row>
    <row r="86" spans="1:5" s="176" customFormat="1" ht="12" customHeight="1">
      <c r="A86" s="181" t="s">
        <v>413</v>
      </c>
      <c r="B86" s="177" t="s">
        <v>414</v>
      </c>
      <c r="C86" s="168"/>
      <c r="D86" s="168"/>
      <c r="E86" s="104"/>
    </row>
    <row r="87" spans="1:5" s="176" customFormat="1" ht="12" customHeight="1">
      <c r="A87" s="182" t="s">
        <v>415</v>
      </c>
      <c r="B87" s="178" t="s">
        <v>416</v>
      </c>
      <c r="C87" s="168"/>
      <c r="D87" s="168"/>
      <c r="E87" s="104"/>
    </row>
    <row r="88" spans="1:5" s="176" customFormat="1" ht="12" customHeight="1">
      <c r="A88" s="182" t="s">
        <v>417</v>
      </c>
      <c r="B88" s="178" t="s">
        <v>418</v>
      </c>
      <c r="C88" s="168"/>
      <c r="D88" s="168"/>
      <c r="E88" s="104"/>
    </row>
    <row r="89" spans="1:5" s="176" customFormat="1" ht="12" customHeight="1" thickBot="1">
      <c r="A89" s="183" t="s">
        <v>419</v>
      </c>
      <c r="B89" s="109" t="s">
        <v>420</v>
      </c>
      <c r="C89" s="168"/>
      <c r="D89" s="168"/>
      <c r="E89" s="104"/>
    </row>
    <row r="90" spans="1:5" s="176" customFormat="1" ht="12" customHeight="1" thickBot="1">
      <c r="A90" s="218" t="s">
        <v>421</v>
      </c>
      <c r="B90" s="107" t="s">
        <v>556</v>
      </c>
      <c r="C90" s="220"/>
      <c r="D90" s="220"/>
      <c r="E90" s="221"/>
    </row>
    <row r="91" spans="1:5" s="176" customFormat="1" ht="13.5" customHeight="1" thickBot="1">
      <c r="A91" s="218" t="s">
        <v>423</v>
      </c>
      <c r="B91" s="107" t="s">
        <v>422</v>
      </c>
      <c r="C91" s="220"/>
      <c r="D91" s="220"/>
      <c r="E91" s="221"/>
    </row>
    <row r="92" spans="1:5" s="176" customFormat="1" ht="15.75" customHeight="1" thickBot="1">
      <c r="A92" s="218" t="s">
        <v>435</v>
      </c>
      <c r="B92" s="184" t="s">
        <v>559</v>
      </c>
      <c r="C92" s="170">
        <f>+C69+C73+C78+C81+C85+C91+C90</f>
        <v>222877368</v>
      </c>
      <c r="D92" s="170">
        <f>+D69+D73+D78+D81+D85+D91+D90</f>
        <v>415893486</v>
      </c>
      <c r="E92" s="206">
        <f>+E69+E73+E78+E81+E85+E91+E90</f>
        <v>423472426</v>
      </c>
    </row>
    <row r="93" spans="1:5" s="176" customFormat="1" ht="25.5" customHeight="1" thickBot="1">
      <c r="A93" s="219" t="s">
        <v>558</v>
      </c>
      <c r="B93" s="185" t="s">
        <v>560</v>
      </c>
      <c r="C93" s="170">
        <f>+C68+C92</f>
        <v>820586991</v>
      </c>
      <c r="D93" s="170">
        <f>+D68+D92</f>
        <v>1283874593</v>
      </c>
      <c r="E93" s="206">
        <f>+E68+E92</f>
        <v>1291453528</v>
      </c>
    </row>
    <row r="94" spans="1:3" s="176" customFormat="1" ht="15" customHeight="1">
      <c r="A94" s="3"/>
      <c r="B94" s="4"/>
      <c r="C94" s="111"/>
    </row>
    <row r="95" spans="1:5" ht="16.5" customHeight="1">
      <c r="A95" s="875" t="s">
        <v>214</v>
      </c>
      <c r="B95" s="875"/>
      <c r="C95" s="875"/>
      <c r="D95" s="875"/>
      <c r="E95" s="875"/>
    </row>
    <row r="96" spans="1:5" s="186" customFormat="1" ht="16.5" customHeight="1" thickBot="1">
      <c r="A96" s="877" t="s">
        <v>281</v>
      </c>
      <c r="B96" s="877"/>
      <c r="C96" s="58"/>
      <c r="E96" s="58" t="str">
        <f>E7</f>
        <v> Forintban!</v>
      </c>
    </row>
    <row r="97" spans="1:5" ht="15.75">
      <c r="A97" s="866" t="s">
        <v>231</v>
      </c>
      <c r="B97" s="868" t="s">
        <v>600</v>
      </c>
      <c r="C97" s="870" t="str">
        <f>+CONCATENATE(LEFT(Z_ÖSSZEFÜGGÉSEK!A6,4),". évi")</f>
        <v>2019. évi</v>
      </c>
      <c r="D97" s="871"/>
      <c r="E97" s="872"/>
    </row>
    <row r="98" spans="1:5" ht="24.75" thickBot="1">
      <c r="A98" s="867"/>
      <c r="B98" s="869"/>
      <c r="C98" s="243" t="s">
        <v>598</v>
      </c>
      <c r="D98" s="242" t="s">
        <v>599</v>
      </c>
      <c r="E98" s="303" t="str">
        <f>CONCATENATE(E9)</f>
        <v>2019. XII. 31.
teljesítés</v>
      </c>
    </row>
    <row r="99" spans="1:5" s="175" customFormat="1" ht="12" customHeight="1" thickBot="1">
      <c r="A99" s="25" t="s">
        <v>565</v>
      </c>
      <c r="B99" s="26" t="s">
        <v>566</v>
      </c>
      <c r="C99" s="26" t="s">
        <v>567</v>
      </c>
      <c r="D99" s="26" t="s">
        <v>569</v>
      </c>
      <c r="E99" s="254" t="s">
        <v>568</v>
      </c>
    </row>
    <row r="100" spans="1:5" ht="12" customHeight="1" thickBot="1">
      <c r="A100" s="20" t="s">
        <v>186</v>
      </c>
      <c r="B100" s="24" t="s">
        <v>518</v>
      </c>
      <c r="C100" s="163">
        <f>C101+C102+C103+C104+C105+C118</f>
        <v>617619266</v>
      </c>
      <c r="D100" s="163">
        <f>D101+D102+D103+D104+D105+D118</f>
        <v>1056469606</v>
      </c>
      <c r="E100" s="229">
        <f>E101+E102+E103+E104+E105+E118</f>
        <v>825038711</v>
      </c>
    </row>
    <row r="101" spans="1:5" ht="12" customHeight="1">
      <c r="A101" s="15" t="s">
        <v>243</v>
      </c>
      <c r="B101" s="8" t="s">
        <v>215</v>
      </c>
      <c r="C101" s="236">
        <v>304353884</v>
      </c>
      <c r="D101" s="236">
        <v>469448911</v>
      </c>
      <c r="E101" s="230">
        <v>457522542</v>
      </c>
    </row>
    <row r="102" spans="1:5" ht="12" customHeight="1">
      <c r="A102" s="12" t="s">
        <v>244</v>
      </c>
      <c r="B102" s="6" t="s">
        <v>302</v>
      </c>
      <c r="C102" s="165">
        <v>55769637</v>
      </c>
      <c r="D102" s="165">
        <v>73805294</v>
      </c>
      <c r="E102" s="101">
        <v>73431931</v>
      </c>
    </row>
    <row r="103" spans="1:5" ht="12" customHeight="1">
      <c r="A103" s="12" t="s">
        <v>245</v>
      </c>
      <c r="B103" s="6" t="s">
        <v>270</v>
      </c>
      <c r="C103" s="167">
        <v>201699247</v>
      </c>
      <c r="D103" s="167">
        <v>246923751</v>
      </c>
      <c r="E103" s="103">
        <v>241368010</v>
      </c>
    </row>
    <row r="104" spans="1:5" ht="12" customHeight="1">
      <c r="A104" s="12" t="s">
        <v>246</v>
      </c>
      <c r="B104" s="9" t="s">
        <v>303</v>
      </c>
      <c r="C104" s="167">
        <v>26630000</v>
      </c>
      <c r="D104" s="167">
        <v>40134000</v>
      </c>
      <c r="E104" s="103">
        <v>39842942</v>
      </c>
    </row>
    <row r="105" spans="1:5" ht="12" customHeight="1">
      <c r="A105" s="12" t="s">
        <v>255</v>
      </c>
      <c r="B105" s="17" t="s">
        <v>304</v>
      </c>
      <c r="C105" s="167">
        <v>9166498</v>
      </c>
      <c r="D105" s="167">
        <v>17803826</v>
      </c>
      <c r="E105" s="103">
        <v>12873286</v>
      </c>
    </row>
    <row r="106" spans="1:5" ht="12" customHeight="1">
      <c r="A106" s="12" t="s">
        <v>247</v>
      </c>
      <c r="B106" s="6" t="s">
        <v>523</v>
      </c>
      <c r="C106" s="167">
        <v>5000000</v>
      </c>
      <c r="D106" s="167">
        <v>10252601</v>
      </c>
      <c r="E106" s="103">
        <v>9688721</v>
      </c>
    </row>
    <row r="107" spans="1:5" ht="12" customHeight="1">
      <c r="A107" s="12" t="s">
        <v>248</v>
      </c>
      <c r="B107" s="62" t="s">
        <v>522</v>
      </c>
      <c r="C107" s="167"/>
      <c r="D107" s="167"/>
      <c r="E107" s="103"/>
    </row>
    <row r="108" spans="1:5" ht="12" customHeight="1">
      <c r="A108" s="12" t="s">
        <v>256</v>
      </c>
      <c r="B108" s="62" t="s">
        <v>521</v>
      </c>
      <c r="C108" s="167"/>
      <c r="D108" s="167"/>
      <c r="E108" s="103"/>
    </row>
    <row r="109" spans="1:5" ht="12" customHeight="1">
      <c r="A109" s="12" t="s">
        <v>257</v>
      </c>
      <c r="B109" s="60" t="s">
        <v>438</v>
      </c>
      <c r="C109" s="167"/>
      <c r="D109" s="167"/>
      <c r="E109" s="103"/>
    </row>
    <row r="110" spans="1:5" ht="12" customHeight="1">
      <c r="A110" s="12" t="s">
        <v>258</v>
      </c>
      <c r="B110" s="61" t="s">
        <v>439</v>
      </c>
      <c r="C110" s="167"/>
      <c r="D110" s="167"/>
      <c r="E110" s="103"/>
    </row>
    <row r="111" spans="1:5" ht="12" customHeight="1">
      <c r="A111" s="12" t="s">
        <v>259</v>
      </c>
      <c r="B111" s="61" t="s">
        <v>440</v>
      </c>
      <c r="C111" s="167"/>
      <c r="D111" s="167"/>
      <c r="E111" s="103"/>
    </row>
    <row r="112" spans="1:5" ht="12" customHeight="1">
      <c r="A112" s="12" t="s">
        <v>261</v>
      </c>
      <c r="B112" s="60" t="s">
        <v>441</v>
      </c>
      <c r="C112" s="167">
        <v>3170838</v>
      </c>
      <c r="D112" s="167">
        <v>6077559</v>
      </c>
      <c r="E112" s="103">
        <v>3027559</v>
      </c>
    </row>
    <row r="113" spans="1:5" ht="12" customHeight="1">
      <c r="A113" s="12" t="s">
        <v>305</v>
      </c>
      <c r="B113" s="60" t="s">
        <v>442</v>
      </c>
      <c r="C113" s="167"/>
      <c r="D113" s="167"/>
      <c r="E113" s="103"/>
    </row>
    <row r="114" spans="1:5" ht="12" customHeight="1">
      <c r="A114" s="12" t="s">
        <v>436</v>
      </c>
      <c r="B114" s="61" t="s">
        <v>443</v>
      </c>
      <c r="C114" s="167"/>
      <c r="D114" s="167"/>
      <c r="E114" s="103"/>
    </row>
    <row r="115" spans="1:5" ht="12" customHeight="1">
      <c r="A115" s="11" t="s">
        <v>437</v>
      </c>
      <c r="B115" s="62" t="s">
        <v>444</v>
      </c>
      <c r="C115" s="167"/>
      <c r="D115" s="167"/>
      <c r="E115" s="103"/>
    </row>
    <row r="116" spans="1:5" ht="12" customHeight="1">
      <c r="A116" s="12" t="s">
        <v>519</v>
      </c>
      <c r="B116" s="62" t="s">
        <v>445</v>
      </c>
      <c r="C116" s="167"/>
      <c r="D116" s="167"/>
      <c r="E116" s="103"/>
    </row>
    <row r="117" spans="1:5" ht="12" customHeight="1">
      <c r="A117" s="14" t="s">
        <v>520</v>
      </c>
      <c r="B117" s="62" t="s">
        <v>446</v>
      </c>
      <c r="C117" s="167">
        <v>995660</v>
      </c>
      <c r="D117" s="167">
        <v>1473666</v>
      </c>
      <c r="E117" s="103">
        <v>157006</v>
      </c>
    </row>
    <row r="118" spans="1:5" ht="12" customHeight="1">
      <c r="A118" s="12" t="s">
        <v>524</v>
      </c>
      <c r="B118" s="9" t="s">
        <v>216</v>
      </c>
      <c r="C118" s="165">
        <f>SUM(C119:C120)</f>
        <v>20000000</v>
      </c>
      <c r="D118" s="165">
        <f>SUM(D119:D120)</f>
        <v>208353824</v>
      </c>
      <c r="E118" s="101"/>
    </row>
    <row r="119" spans="1:5" ht="12" customHeight="1">
      <c r="A119" s="12" t="s">
        <v>525</v>
      </c>
      <c r="B119" s="6" t="s">
        <v>527</v>
      </c>
      <c r="C119" s="165">
        <v>17647000</v>
      </c>
      <c r="D119" s="165">
        <v>190490983</v>
      </c>
      <c r="E119" s="101"/>
    </row>
    <row r="120" spans="1:5" ht="12" customHeight="1" thickBot="1">
      <c r="A120" s="16" t="s">
        <v>526</v>
      </c>
      <c r="B120" s="225" t="s">
        <v>528</v>
      </c>
      <c r="C120" s="237">
        <v>2353000</v>
      </c>
      <c r="D120" s="237">
        <v>17862841</v>
      </c>
      <c r="E120" s="231"/>
    </row>
    <row r="121" spans="1:5" ht="12" customHeight="1" thickBot="1">
      <c r="A121" s="223" t="s">
        <v>187</v>
      </c>
      <c r="B121" s="224" t="s">
        <v>447</v>
      </c>
      <c r="C121" s="238">
        <f>+C122+C124+C126</f>
        <v>187577694</v>
      </c>
      <c r="D121" s="164">
        <f>+D122+D124+D126</f>
        <v>231208116</v>
      </c>
      <c r="E121" s="232">
        <f>+E122+E124+E126</f>
        <v>212279053</v>
      </c>
    </row>
    <row r="122" spans="1:5" ht="12" customHeight="1">
      <c r="A122" s="13" t="s">
        <v>249</v>
      </c>
      <c r="B122" s="6" t="s">
        <v>323</v>
      </c>
      <c r="C122" s="166">
        <v>28013862</v>
      </c>
      <c r="D122" s="247">
        <v>33283203</v>
      </c>
      <c r="E122" s="102">
        <v>32044615</v>
      </c>
    </row>
    <row r="123" spans="1:5" ht="12" customHeight="1">
      <c r="A123" s="13" t="s">
        <v>250</v>
      </c>
      <c r="B123" s="10" t="s">
        <v>451</v>
      </c>
      <c r="C123" s="166"/>
      <c r="D123" s="247"/>
      <c r="E123" s="102"/>
    </row>
    <row r="124" spans="1:5" ht="12" customHeight="1">
      <c r="A124" s="13" t="s">
        <v>251</v>
      </c>
      <c r="B124" s="10" t="s">
        <v>306</v>
      </c>
      <c r="C124" s="165">
        <v>155763832</v>
      </c>
      <c r="D124" s="248">
        <v>193774913</v>
      </c>
      <c r="E124" s="101">
        <v>179636348</v>
      </c>
    </row>
    <row r="125" spans="1:5" ht="12" customHeight="1">
      <c r="A125" s="13" t="s">
        <v>252</v>
      </c>
      <c r="B125" s="10" t="s">
        <v>452</v>
      </c>
      <c r="C125" s="165">
        <v>120091212</v>
      </c>
      <c r="D125" s="248">
        <v>120091212</v>
      </c>
      <c r="E125" s="101">
        <v>112293643</v>
      </c>
    </row>
    <row r="126" spans="1:5" ht="12" customHeight="1">
      <c r="A126" s="13" t="s">
        <v>253</v>
      </c>
      <c r="B126" s="109" t="s">
        <v>325</v>
      </c>
      <c r="C126" s="165">
        <v>3800000</v>
      </c>
      <c r="D126" s="248">
        <v>4150000</v>
      </c>
      <c r="E126" s="101">
        <v>598090</v>
      </c>
    </row>
    <row r="127" spans="1:5" ht="12" customHeight="1">
      <c r="A127" s="13" t="s">
        <v>260</v>
      </c>
      <c r="B127" s="108" t="s">
        <v>511</v>
      </c>
      <c r="C127" s="165"/>
      <c r="D127" s="248"/>
      <c r="E127" s="101"/>
    </row>
    <row r="128" spans="1:5" ht="12" customHeight="1">
      <c r="A128" s="13" t="s">
        <v>262</v>
      </c>
      <c r="B128" s="173" t="s">
        <v>457</v>
      </c>
      <c r="C128" s="165"/>
      <c r="D128" s="248"/>
      <c r="E128" s="101"/>
    </row>
    <row r="129" spans="1:5" ht="15.75">
      <c r="A129" s="13" t="s">
        <v>307</v>
      </c>
      <c r="B129" s="61" t="s">
        <v>440</v>
      </c>
      <c r="C129" s="165"/>
      <c r="D129" s="248"/>
      <c r="E129" s="101"/>
    </row>
    <row r="130" spans="1:5" ht="12" customHeight="1">
      <c r="A130" s="13" t="s">
        <v>308</v>
      </c>
      <c r="B130" s="61" t="s">
        <v>456</v>
      </c>
      <c r="C130" s="165"/>
      <c r="D130" s="248">
        <v>250000</v>
      </c>
      <c r="E130" s="101">
        <v>250000</v>
      </c>
    </row>
    <row r="131" spans="1:5" ht="12" customHeight="1">
      <c r="A131" s="13" t="s">
        <v>309</v>
      </c>
      <c r="B131" s="61" t="s">
        <v>455</v>
      </c>
      <c r="C131" s="165"/>
      <c r="D131" s="248"/>
      <c r="E131" s="101"/>
    </row>
    <row r="132" spans="1:5" ht="12" customHeight="1">
      <c r="A132" s="13" t="s">
        <v>448</v>
      </c>
      <c r="B132" s="61" t="s">
        <v>443</v>
      </c>
      <c r="C132" s="165"/>
      <c r="D132" s="248">
        <v>350000</v>
      </c>
      <c r="E132" s="101">
        <v>348090</v>
      </c>
    </row>
    <row r="133" spans="1:5" ht="12" customHeight="1">
      <c r="A133" s="13" t="s">
        <v>449</v>
      </c>
      <c r="B133" s="61" t="s">
        <v>454</v>
      </c>
      <c r="C133" s="165"/>
      <c r="D133" s="248"/>
      <c r="E133" s="101"/>
    </row>
    <row r="134" spans="1:5" ht="16.5" thickBot="1">
      <c r="A134" s="11" t="s">
        <v>450</v>
      </c>
      <c r="B134" s="61" t="s">
        <v>453</v>
      </c>
      <c r="C134" s="167">
        <v>3800000</v>
      </c>
      <c r="D134" s="249">
        <v>3550000</v>
      </c>
      <c r="E134" s="103"/>
    </row>
    <row r="135" spans="1:5" ht="12" customHeight="1" thickBot="1">
      <c r="A135" s="18" t="s">
        <v>188</v>
      </c>
      <c r="B135" s="54" t="s">
        <v>529</v>
      </c>
      <c r="C135" s="164">
        <f>+C100+C121</f>
        <v>805196960</v>
      </c>
      <c r="D135" s="246">
        <f>+D100+D121</f>
        <v>1287677722</v>
      </c>
      <c r="E135" s="100">
        <f>+E100+E121</f>
        <v>1037317764</v>
      </c>
    </row>
    <row r="136" spans="1:5" ht="12" customHeight="1" thickBot="1">
      <c r="A136" s="18" t="s">
        <v>189</v>
      </c>
      <c r="B136" s="54" t="s">
        <v>601</v>
      </c>
      <c r="C136" s="164">
        <f>+C137+C138+C139</f>
        <v>0</v>
      </c>
      <c r="D136" s="246">
        <f>+D137+D138+D139</f>
        <v>0</v>
      </c>
      <c r="E136" s="100">
        <f>+E137+E138+E139</f>
        <v>0</v>
      </c>
    </row>
    <row r="137" spans="1:5" ht="12" customHeight="1">
      <c r="A137" s="13" t="s">
        <v>357</v>
      </c>
      <c r="B137" s="10" t="s">
        <v>537</v>
      </c>
      <c r="C137" s="165"/>
      <c r="D137" s="248"/>
      <c r="E137" s="101"/>
    </row>
    <row r="138" spans="1:5" ht="12" customHeight="1">
      <c r="A138" s="13" t="s">
        <v>358</v>
      </c>
      <c r="B138" s="10" t="s">
        <v>538</v>
      </c>
      <c r="C138" s="165"/>
      <c r="D138" s="248"/>
      <c r="E138" s="101"/>
    </row>
    <row r="139" spans="1:5" ht="12" customHeight="1" thickBot="1">
      <c r="A139" s="11" t="s">
        <v>359</v>
      </c>
      <c r="B139" s="10" t="s">
        <v>539</v>
      </c>
      <c r="C139" s="165"/>
      <c r="D139" s="248"/>
      <c r="E139" s="101"/>
    </row>
    <row r="140" spans="1:5" ht="12" customHeight="1" thickBot="1">
      <c r="A140" s="18" t="s">
        <v>190</v>
      </c>
      <c r="B140" s="54" t="s">
        <v>531</v>
      </c>
      <c r="C140" s="164">
        <f>SUM(C141:C146)</f>
        <v>0</v>
      </c>
      <c r="D140" s="246">
        <f>SUM(D141:D146)</f>
        <v>0</v>
      </c>
      <c r="E140" s="100">
        <f>SUM(E141:E146)</f>
        <v>0</v>
      </c>
    </row>
    <row r="141" spans="1:5" ht="12" customHeight="1">
      <c r="A141" s="13" t="s">
        <v>236</v>
      </c>
      <c r="B141" s="7" t="s">
        <v>540</v>
      </c>
      <c r="C141" s="165"/>
      <c r="D141" s="248"/>
      <c r="E141" s="101"/>
    </row>
    <row r="142" spans="1:5" ht="12" customHeight="1">
      <c r="A142" s="13" t="s">
        <v>237</v>
      </c>
      <c r="B142" s="7" t="s">
        <v>532</v>
      </c>
      <c r="C142" s="165"/>
      <c r="D142" s="248"/>
      <c r="E142" s="101"/>
    </row>
    <row r="143" spans="1:5" ht="12" customHeight="1">
      <c r="A143" s="13" t="s">
        <v>238</v>
      </c>
      <c r="B143" s="7" t="s">
        <v>533</v>
      </c>
      <c r="C143" s="165"/>
      <c r="D143" s="248"/>
      <c r="E143" s="101"/>
    </row>
    <row r="144" spans="1:5" ht="12" customHeight="1">
      <c r="A144" s="13" t="s">
        <v>294</v>
      </c>
      <c r="B144" s="7" t="s">
        <v>534</v>
      </c>
      <c r="C144" s="165"/>
      <c r="D144" s="248"/>
      <c r="E144" s="101"/>
    </row>
    <row r="145" spans="1:5" ht="12" customHeight="1">
      <c r="A145" s="13" t="s">
        <v>295</v>
      </c>
      <c r="B145" s="7" t="s">
        <v>535</v>
      </c>
      <c r="C145" s="165"/>
      <c r="D145" s="248"/>
      <c r="E145" s="101"/>
    </row>
    <row r="146" spans="1:5" ht="12" customHeight="1" thickBot="1">
      <c r="A146" s="16" t="s">
        <v>296</v>
      </c>
      <c r="B146" s="309" t="s">
        <v>536</v>
      </c>
      <c r="C146" s="237"/>
      <c r="D146" s="286"/>
      <c r="E146" s="231"/>
    </row>
    <row r="147" spans="1:5" ht="12" customHeight="1" thickBot="1">
      <c r="A147" s="18" t="s">
        <v>191</v>
      </c>
      <c r="B147" s="54" t="s">
        <v>544</v>
      </c>
      <c r="C147" s="170">
        <f>+C148+C149+C150+C151</f>
        <v>15390031</v>
      </c>
      <c r="D147" s="250">
        <f>+D148+D149+D150+D151</f>
        <v>15390031</v>
      </c>
      <c r="E147" s="206">
        <f>+E148+E149+E150+E151</f>
        <v>15390031</v>
      </c>
    </row>
    <row r="148" spans="1:5" ht="12" customHeight="1">
      <c r="A148" s="13" t="s">
        <v>239</v>
      </c>
      <c r="B148" s="7" t="s">
        <v>458</v>
      </c>
      <c r="C148" s="165"/>
      <c r="D148" s="248"/>
      <c r="E148" s="101"/>
    </row>
    <row r="149" spans="1:5" ht="12" customHeight="1">
      <c r="A149" s="13" t="s">
        <v>240</v>
      </c>
      <c r="B149" s="7" t="s">
        <v>459</v>
      </c>
      <c r="C149" s="165">
        <v>15390031</v>
      </c>
      <c r="D149" s="248">
        <v>15390031</v>
      </c>
      <c r="E149" s="101">
        <v>15390031</v>
      </c>
    </row>
    <row r="150" spans="1:5" ht="12" customHeight="1">
      <c r="A150" s="13" t="s">
        <v>375</v>
      </c>
      <c r="B150" s="7" t="s">
        <v>545</v>
      </c>
      <c r="C150" s="165"/>
      <c r="D150" s="248"/>
      <c r="E150" s="101"/>
    </row>
    <row r="151" spans="1:5" ht="12" customHeight="1" thickBot="1">
      <c r="A151" s="11" t="s">
        <v>376</v>
      </c>
      <c r="B151" s="5" t="s">
        <v>475</v>
      </c>
      <c r="C151" s="165"/>
      <c r="D151" s="248"/>
      <c r="E151" s="101"/>
    </row>
    <row r="152" spans="1:5" ht="12" customHeight="1" thickBot="1">
      <c r="A152" s="18" t="s">
        <v>192</v>
      </c>
      <c r="B152" s="54" t="s">
        <v>546</v>
      </c>
      <c r="C152" s="239">
        <f>SUM(C153:C157)</f>
        <v>0</v>
      </c>
      <c r="D152" s="251">
        <f>SUM(D153:D157)</f>
        <v>0</v>
      </c>
      <c r="E152" s="233">
        <f>SUM(E153:E157)</f>
        <v>0</v>
      </c>
    </row>
    <row r="153" spans="1:5" ht="12" customHeight="1">
      <c r="A153" s="13" t="s">
        <v>241</v>
      </c>
      <c r="B153" s="7" t="s">
        <v>541</v>
      </c>
      <c r="C153" s="165"/>
      <c r="D153" s="248"/>
      <c r="E153" s="101"/>
    </row>
    <row r="154" spans="1:5" ht="12" customHeight="1">
      <c r="A154" s="13" t="s">
        <v>242</v>
      </c>
      <c r="B154" s="7" t="s">
        <v>548</v>
      </c>
      <c r="C154" s="165"/>
      <c r="D154" s="248"/>
      <c r="E154" s="101"/>
    </row>
    <row r="155" spans="1:5" ht="12" customHeight="1">
      <c r="A155" s="13" t="s">
        <v>387</v>
      </c>
      <c r="B155" s="7" t="s">
        <v>543</v>
      </c>
      <c r="C155" s="165"/>
      <c r="D155" s="248"/>
      <c r="E155" s="101"/>
    </row>
    <row r="156" spans="1:5" ht="12" customHeight="1">
      <c r="A156" s="13" t="s">
        <v>388</v>
      </c>
      <c r="B156" s="7" t="s">
        <v>549</v>
      </c>
      <c r="C156" s="165"/>
      <c r="D156" s="248"/>
      <c r="E156" s="101"/>
    </row>
    <row r="157" spans="1:5" ht="12" customHeight="1" thickBot="1">
      <c r="A157" s="13" t="s">
        <v>547</v>
      </c>
      <c r="B157" s="7" t="s">
        <v>550</v>
      </c>
      <c r="C157" s="165"/>
      <c r="D157" s="248"/>
      <c r="E157" s="101"/>
    </row>
    <row r="158" spans="1:5" ht="12" customHeight="1" thickBot="1">
      <c r="A158" s="18" t="s">
        <v>193</v>
      </c>
      <c r="B158" s="54" t="s">
        <v>551</v>
      </c>
      <c r="C158" s="240"/>
      <c r="D158" s="252"/>
      <c r="E158" s="234"/>
    </row>
    <row r="159" spans="1:5" ht="12" customHeight="1" thickBot="1">
      <c r="A159" s="18" t="s">
        <v>194</v>
      </c>
      <c r="B159" s="54" t="s">
        <v>552</v>
      </c>
      <c r="C159" s="240"/>
      <c r="D159" s="252"/>
      <c r="E159" s="234"/>
    </row>
    <row r="160" spans="1:9" ht="15" customHeight="1" thickBot="1">
      <c r="A160" s="18" t="s">
        <v>195</v>
      </c>
      <c r="B160" s="54" t="s">
        <v>554</v>
      </c>
      <c r="C160" s="241">
        <f>+C136+C140+C147+C152+C158+C159</f>
        <v>15390031</v>
      </c>
      <c r="D160" s="253">
        <f>+D136+D140+D147+D152+D158+D159</f>
        <v>15390031</v>
      </c>
      <c r="E160" s="235">
        <f>+E136+E140+E147+E152+E158+E159</f>
        <v>15390031</v>
      </c>
      <c r="F160" s="187"/>
      <c r="G160" s="188"/>
      <c r="H160" s="188"/>
      <c r="I160" s="188"/>
    </row>
    <row r="161" spans="1:5" s="176" customFormat="1" ht="12.75" customHeight="1" thickBot="1">
      <c r="A161" s="110" t="s">
        <v>196</v>
      </c>
      <c r="B161" s="151" t="s">
        <v>553</v>
      </c>
      <c r="C161" s="241">
        <f>+C135+C160</f>
        <v>820586991</v>
      </c>
      <c r="D161" s="253">
        <f>+D135+D160</f>
        <v>1303067753</v>
      </c>
      <c r="E161" s="235">
        <f>+E135+E160</f>
        <v>1052707795</v>
      </c>
    </row>
    <row r="162" spans="3:4" ht="15.75">
      <c r="C162" s="629">
        <f>C93-C161</f>
        <v>0</v>
      </c>
      <c r="D162" s="629"/>
    </row>
    <row r="163" spans="1:5" ht="15.75">
      <c r="A163" s="873" t="s">
        <v>460</v>
      </c>
      <c r="B163" s="873"/>
      <c r="C163" s="873"/>
      <c r="D163" s="873"/>
      <c r="E163" s="873"/>
    </row>
    <row r="164" spans="1:5" ht="15" customHeight="1" thickBot="1">
      <c r="A164" s="865" t="s">
        <v>282</v>
      </c>
      <c r="B164" s="865"/>
      <c r="C164" s="112"/>
      <c r="E164" s="112" t="str">
        <f>E96</f>
        <v> Forintban!</v>
      </c>
    </row>
    <row r="165" spans="1:5" ht="25.5" customHeight="1" thickBot="1">
      <c r="A165" s="18">
        <v>1</v>
      </c>
      <c r="B165" s="23" t="s">
        <v>555</v>
      </c>
      <c r="C165" s="245">
        <f>+C68-C135</f>
        <v>-207487337</v>
      </c>
      <c r="D165" s="164">
        <f>+D68-D135</f>
        <v>-419696615</v>
      </c>
      <c r="E165" s="100">
        <f>+E68-E135</f>
        <v>-169336662</v>
      </c>
    </row>
    <row r="166" spans="1:5" ht="32.25" customHeight="1" thickBot="1">
      <c r="A166" s="18" t="s">
        <v>187</v>
      </c>
      <c r="B166" s="23" t="s">
        <v>561</v>
      </c>
      <c r="C166" s="164">
        <f>+C92-C160</f>
        <v>207487337</v>
      </c>
      <c r="D166" s="164">
        <f>+D92-D160</f>
        <v>400503455</v>
      </c>
      <c r="E166" s="100">
        <f>+E92-E160</f>
        <v>408082395</v>
      </c>
    </row>
  </sheetData>
  <sheetProtection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41">
      <selection activeCell="E134" sqref="E134"/>
    </sheetView>
  </sheetViews>
  <sheetFormatPr defaultColWidth="9.00390625" defaultRowHeight="12.75"/>
  <cols>
    <col min="1" max="1" width="9.50390625" style="152" customWidth="1"/>
    <col min="2" max="2" width="65.875" style="152" customWidth="1"/>
    <col min="3" max="3" width="17.875" style="153" customWidth="1"/>
    <col min="4" max="5" width="17.875" style="174" customWidth="1"/>
    <col min="6" max="16384" width="9.375" style="174" customWidth="1"/>
  </cols>
  <sheetData>
    <row r="1" spans="1:5" ht="15.75">
      <c r="A1" s="310"/>
      <c r="B1" s="860" t="str">
        <f>CONCATENATE("1.3. melléklet ",Z_ALAPADATOK!A7," ",Z_ALAPADATOK!B7," ",Z_ALAPADATOK!C7," ",Z_ALAPADATOK!D7," ",Z_ALAPADATOK!E7," ",Z_ALAPADATOK!F7," ",Z_ALAPADATOK!G7," ",Z_ALAPADATOK!H7)</f>
        <v>1.3. melléklet a … / 2020. ( … ) önkormányzati rendelethez</v>
      </c>
      <c r="C1" s="861"/>
      <c r="D1" s="861"/>
      <c r="E1" s="861"/>
    </row>
    <row r="2" spans="1:5" ht="15.75">
      <c r="A2" s="862" t="str">
        <f>CONCATENATE(Z_ALAPADATOK!A3)</f>
        <v>Elek Város Önkormányzata</v>
      </c>
      <c r="B2" s="863"/>
      <c r="C2" s="863"/>
      <c r="D2" s="863"/>
      <c r="E2" s="863"/>
    </row>
    <row r="3" spans="1:5" ht="15.75">
      <c r="A3" s="862" t="str">
        <f>CONCATENATE(Z_ALAPADATOK!B1,". ÉVI ZÁRSZÁMADÁS")</f>
        <v>2019. ÉVI ZÁRSZÁMADÁS</v>
      </c>
      <c r="B3" s="862"/>
      <c r="C3" s="864"/>
      <c r="D3" s="862"/>
      <c r="E3" s="862"/>
    </row>
    <row r="4" spans="1:5" ht="19.5" customHeight="1">
      <c r="A4" s="862" t="s">
        <v>9</v>
      </c>
      <c r="B4" s="862"/>
      <c r="C4" s="864"/>
      <c r="D4" s="862"/>
      <c r="E4" s="862"/>
    </row>
    <row r="5" spans="1:5" ht="15.75">
      <c r="A5" s="310"/>
      <c r="B5" s="310"/>
      <c r="C5" s="311"/>
      <c r="D5" s="312"/>
      <c r="E5" s="312"/>
    </row>
    <row r="6" spans="1:5" ht="15.75" customHeight="1">
      <c r="A6" s="874" t="s">
        <v>183</v>
      </c>
      <c r="B6" s="874"/>
      <c r="C6" s="874"/>
      <c r="D6" s="874"/>
      <c r="E6" s="874"/>
    </row>
    <row r="7" spans="1:5" ht="15.75" customHeight="1" thickBot="1">
      <c r="A7" s="876" t="s">
        <v>280</v>
      </c>
      <c r="B7" s="876"/>
      <c r="C7" s="313"/>
      <c r="D7" s="312"/>
      <c r="E7" s="313" t="str">
        <f>CONCATENATE('Z_1.2.sz.mell.'!E7)</f>
        <v> Forintban!</v>
      </c>
    </row>
    <row r="8" spans="1:5" ht="15.75">
      <c r="A8" s="866" t="s">
        <v>231</v>
      </c>
      <c r="B8" s="868" t="s">
        <v>185</v>
      </c>
      <c r="C8" s="870" t="str">
        <f>+CONCATENATE(LEFT(Z_ÖSSZEFÜGGÉSEK!A6,4),". évi")</f>
        <v>2019. évi</v>
      </c>
      <c r="D8" s="871"/>
      <c r="E8" s="872"/>
    </row>
    <row r="9" spans="1:5" ht="24.75" thickBot="1">
      <c r="A9" s="867"/>
      <c r="B9" s="869"/>
      <c r="C9" s="243" t="s">
        <v>598</v>
      </c>
      <c r="D9" s="242" t="s">
        <v>599</v>
      </c>
      <c r="E9" s="303" t="str">
        <f>CONCATENATE('Z_1.2.sz.mell.'!E9)</f>
        <v>2019. XII. 31.
teljesítés</v>
      </c>
    </row>
    <row r="10" spans="1:5" s="175" customFormat="1" ht="12" customHeight="1" thickBot="1">
      <c r="A10" s="171" t="s">
        <v>565</v>
      </c>
      <c r="B10" s="172" t="s">
        <v>566</v>
      </c>
      <c r="C10" s="172" t="s">
        <v>567</v>
      </c>
      <c r="D10" s="172" t="s">
        <v>569</v>
      </c>
      <c r="E10" s="244" t="s">
        <v>568</v>
      </c>
    </row>
    <row r="11" spans="1:5" s="176" customFormat="1" ht="12" customHeight="1" thickBot="1">
      <c r="A11" s="18" t="s">
        <v>186</v>
      </c>
      <c r="B11" s="19" t="s">
        <v>342</v>
      </c>
      <c r="C11" s="164">
        <f>+C12+C13+C14+C15+C16+C17</f>
        <v>0</v>
      </c>
      <c r="D11" s="164">
        <f>+D12+D13+D14+D15+D16+D17</f>
        <v>0</v>
      </c>
      <c r="E11" s="100">
        <f>+E12+E13+E14+E15+E16+E17</f>
        <v>0</v>
      </c>
    </row>
    <row r="12" spans="1:5" s="176" customFormat="1" ht="12" customHeight="1">
      <c r="A12" s="13" t="s">
        <v>243</v>
      </c>
      <c r="B12" s="177" t="s">
        <v>343</v>
      </c>
      <c r="C12" s="166"/>
      <c r="D12" s="166"/>
      <c r="E12" s="102"/>
    </row>
    <row r="13" spans="1:5" s="176" customFormat="1" ht="12" customHeight="1">
      <c r="A13" s="12" t="s">
        <v>244</v>
      </c>
      <c r="B13" s="178" t="s">
        <v>344</v>
      </c>
      <c r="C13" s="165"/>
      <c r="D13" s="165"/>
      <c r="E13" s="101"/>
    </row>
    <row r="14" spans="1:5" s="176" customFormat="1" ht="12" customHeight="1">
      <c r="A14" s="12" t="s">
        <v>245</v>
      </c>
      <c r="B14" s="178" t="s">
        <v>345</v>
      </c>
      <c r="C14" s="165"/>
      <c r="D14" s="165"/>
      <c r="E14" s="101"/>
    </row>
    <row r="15" spans="1:5" s="176" customFormat="1" ht="12" customHeight="1">
      <c r="A15" s="12" t="s">
        <v>246</v>
      </c>
      <c r="B15" s="178" t="s">
        <v>346</v>
      </c>
      <c r="C15" s="165"/>
      <c r="D15" s="165"/>
      <c r="E15" s="101"/>
    </row>
    <row r="16" spans="1:5" s="176" customFormat="1" ht="12" customHeight="1">
      <c r="A16" s="12" t="s">
        <v>277</v>
      </c>
      <c r="B16" s="108" t="s">
        <v>513</v>
      </c>
      <c r="C16" s="165"/>
      <c r="D16" s="165"/>
      <c r="E16" s="101"/>
    </row>
    <row r="17" spans="1:5" s="176" customFormat="1" ht="12" customHeight="1" thickBot="1">
      <c r="A17" s="14" t="s">
        <v>247</v>
      </c>
      <c r="B17" s="109" t="s">
        <v>514</v>
      </c>
      <c r="C17" s="165"/>
      <c r="D17" s="165"/>
      <c r="E17" s="101"/>
    </row>
    <row r="18" spans="1:5" s="176" customFormat="1" ht="12" customHeight="1" thickBot="1">
      <c r="A18" s="18" t="s">
        <v>187</v>
      </c>
      <c r="B18" s="107" t="s">
        <v>347</v>
      </c>
      <c r="C18" s="164">
        <f>+C19+C20+C21+C22+C23</f>
        <v>3739296</v>
      </c>
      <c r="D18" s="164">
        <f>+D19+D20+D21+D22+D23</f>
        <v>14649190</v>
      </c>
      <c r="E18" s="100">
        <f>+E19+E20+E21+E22+E23</f>
        <v>14649190</v>
      </c>
    </row>
    <row r="19" spans="1:5" s="176" customFormat="1" ht="12" customHeight="1">
      <c r="A19" s="13" t="s">
        <v>249</v>
      </c>
      <c r="B19" s="177" t="s">
        <v>348</v>
      </c>
      <c r="C19" s="166"/>
      <c r="D19" s="166"/>
      <c r="E19" s="102"/>
    </row>
    <row r="20" spans="1:5" s="176" customFormat="1" ht="12" customHeight="1">
      <c r="A20" s="12" t="s">
        <v>250</v>
      </c>
      <c r="B20" s="178" t="s">
        <v>349</v>
      </c>
      <c r="C20" s="165"/>
      <c r="D20" s="165"/>
      <c r="E20" s="101"/>
    </row>
    <row r="21" spans="1:5" s="176" customFormat="1" ht="12" customHeight="1">
      <c r="A21" s="12" t="s">
        <v>251</v>
      </c>
      <c r="B21" s="178" t="s">
        <v>505</v>
      </c>
      <c r="C21" s="165"/>
      <c r="D21" s="165"/>
      <c r="E21" s="101"/>
    </row>
    <row r="22" spans="1:5" s="176" customFormat="1" ht="12" customHeight="1">
      <c r="A22" s="12" t="s">
        <v>252</v>
      </c>
      <c r="B22" s="178" t="s">
        <v>506</v>
      </c>
      <c r="C22" s="165"/>
      <c r="D22" s="165"/>
      <c r="E22" s="101"/>
    </row>
    <row r="23" spans="1:5" s="176" customFormat="1" ht="12" customHeight="1">
      <c r="A23" s="12" t="s">
        <v>253</v>
      </c>
      <c r="B23" s="178" t="s">
        <v>350</v>
      </c>
      <c r="C23" s="165">
        <v>3739296</v>
      </c>
      <c r="D23" s="165">
        <v>14649190</v>
      </c>
      <c r="E23" s="101">
        <v>14649190</v>
      </c>
    </row>
    <row r="24" spans="1:5" s="176" customFormat="1" ht="12" customHeight="1" thickBot="1">
      <c r="A24" s="14" t="s">
        <v>260</v>
      </c>
      <c r="B24" s="109" t="s">
        <v>351</v>
      </c>
      <c r="C24" s="167">
        <v>3139296</v>
      </c>
      <c r="D24" s="167">
        <v>7910590</v>
      </c>
      <c r="E24" s="103">
        <v>10211730</v>
      </c>
    </row>
    <row r="25" spans="1:5" s="176" customFormat="1" ht="12" customHeight="1" thickBot="1">
      <c r="A25" s="18" t="s">
        <v>188</v>
      </c>
      <c r="B25" s="19" t="s">
        <v>352</v>
      </c>
      <c r="C25" s="164">
        <f>+C26+C27+C28+C29+C30</f>
        <v>0</v>
      </c>
      <c r="D25" s="164">
        <f>+D26+D27+D28+D29+D30</f>
        <v>18940425</v>
      </c>
      <c r="E25" s="100">
        <f>+E26+E27+E28+E29+E30</f>
        <v>18940425</v>
      </c>
    </row>
    <row r="26" spans="1:5" s="176" customFormat="1" ht="12" customHeight="1">
      <c r="A26" s="13" t="s">
        <v>232</v>
      </c>
      <c r="B26" s="177" t="s">
        <v>353</v>
      </c>
      <c r="C26" s="166"/>
      <c r="D26" s="166"/>
      <c r="E26" s="102"/>
    </row>
    <row r="27" spans="1:5" s="176" customFormat="1" ht="12" customHeight="1">
      <c r="A27" s="12" t="s">
        <v>233</v>
      </c>
      <c r="B27" s="178" t="s">
        <v>354</v>
      </c>
      <c r="C27" s="165"/>
      <c r="D27" s="165"/>
      <c r="E27" s="101"/>
    </row>
    <row r="28" spans="1:5" s="176" customFormat="1" ht="12" customHeight="1">
      <c r="A28" s="12" t="s">
        <v>234</v>
      </c>
      <c r="B28" s="178" t="s">
        <v>507</v>
      </c>
      <c r="C28" s="165"/>
      <c r="D28" s="165"/>
      <c r="E28" s="101"/>
    </row>
    <row r="29" spans="1:5" s="176" customFormat="1" ht="12" customHeight="1">
      <c r="A29" s="12" t="s">
        <v>235</v>
      </c>
      <c r="B29" s="178" t="s">
        <v>508</v>
      </c>
      <c r="C29" s="165"/>
      <c r="D29" s="165"/>
      <c r="E29" s="101"/>
    </row>
    <row r="30" spans="1:5" s="176" customFormat="1" ht="12" customHeight="1">
      <c r="A30" s="12" t="s">
        <v>290</v>
      </c>
      <c r="B30" s="178" t="s">
        <v>355</v>
      </c>
      <c r="C30" s="165"/>
      <c r="D30" s="165">
        <v>18940425</v>
      </c>
      <c r="E30" s="101">
        <v>18940425</v>
      </c>
    </row>
    <row r="31" spans="1:5" s="176" customFormat="1" ht="12" customHeight="1" thickBot="1">
      <c r="A31" s="14" t="s">
        <v>291</v>
      </c>
      <c r="B31" s="179" t="s">
        <v>356</v>
      </c>
      <c r="C31" s="167"/>
      <c r="D31" s="167"/>
      <c r="E31" s="103"/>
    </row>
    <row r="32" spans="1:5" s="176" customFormat="1" ht="12" customHeight="1" thickBot="1">
      <c r="A32" s="18" t="s">
        <v>292</v>
      </c>
      <c r="B32" s="19" t="s">
        <v>656</v>
      </c>
      <c r="C32" s="170">
        <f>SUM(C33:C39)</f>
        <v>0</v>
      </c>
      <c r="D32" s="170">
        <f>SUM(D33:D39)</f>
        <v>0</v>
      </c>
      <c r="E32" s="206">
        <f>SUM(E33:E39)</f>
        <v>0</v>
      </c>
    </row>
    <row r="33" spans="1:5" s="176" customFormat="1" ht="12" customHeight="1">
      <c r="A33" s="13" t="s">
        <v>357</v>
      </c>
      <c r="B33" s="177" t="str">
        <f>'Z_1.1.sz.mell.'!B33</f>
        <v>Magánszemélyek kommunális adója</v>
      </c>
      <c r="C33" s="166"/>
      <c r="D33" s="166"/>
      <c r="E33" s="102"/>
    </row>
    <row r="34" spans="1:5" s="176" customFormat="1" ht="12" customHeight="1">
      <c r="A34" s="12" t="s">
        <v>358</v>
      </c>
      <c r="B34" s="177" t="str">
        <f>'Z_1.1.sz.mell.'!B34</f>
        <v>Idegenforgalmi adó </v>
      </c>
      <c r="C34" s="165"/>
      <c r="D34" s="165"/>
      <c r="E34" s="101"/>
    </row>
    <row r="35" spans="1:5" s="176" customFormat="1" ht="12" customHeight="1">
      <c r="A35" s="12" t="s">
        <v>359</v>
      </c>
      <c r="B35" s="177" t="str">
        <f>'Z_1.1.sz.mell.'!B35</f>
        <v>Iparűzési adó</v>
      </c>
      <c r="C35" s="165"/>
      <c r="D35" s="165"/>
      <c r="E35" s="101"/>
    </row>
    <row r="36" spans="1:5" s="176" customFormat="1" ht="12" customHeight="1">
      <c r="A36" s="12" t="s">
        <v>360</v>
      </c>
      <c r="B36" s="177" t="str">
        <f>'Z_1.1.sz.mell.'!B36</f>
        <v>Talajterhelési díj</v>
      </c>
      <c r="C36" s="165"/>
      <c r="D36" s="165"/>
      <c r="E36" s="101"/>
    </row>
    <row r="37" spans="1:5" s="176" customFormat="1" ht="12" customHeight="1">
      <c r="A37" s="12" t="s">
        <v>660</v>
      </c>
      <c r="B37" s="177" t="str">
        <f>'Z_1.1.sz.mell.'!B37</f>
        <v>Gépjárműadó</v>
      </c>
      <c r="C37" s="165"/>
      <c r="D37" s="165"/>
      <c r="E37" s="101"/>
    </row>
    <row r="38" spans="1:5" s="176" customFormat="1" ht="12" customHeight="1">
      <c r="A38" s="12" t="s">
        <v>661</v>
      </c>
      <c r="B38" s="177" t="str">
        <f>'Z_1.1.sz.mell.'!B38</f>
        <v>Telekadó</v>
      </c>
      <c r="C38" s="165"/>
      <c r="D38" s="165"/>
      <c r="E38" s="101"/>
    </row>
    <row r="39" spans="1:5" s="176" customFormat="1" ht="12" customHeight="1" thickBot="1">
      <c r="A39" s="14" t="s">
        <v>662</v>
      </c>
      <c r="B39" s="177" t="str">
        <f>'Z_1.1.sz.mell.'!B39</f>
        <v>Egyéb közhatalmi bevételek</v>
      </c>
      <c r="C39" s="167"/>
      <c r="D39" s="167"/>
      <c r="E39" s="103"/>
    </row>
    <row r="40" spans="1:5" s="176" customFormat="1" ht="12" customHeight="1" thickBot="1">
      <c r="A40" s="18" t="s">
        <v>190</v>
      </c>
      <c r="B40" s="19" t="s">
        <v>515</v>
      </c>
      <c r="C40" s="164">
        <f>SUM(C41:C51)</f>
        <v>17612862</v>
      </c>
      <c r="D40" s="164">
        <f>SUM(D41:D51)</f>
        <v>38519164</v>
      </c>
      <c r="E40" s="100">
        <f>SUM(E41:E51)</f>
        <v>38519171</v>
      </c>
    </row>
    <row r="41" spans="1:5" s="176" customFormat="1" ht="12" customHeight="1">
      <c r="A41" s="13" t="s">
        <v>236</v>
      </c>
      <c r="B41" s="177" t="s">
        <v>364</v>
      </c>
      <c r="C41" s="166">
        <v>13812490</v>
      </c>
      <c r="D41" s="166">
        <v>29468479</v>
      </c>
      <c r="E41" s="102">
        <v>29468479</v>
      </c>
    </row>
    <row r="42" spans="1:5" s="176" customFormat="1" ht="12" customHeight="1">
      <c r="A42" s="12" t="s">
        <v>237</v>
      </c>
      <c r="B42" s="178" t="s">
        <v>365</v>
      </c>
      <c r="C42" s="165"/>
      <c r="D42" s="165">
        <v>957821</v>
      </c>
      <c r="E42" s="101">
        <v>957821</v>
      </c>
    </row>
    <row r="43" spans="1:5" s="176" customFormat="1" ht="12" customHeight="1">
      <c r="A43" s="12" t="s">
        <v>238</v>
      </c>
      <c r="B43" s="178" t="s">
        <v>366</v>
      </c>
      <c r="C43" s="165"/>
      <c r="D43" s="165"/>
      <c r="E43" s="101"/>
    </row>
    <row r="44" spans="1:5" s="176" customFormat="1" ht="12" customHeight="1">
      <c r="A44" s="12" t="s">
        <v>294</v>
      </c>
      <c r="B44" s="178" t="s">
        <v>367</v>
      </c>
      <c r="C44" s="165">
        <v>800000</v>
      </c>
      <c r="D44" s="165">
        <v>651180</v>
      </c>
      <c r="E44" s="101">
        <v>651180</v>
      </c>
    </row>
    <row r="45" spans="1:5" s="176" customFormat="1" ht="12" customHeight="1">
      <c r="A45" s="12" t="s">
        <v>295</v>
      </c>
      <c r="B45" s="178" t="s">
        <v>368</v>
      </c>
      <c r="C45" s="165"/>
      <c r="D45" s="165"/>
      <c r="E45" s="101"/>
    </row>
    <row r="46" spans="1:5" s="176" customFormat="1" ht="12" customHeight="1">
      <c r="A46" s="12" t="s">
        <v>296</v>
      </c>
      <c r="B46" s="178" t="s">
        <v>369</v>
      </c>
      <c r="C46" s="165">
        <v>3000372</v>
      </c>
      <c r="D46" s="165">
        <v>7441640</v>
      </c>
      <c r="E46" s="101">
        <v>7441640</v>
      </c>
    </row>
    <row r="47" spans="1:5" s="176" customFormat="1" ht="12" customHeight="1">
      <c r="A47" s="12" t="s">
        <v>297</v>
      </c>
      <c r="B47" s="178" t="s">
        <v>370</v>
      </c>
      <c r="C47" s="165"/>
      <c r="D47" s="165"/>
      <c r="E47" s="101"/>
    </row>
    <row r="48" spans="1:5" s="176" customFormat="1" ht="12" customHeight="1">
      <c r="A48" s="12" t="s">
        <v>298</v>
      </c>
      <c r="B48" s="178" t="s">
        <v>663</v>
      </c>
      <c r="C48" s="165"/>
      <c r="D48" s="165">
        <v>5</v>
      </c>
      <c r="E48" s="101">
        <v>12</v>
      </c>
    </row>
    <row r="49" spans="1:5" s="176" customFormat="1" ht="12" customHeight="1">
      <c r="A49" s="12" t="s">
        <v>362</v>
      </c>
      <c r="B49" s="178" t="s">
        <v>372</v>
      </c>
      <c r="C49" s="168"/>
      <c r="D49" s="168"/>
      <c r="E49" s="104"/>
    </row>
    <row r="50" spans="1:5" s="176" customFormat="1" ht="12" customHeight="1">
      <c r="A50" s="14" t="s">
        <v>363</v>
      </c>
      <c r="B50" s="179" t="s">
        <v>517</v>
      </c>
      <c r="C50" s="169"/>
      <c r="D50" s="169"/>
      <c r="E50" s="105"/>
    </row>
    <row r="51" spans="1:5" s="176" customFormat="1" ht="12" customHeight="1" thickBot="1">
      <c r="A51" s="14" t="s">
        <v>516</v>
      </c>
      <c r="B51" s="109" t="s">
        <v>373</v>
      </c>
      <c r="C51" s="169"/>
      <c r="D51" s="169">
        <v>39</v>
      </c>
      <c r="E51" s="105">
        <v>39</v>
      </c>
    </row>
    <row r="52" spans="1:5" s="176" customFormat="1" ht="12" customHeight="1" thickBot="1">
      <c r="A52" s="18" t="s">
        <v>191</v>
      </c>
      <c r="B52" s="19" t="s">
        <v>374</v>
      </c>
      <c r="C52" s="164">
        <f>SUM(C53:C57)</f>
        <v>0</v>
      </c>
      <c r="D52" s="164">
        <f>SUM(D53:D57)</f>
        <v>0</v>
      </c>
      <c r="E52" s="100">
        <f>SUM(E53:E57)</f>
        <v>0</v>
      </c>
    </row>
    <row r="53" spans="1:5" s="176" customFormat="1" ht="12" customHeight="1">
      <c r="A53" s="13" t="s">
        <v>239</v>
      </c>
      <c r="B53" s="177" t="s">
        <v>378</v>
      </c>
      <c r="C53" s="217"/>
      <c r="D53" s="217"/>
      <c r="E53" s="106"/>
    </row>
    <row r="54" spans="1:5" s="176" customFormat="1" ht="12" customHeight="1">
      <c r="A54" s="12" t="s">
        <v>240</v>
      </c>
      <c r="B54" s="178" t="s">
        <v>379</v>
      </c>
      <c r="C54" s="168"/>
      <c r="D54" s="168"/>
      <c r="E54" s="104"/>
    </row>
    <row r="55" spans="1:5" s="176" customFormat="1" ht="12" customHeight="1">
      <c r="A55" s="12" t="s">
        <v>375</v>
      </c>
      <c r="B55" s="178" t="s">
        <v>380</v>
      </c>
      <c r="C55" s="168"/>
      <c r="D55" s="168"/>
      <c r="E55" s="104"/>
    </row>
    <row r="56" spans="1:5" s="176" customFormat="1" ht="12" customHeight="1">
      <c r="A56" s="12" t="s">
        <v>376</v>
      </c>
      <c r="B56" s="178" t="s">
        <v>381</v>
      </c>
      <c r="C56" s="168"/>
      <c r="D56" s="168"/>
      <c r="E56" s="104"/>
    </row>
    <row r="57" spans="1:5" s="176" customFormat="1" ht="12" customHeight="1" thickBot="1">
      <c r="A57" s="14" t="s">
        <v>377</v>
      </c>
      <c r="B57" s="109" t="s">
        <v>382</v>
      </c>
      <c r="C57" s="169"/>
      <c r="D57" s="169"/>
      <c r="E57" s="105"/>
    </row>
    <row r="58" spans="1:5" s="176" customFormat="1" ht="12" customHeight="1" thickBot="1">
      <c r="A58" s="18" t="s">
        <v>299</v>
      </c>
      <c r="B58" s="19" t="s">
        <v>383</v>
      </c>
      <c r="C58" s="164">
        <f>SUM(C59:C61)</f>
        <v>0</v>
      </c>
      <c r="D58" s="164">
        <f>SUM(D59:D61)</f>
        <v>0</v>
      </c>
      <c r="E58" s="100">
        <f>SUM(E59:E61)</f>
        <v>0</v>
      </c>
    </row>
    <row r="59" spans="1:5" s="176" customFormat="1" ht="12" customHeight="1">
      <c r="A59" s="13" t="s">
        <v>241</v>
      </c>
      <c r="B59" s="177" t="s">
        <v>384</v>
      </c>
      <c r="C59" s="166"/>
      <c r="D59" s="166"/>
      <c r="E59" s="102"/>
    </row>
    <row r="60" spans="1:5" s="176" customFormat="1" ht="12" customHeight="1">
      <c r="A60" s="12" t="s">
        <v>242</v>
      </c>
      <c r="B60" s="178" t="s">
        <v>509</v>
      </c>
      <c r="C60" s="165"/>
      <c r="D60" s="165"/>
      <c r="E60" s="101"/>
    </row>
    <row r="61" spans="1:5" s="176" customFormat="1" ht="12" customHeight="1">
      <c r="A61" s="12" t="s">
        <v>387</v>
      </c>
      <c r="B61" s="178" t="s">
        <v>385</v>
      </c>
      <c r="C61" s="165"/>
      <c r="D61" s="165"/>
      <c r="E61" s="101"/>
    </row>
    <row r="62" spans="1:5" s="176" customFormat="1" ht="12" customHeight="1" thickBot="1">
      <c r="A62" s="14" t="s">
        <v>388</v>
      </c>
      <c r="B62" s="109" t="s">
        <v>386</v>
      </c>
      <c r="C62" s="167"/>
      <c r="D62" s="167"/>
      <c r="E62" s="103"/>
    </row>
    <row r="63" spans="1:5" s="176" customFormat="1" ht="12" customHeight="1" thickBot="1">
      <c r="A63" s="18" t="s">
        <v>193</v>
      </c>
      <c r="B63" s="107" t="s">
        <v>389</v>
      </c>
      <c r="C63" s="164">
        <f>SUM(C64:C66)</f>
        <v>0</v>
      </c>
      <c r="D63" s="164">
        <f>SUM(D64:D66)</f>
        <v>15921738</v>
      </c>
      <c r="E63" s="100">
        <f>SUM(E64:E66)</f>
        <v>15921738</v>
      </c>
    </row>
    <row r="64" spans="1:5" s="176" customFormat="1" ht="12" customHeight="1">
      <c r="A64" s="13" t="s">
        <v>300</v>
      </c>
      <c r="B64" s="177" t="s">
        <v>391</v>
      </c>
      <c r="C64" s="168"/>
      <c r="D64" s="168"/>
      <c r="E64" s="104"/>
    </row>
    <row r="65" spans="1:5" s="176" customFormat="1" ht="12" customHeight="1">
      <c r="A65" s="12" t="s">
        <v>301</v>
      </c>
      <c r="B65" s="178" t="s">
        <v>510</v>
      </c>
      <c r="C65" s="168"/>
      <c r="D65" s="168"/>
      <c r="E65" s="104"/>
    </row>
    <row r="66" spans="1:5" s="176" customFormat="1" ht="12" customHeight="1">
      <c r="A66" s="12" t="s">
        <v>324</v>
      </c>
      <c r="B66" s="178" t="s">
        <v>392</v>
      </c>
      <c r="C66" s="168"/>
      <c r="D66" s="168">
        <v>15921738</v>
      </c>
      <c r="E66" s="104">
        <v>15921738</v>
      </c>
    </row>
    <row r="67" spans="1:5" s="176" customFormat="1" ht="12" customHeight="1" thickBot="1">
      <c r="A67" s="14" t="s">
        <v>390</v>
      </c>
      <c r="B67" s="109" t="s">
        <v>393</v>
      </c>
      <c r="C67" s="168"/>
      <c r="D67" s="168"/>
      <c r="E67" s="104"/>
    </row>
    <row r="68" spans="1:5" s="176" customFormat="1" ht="12" customHeight="1" thickBot="1">
      <c r="A68" s="226" t="s">
        <v>557</v>
      </c>
      <c r="B68" s="19" t="s">
        <v>394</v>
      </c>
      <c r="C68" s="170">
        <f>+C11+C18+C25+C32+C40+C52+C58+C63</f>
        <v>21352158</v>
      </c>
      <c r="D68" s="170">
        <f>+D11+D18+D25+D32+D40+D52+D58+D63</f>
        <v>88030517</v>
      </c>
      <c r="E68" s="206">
        <f>+E11+E18+E25+E32+E40+E52+E58+E63</f>
        <v>88030524</v>
      </c>
    </row>
    <row r="69" spans="1:5" s="176" customFormat="1" ht="12" customHeight="1" thickBot="1">
      <c r="A69" s="218" t="s">
        <v>395</v>
      </c>
      <c r="B69" s="107" t="s">
        <v>396</v>
      </c>
      <c r="C69" s="164">
        <f>SUM(C70:C72)</f>
        <v>0</v>
      </c>
      <c r="D69" s="164">
        <f>SUM(D70:D72)</f>
        <v>0</v>
      </c>
      <c r="E69" s="100">
        <f>SUM(E70:E72)</f>
        <v>0</v>
      </c>
    </row>
    <row r="70" spans="1:5" s="176" customFormat="1" ht="12" customHeight="1">
      <c r="A70" s="13" t="s">
        <v>424</v>
      </c>
      <c r="B70" s="177" t="s">
        <v>397</v>
      </c>
      <c r="C70" s="168"/>
      <c r="D70" s="168"/>
      <c r="E70" s="104"/>
    </row>
    <row r="71" spans="1:5" s="176" customFormat="1" ht="12" customHeight="1">
      <c r="A71" s="12" t="s">
        <v>433</v>
      </c>
      <c r="B71" s="178" t="s">
        <v>398</v>
      </c>
      <c r="C71" s="168"/>
      <c r="D71" s="168"/>
      <c r="E71" s="104"/>
    </row>
    <row r="72" spans="1:5" s="176" customFormat="1" ht="12" customHeight="1" thickBot="1">
      <c r="A72" s="14" t="s">
        <v>434</v>
      </c>
      <c r="B72" s="222" t="s">
        <v>542</v>
      </c>
      <c r="C72" s="168"/>
      <c r="D72" s="168"/>
      <c r="E72" s="104"/>
    </row>
    <row r="73" spans="1:5" s="176" customFormat="1" ht="12" customHeight="1" thickBot="1">
      <c r="A73" s="218" t="s">
        <v>400</v>
      </c>
      <c r="B73" s="107" t="s">
        <v>401</v>
      </c>
      <c r="C73" s="164">
        <f>SUM(C74:C77)</f>
        <v>0</v>
      </c>
      <c r="D73" s="164">
        <f>SUM(D74:D77)</f>
        <v>0</v>
      </c>
      <c r="E73" s="100">
        <f>SUM(E74:E77)</f>
        <v>0</v>
      </c>
    </row>
    <row r="74" spans="1:5" s="176" customFormat="1" ht="12" customHeight="1">
      <c r="A74" s="13" t="s">
        <v>278</v>
      </c>
      <c r="B74" s="301" t="s">
        <v>402</v>
      </c>
      <c r="C74" s="168"/>
      <c r="D74" s="168"/>
      <c r="E74" s="104"/>
    </row>
    <row r="75" spans="1:5" s="176" customFormat="1" ht="12" customHeight="1">
      <c r="A75" s="12" t="s">
        <v>279</v>
      </c>
      <c r="B75" s="301" t="s">
        <v>670</v>
      </c>
      <c r="C75" s="168"/>
      <c r="D75" s="168"/>
      <c r="E75" s="104"/>
    </row>
    <row r="76" spans="1:5" s="176" customFormat="1" ht="12" customHeight="1">
      <c r="A76" s="12" t="s">
        <v>425</v>
      </c>
      <c r="B76" s="301" t="s">
        <v>403</v>
      </c>
      <c r="C76" s="168"/>
      <c r="D76" s="168"/>
      <c r="E76" s="104"/>
    </row>
    <row r="77" spans="1:5" s="176" customFormat="1" ht="12" customHeight="1" thickBot="1">
      <c r="A77" s="14" t="s">
        <v>426</v>
      </c>
      <c r="B77" s="302" t="s">
        <v>671</v>
      </c>
      <c r="C77" s="168"/>
      <c r="D77" s="168"/>
      <c r="E77" s="104"/>
    </row>
    <row r="78" spans="1:5" s="176" customFormat="1" ht="12" customHeight="1" thickBot="1">
      <c r="A78" s="218" t="s">
        <v>404</v>
      </c>
      <c r="B78" s="107" t="s">
        <v>405</v>
      </c>
      <c r="C78" s="164">
        <f>SUM(C79:C80)</f>
        <v>30241394</v>
      </c>
      <c r="D78" s="164">
        <f>SUM(D79:D80)</f>
        <v>30714441</v>
      </c>
      <c r="E78" s="100">
        <f>SUM(E79:E80)</f>
        <v>23135501</v>
      </c>
    </row>
    <row r="79" spans="1:5" s="176" customFormat="1" ht="12" customHeight="1">
      <c r="A79" s="13" t="s">
        <v>427</v>
      </c>
      <c r="B79" s="177" t="s">
        <v>406</v>
      </c>
      <c r="C79" s="168">
        <v>30241394</v>
      </c>
      <c r="D79" s="168">
        <v>30714441</v>
      </c>
      <c r="E79" s="104">
        <v>23135501</v>
      </c>
    </row>
    <row r="80" spans="1:5" s="176" customFormat="1" ht="12" customHeight="1" thickBot="1">
      <c r="A80" s="14" t="s">
        <v>428</v>
      </c>
      <c r="B80" s="109" t="s">
        <v>407</v>
      </c>
      <c r="C80" s="168"/>
      <c r="D80" s="168"/>
      <c r="E80" s="104"/>
    </row>
    <row r="81" spans="1:5" s="176" customFormat="1" ht="12" customHeight="1" thickBot="1">
      <c r="A81" s="218" t="s">
        <v>408</v>
      </c>
      <c r="B81" s="107" t="s">
        <v>409</v>
      </c>
      <c r="C81" s="164">
        <f>SUM(C82:C84)</f>
        <v>0</v>
      </c>
      <c r="D81" s="164">
        <f>SUM(D82:D84)</f>
        <v>0</v>
      </c>
      <c r="E81" s="100">
        <f>SUM(E82:E84)</f>
        <v>0</v>
      </c>
    </row>
    <row r="82" spans="1:5" s="176" customFormat="1" ht="12" customHeight="1">
      <c r="A82" s="13" t="s">
        <v>429</v>
      </c>
      <c r="B82" s="177" t="s">
        <v>410</v>
      </c>
      <c r="C82" s="168"/>
      <c r="D82" s="168"/>
      <c r="E82" s="104"/>
    </row>
    <row r="83" spans="1:5" s="176" customFormat="1" ht="12" customHeight="1">
      <c r="A83" s="12" t="s">
        <v>430</v>
      </c>
      <c r="B83" s="178" t="s">
        <v>411</v>
      </c>
      <c r="C83" s="168"/>
      <c r="D83" s="168"/>
      <c r="E83" s="104"/>
    </row>
    <row r="84" spans="1:5" s="176" customFormat="1" ht="12" customHeight="1" thickBot="1">
      <c r="A84" s="14" t="s">
        <v>431</v>
      </c>
      <c r="B84" s="109" t="s">
        <v>672</v>
      </c>
      <c r="C84" s="168"/>
      <c r="D84" s="168"/>
      <c r="E84" s="104"/>
    </row>
    <row r="85" spans="1:5" s="176" customFormat="1" ht="12" customHeight="1" thickBot="1">
      <c r="A85" s="218" t="s">
        <v>412</v>
      </c>
      <c r="B85" s="107" t="s">
        <v>432</v>
      </c>
      <c r="C85" s="164">
        <f>SUM(C86:C89)</f>
        <v>0</v>
      </c>
      <c r="D85" s="164">
        <f>SUM(D86:D89)</f>
        <v>0</v>
      </c>
      <c r="E85" s="100">
        <f>SUM(E86:E89)</f>
        <v>0</v>
      </c>
    </row>
    <row r="86" spans="1:5" s="176" customFormat="1" ht="12" customHeight="1">
      <c r="A86" s="181" t="s">
        <v>413</v>
      </c>
      <c r="B86" s="177" t="s">
        <v>414</v>
      </c>
      <c r="C86" s="168"/>
      <c r="D86" s="168"/>
      <c r="E86" s="104"/>
    </row>
    <row r="87" spans="1:5" s="176" customFormat="1" ht="12" customHeight="1">
      <c r="A87" s="182" t="s">
        <v>415</v>
      </c>
      <c r="B87" s="178" t="s">
        <v>416</v>
      </c>
      <c r="C87" s="168"/>
      <c r="D87" s="168"/>
      <c r="E87" s="104"/>
    </row>
    <row r="88" spans="1:5" s="176" customFormat="1" ht="12" customHeight="1">
      <c r="A88" s="182" t="s">
        <v>417</v>
      </c>
      <c r="B88" s="178" t="s">
        <v>418</v>
      </c>
      <c r="C88" s="168"/>
      <c r="D88" s="168"/>
      <c r="E88" s="104"/>
    </row>
    <row r="89" spans="1:5" s="176" customFormat="1" ht="12" customHeight="1" thickBot="1">
      <c r="A89" s="183" t="s">
        <v>419</v>
      </c>
      <c r="B89" s="109" t="s">
        <v>420</v>
      </c>
      <c r="C89" s="168"/>
      <c r="D89" s="168"/>
      <c r="E89" s="104"/>
    </row>
    <row r="90" spans="1:5" s="176" customFormat="1" ht="12" customHeight="1" thickBot="1">
      <c r="A90" s="218" t="s">
        <v>421</v>
      </c>
      <c r="B90" s="107" t="s">
        <v>556</v>
      </c>
      <c r="C90" s="220"/>
      <c r="D90" s="220"/>
      <c r="E90" s="221"/>
    </row>
    <row r="91" spans="1:5" s="176" customFormat="1" ht="13.5" customHeight="1" thickBot="1">
      <c r="A91" s="218" t="s">
        <v>423</v>
      </c>
      <c r="B91" s="107" t="s">
        <v>422</v>
      </c>
      <c r="C91" s="220"/>
      <c r="D91" s="220"/>
      <c r="E91" s="221"/>
    </row>
    <row r="92" spans="1:5" s="176" customFormat="1" ht="15.75" customHeight="1" thickBot="1">
      <c r="A92" s="218" t="s">
        <v>435</v>
      </c>
      <c r="B92" s="184" t="s">
        <v>559</v>
      </c>
      <c r="C92" s="170">
        <f>+C69+C73+C78+C81+C85+C91+C90</f>
        <v>30241394</v>
      </c>
      <c r="D92" s="170">
        <f>+D69+D73+D78+D81+D85+D91+D90</f>
        <v>30714441</v>
      </c>
      <c r="E92" s="206">
        <f>+E69+E73+E78+E81+E85+E91+E90</f>
        <v>23135501</v>
      </c>
    </row>
    <row r="93" spans="1:5" s="176" customFormat="1" ht="25.5" customHeight="1" thickBot="1">
      <c r="A93" s="219" t="s">
        <v>558</v>
      </c>
      <c r="B93" s="185" t="s">
        <v>560</v>
      </c>
      <c r="C93" s="170">
        <f>+C68+C92</f>
        <v>51593552</v>
      </c>
      <c r="D93" s="170">
        <f>+D68+D92</f>
        <v>118744958</v>
      </c>
      <c r="E93" s="206">
        <f>+E68+E92</f>
        <v>111166025</v>
      </c>
    </row>
    <row r="94" spans="1:3" s="176" customFormat="1" ht="15" customHeight="1">
      <c r="A94" s="3"/>
      <c r="B94" s="4"/>
      <c r="C94" s="111"/>
    </row>
    <row r="95" spans="1:5" ht="16.5" customHeight="1">
      <c r="A95" s="875" t="s">
        <v>214</v>
      </c>
      <c r="B95" s="875"/>
      <c r="C95" s="875"/>
      <c r="D95" s="875"/>
      <c r="E95" s="875"/>
    </row>
    <row r="96" spans="1:5" s="186" customFormat="1" ht="16.5" customHeight="1" thickBot="1">
      <c r="A96" s="877" t="s">
        <v>281</v>
      </c>
      <c r="B96" s="877"/>
      <c r="C96" s="58"/>
      <c r="E96" s="58" t="str">
        <f>E7</f>
        <v> Forintban!</v>
      </c>
    </row>
    <row r="97" spans="1:5" ht="15.75">
      <c r="A97" s="866" t="s">
        <v>231</v>
      </c>
      <c r="B97" s="868" t="s">
        <v>600</v>
      </c>
      <c r="C97" s="870" t="str">
        <f>+CONCATENATE(LEFT(Z_ÖSSZEFÜGGÉSEK!A6,4),". évi")</f>
        <v>2019. évi</v>
      </c>
      <c r="D97" s="871"/>
      <c r="E97" s="872"/>
    </row>
    <row r="98" spans="1:5" ht="24.75" thickBot="1">
      <c r="A98" s="867"/>
      <c r="B98" s="869"/>
      <c r="C98" s="243" t="s">
        <v>598</v>
      </c>
      <c r="D98" s="242" t="s">
        <v>599</v>
      </c>
      <c r="E98" s="303" t="str">
        <f>CONCATENATE(E9)</f>
        <v>2019. XII. 31.
teljesítés</v>
      </c>
    </row>
    <row r="99" spans="1:5" s="175" customFormat="1" ht="12" customHeight="1" thickBot="1">
      <c r="A99" s="25" t="s">
        <v>565</v>
      </c>
      <c r="B99" s="26" t="s">
        <v>566</v>
      </c>
      <c r="C99" s="26" t="s">
        <v>567</v>
      </c>
      <c r="D99" s="26" t="s">
        <v>569</v>
      </c>
      <c r="E99" s="254" t="s">
        <v>568</v>
      </c>
    </row>
    <row r="100" spans="1:5" ht="12" customHeight="1" thickBot="1">
      <c r="A100" s="20" t="s">
        <v>186</v>
      </c>
      <c r="B100" s="24" t="s">
        <v>518</v>
      </c>
      <c r="C100" s="163">
        <f>C101+C102+C103+C104+C105+C118</f>
        <v>48593552</v>
      </c>
      <c r="D100" s="163">
        <f>D101+D102+D103+D104+D105+D118</f>
        <v>64590049</v>
      </c>
      <c r="E100" s="229">
        <f>E101+E102+E103+E104+E105+E118</f>
        <v>59570961</v>
      </c>
    </row>
    <row r="101" spans="1:5" ht="12" customHeight="1">
      <c r="A101" s="15" t="s">
        <v>243</v>
      </c>
      <c r="B101" s="8" t="s">
        <v>215</v>
      </c>
      <c r="C101" s="236">
        <v>12514435</v>
      </c>
      <c r="D101" s="236">
        <v>16166205</v>
      </c>
      <c r="E101" s="230">
        <v>16072957</v>
      </c>
    </row>
    <row r="102" spans="1:5" ht="12" customHeight="1">
      <c r="A102" s="12" t="s">
        <v>244</v>
      </c>
      <c r="B102" s="6" t="s">
        <v>302</v>
      </c>
      <c r="C102" s="165">
        <v>2372881</v>
      </c>
      <c r="D102" s="165">
        <v>2975256</v>
      </c>
      <c r="E102" s="101">
        <v>2904810</v>
      </c>
    </row>
    <row r="103" spans="1:5" ht="12" customHeight="1">
      <c r="A103" s="12" t="s">
        <v>245</v>
      </c>
      <c r="B103" s="6" t="s">
        <v>270</v>
      </c>
      <c r="C103" s="167">
        <v>31706236</v>
      </c>
      <c r="D103" s="167">
        <v>42448588</v>
      </c>
      <c r="E103" s="103">
        <v>38084269</v>
      </c>
    </row>
    <row r="104" spans="1:5" ht="12" customHeight="1">
      <c r="A104" s="12" t="s">
        <v>246</v>
      </c>
      <c r="B104" s="9" t="s">
        <v>303</v>
      </c>
      <c r="C104" s="167"/>
      <c r="D104" s="167"/>
      <c r="E104" s="103"/>
    </row>
    <row r="105" spans="1:5" ht="12" customHeight="1">
      <c r="A105" s="12" t="s">
        <v>255</v>
      </c>
      <c r="B105" s="17" t="s">
        <v>304</v>
      </c>
      <c r="C105" s="167">
        <v>2000000</v>
      </c>
      <c r="D105" s="167">
        <v>3000000</v>
      </c>
      <c r="E105" s="103">
        <v>2508925</v>
      </c>
    </row>
    <row r="106" spans="1:5" ht="12" customHeight="1">
      <c r="A106" s="12" t="s">
        <v>247</v>
      </c>
      <c r="B106" s="6" t="s">
        <v>523</v>
      </c>
      <c r="C106" s="167"/>
      <c r="D106" s="167"/>
      <c r="E106" s="103"/>
    </row>
    <row r="107" spans="1:5" ht="12" customHeight="1">
      <c r="A107" s="12" t="s">
        <v>248</v>
      </c>
      <c r="B107" s="62" t="s">
        <v>522</v>
      </c>
      <c r="C107" s="167"/>
      <c r="D107" s="167"/>
      <c r="E107" s="103"/>
    </row>
    <row r="108" spans="1:5" ht="12" customHeight="1">
      <c r="A108" s="12" t="s">
        <v>256</v>
      </c>
      <c r="B108" s="62" t="s">
        <v>521</v>
      </c>
      <c r="C108" s="167"/>
      <c r="D108" s="167"/>
      <c r="E108" s="103"/>
    </row>
    <row r="109" spans="1:5" ht="12" customHeight="1">
      <c r="A109" s="12" t="s">
        <v>257</v>
      </c>
      <c r="B109" s="60" t="s">
        <v>438</v>
      </c>
      <c r="C109" s="167"/>
      <c r="D109" s="167"/>
      <c r="E109" s="103"/>
    </row>
    <row r="110" spans="1:5" ht="12" customHeight="1">
      <c r="A110" s="12" t="s">
        <v>258</v>
      </c>
      <c r="B110" s="61" t="s">
        <v>439</v>
      </c>
      <c r="C110" s="167"/>
      <c r="D110" s="167"/>
      <c r="E110" s="103"/>
    </row>
    <row r="111" spans="1:5" ht="12" customHeight="1">
      <c r="A111" s="12" t="s">
        <v>259</v>
      </c>
      <c r="B111" s="61" t="s">
        <v>440</v>
      </c>
      <c r="C111" s="167"/>
      <c r="D111" s="167"/>
      <c r="E111" s="103"/>
    </row>
    <row r="112" spans="1:5" ht="12" customHeight="1">
      <c r="A112" s="12" t="s">
        <v>261</v>
      </c>
      <c r="B112" s="60" t="s">
        <v>441</v>
      </c>
      <c r="C112" s="167"/>
      <c r="D112" s="167"/>
      <c r="E112" s="103"/>
    </row>
    <row r="113" spans="1:5" ht="12" customHeight="1">
      <c r="A113" s="12" t="s">
        <v>305</v>
      </c>
      <c r="B113" s="60" t="s">
        <v>442</v>
      </c>
      <c r="C113" s="167"/>
      <c r="D113" s="167"/>
      <c r="E113" s="103"/>
    </row>
    <row r="114" spans="1:5" ht="12" customHeight="1">
      <c r="A114" s="12" t="s">
        <v>436</v>
      </c>
      <c r="B114" s="61" t="s">
        <v>443</v>
      </c>
      <c r="C114" s="167"/>
      <c r="D114" s="167"/>
      <c r="E114" s="103"/>
    </row>
    <row r="115" spans="1:5" ht="12" customHeight="1">
      <c r="A115" s="11" t="s">
        <v>437</v>
      </c>
      <c r="B115" s="62" t="s">
        <v>444</v>
      </c>
      <c r="C115" s="167"/>
      <c r="D115" s="167"/>
      <c r="E115" s="103"/>
    </row>
    <row r="116" spans="1:5" ht="12" customHeight="1">
      <c r="A116" s="12" t="s">
        <v>519</v>
      </c>
      <c r="B116" s="62" t="s">
        <v>445</v>
      </c>
      <c r="C116" s="167"/>
      <c r="D116" s="167"/>
      <c r="E116" s="103"/>
    </row>
    <row r="117" spans="1:5" ht="12" customHeight="1">
      <c r="A117" s="14" t="s">
        <v>520</v>
      </c>
      <c r="B117" s="62" t="s">
        <v>446</v>
      </c>
      <c r="C117" s="167">
        <v>2000000</v>
      </c>
      <c r="D117" s="167">
        <v>3000000</v>
      </c>
      <c r="E117" s="103">
        <v>2508925</v>
      </c>
    </row>
    <row r="118" spans="1:5" ht="12" customHeight="1">
      <c r="A118" s="12" t="s">
        <v>524</v>
      </c>
      <c r="B118" s="9" t="s">
        <v>216</v>
      </c>
      <c r="C118" s="165"/>
      <c r="D118" s="165"/>
      <c r="E118" s="101"/>
    </row>
    <row r="119" spans="1:5" ht="12" customHeight="1">
      <c r="A119" s="12" t="s">
        <v>525</v>
      </c>
      <c r="B119" s="6" t="s">
        <v>527</v>
      </c>
      <c r="C119" s="165"/>
      <c r="D119" s="165"/>
      <c r="E119" s="101"/>
    </row>
    <row r="120" spans="1:5" ht="12" customHeight="1" thickBot="1">
      <c r="A120" s="16" t="s">
        <v>526</v>
      </c>
      <c r="B120" s="225" t="s">
        <v>528</v>
      </c>
      <c r="C120" s="237"/>
      <c r="D120" s="237"/>
      <c r="E120" s="231"/>
    </row>
    <row r="121" spans="1:5" ht="12" customHeight="1" thickBot="1">
      <c r="A121" s="223" t="s">
        <v>187</v>
      </c>
      <c r="B121" s="224" t="s">
        <v>447</v>
      </c>
      <c r="C121" s="238">
        <f>+C122+C124+C126</f>
        <v>3000000</v>
      </c>
      <c r="D121" s="164">
        <f>+D122+D124+D126</f>
        <v>34961749</v>
      </c>
      <c r="E121" s="232">
        <f>+E122+E124+E126</f>
        <v>34871949</v>
      </c>
    </row>
    <row r="122" spans="1:5" ht="12" customHeight="1">
      <c r="A122" s="13" t="s">
        <v>249</v>
      </c>
      <c r="B122" s="6" t="s">
        <v>323</v>
      </c>
      <c r="C122" s="166"/>
      <c r="D122" s="247">
        <v>21932834</v>
      </c>
      <c r="E122" s="102">
        <v>21843034</v>
      </c>
    </row>
    <row r="123" spans="1:5" ht="12" customHeight="1">
      <c r="A123" s="13" t="s">
        <v>250</v>
      </c>
      <c r="B123" s="10" t="s">
        <v>451</v>
      </c>
      <c r="C123" s="166"/>
      <c r="D123" s="247"/>
      <c r="E123" s="102"/>
    </row>
    <row r="124" spans="1:5" ht="12" customHeight="1">
      <c r="A124" s="13" t="s">
        <v>251</v>
      </c>
      <c r="B124" s="10" t="s">
        <v>306</v>
      </c>
      <c r="C124" s="165"/>
      <c r="D124" s="248"/>
      <c r="E124" s="101"/>
    </row>
    <row r="125" spans="1:5" ht="12" customHeight="1">
      <c r="A125" s="13" t="s">
        <v>252</v>
      </c>
      <c r="B125" s="10" t="s">
        <v>452</v>
      </c>
      <c r="C125" s="165"/>
      <c r="D125" s="248"/>
      <c r="E125" s="101"/>
    </row>
    <row r="126" spans="1:5" ht="12" customHeight="1">
      <c r="A126" s="13" t="s">
        <v>253</v>
      </c>
      <c r="B126" s="109" t="s">
        <v>325</v>
      </c>
      <c r="C126" s="165">
        <v>3000000</v>
      </c>
      <c r="D126" s="248">
        <v>13028915</v>
      </c>
      <c r="E126" s="101">
        <v>13028915</v>
      </c>
    </row>
    <row r="127" spans="1:5" ht="12" customHeight="1">
      <c r="A127" s="13" t="s">
        <v>260</v>
      </c>
      <c r="B127" s="108" t="s">
        <v>511</v>
      </c>
      <c r="C127" s="165"/>
      <c r="D127" s="248"/>
      <c r="E127" s="101"/>
    </row>
    <row r="128" spans="1:5" ht="12" customHeight="1">
      <c r="A128" s="13" t="s">
        <v>262</v>
      </c>
      <c r="B128" s="173" t="s">
        <v>457</v>
      </c>
      <c r="C128" s="165"/>
      <c r="D128" s="248"/>
      <c r="E128" s="101"/>
    </row>
    <row r="129" spans="1:5" ht="15.75">
      <c r="A129" s="13" t="s">
        <v>307</v>
      </c>
      <c r="B129" s="61" t="s">
        <v>440</v>
      </c>
      <c r="C129" s="165"/>
      <c r="D129" s="248"/>
      <c r="E129" s="101"/>
    </row>
    <row r="130" spans="1:5" ht="12" customHeight="1">
      <c r="A130" s="13" t="s">
        <v>308</v>
      </c>
      <c r="B130" s="61" t="s">
        <v>456</v>
      </c>
      <c r="C130" s="165"/>
      <c r="D130" s="248"/>
      <c r="E130" s="101"/>
    </row>
    <row r="131" spans="1:5" ht="12" customHeight="1">
      <c r="A131" s="13" t="s">
        <v>309</v>
      </c>
      <c r="B131" s="61" t="s">
        <v>455</v>
      </c>
      <c r="C131" s="165"/>
      <c r="D131" s="248"/>
      <c r="E131" s="101"/>
    </row>
    <row r="132" spans="1:5" ht="12" customHeight="1">
      <c r="A132" s="13" t="s">
        <v>448</v>
      </c>
      <c r="B132" s="61" t="s">
        <v>443</v>
      </c>
      <c r="C132" s="165"/>
      <c r="D132" s="248">
        <v>2028915</v>
      </c>
      <c r="E132" s="101">
        <v>2028915</v>
      </c>
    </row>
    <row r="133" spans="1:5" ht="12" customHeight="1">
      <c r="A133" s="13" t="s">
        <v>449</v>
      </c>
      <c r="B133" s="61" t="s">
        <v>454</v>
      </c>
      <c r="C133" s="165">
        <v>3000000</v>
      </c>
      <c r="D133" s="248">
        <v>11000000</v>
      </c>
      <c r="E133" s="101">
        <v>11000000</v>
      </c>
    </row>
    <row r="134" spans="1:5" ht="16.5" thickBot="1">
      <c r="A134" s="11" t="s">
        <v>450</v>
      </c>
      <c r="B134" s="61" t="s">
        <v>453</v>
      </c>
      <c r="C134" s="167"/>
      <c r="D134" s="249"/>
      <c r="E134" s="103"/>
    </row>
    <row r="135" spans="1:5" ht="12" customHeight="1" thickBot="1">
      <c r="A135" s="18" t="s">
        <v>188</v>
      </c>
      <c r="B135" s="54" t="s">
        <v>529</v>
      </c>
      <c r="C135" s="164">
        <f>+C100+C121</f>
        <v>51593552</v>
      </c>
      <c r="D135" s="246">
        <f>+D100+D121</f>
        <v>99551798</v>
      </c>
      <c r="E135" s="100">
        <f>+E100+E121</f>
        <v>94442910</v>
      </c>
    </row>
    <row r="136" spans="1:5" ht="12" customHeight="1" thickBot="1">
      <c r="A136" s="18" t="s">
        <v>189</v>
      </c>
      <c r="B136" s="54" t="s">
        <v>601</v>
      </c>
      <c r="C136" s="164">
        <f>+C137+C138+C139</f>
        <v>0</v>
      </c>
      <c r="D136" s="246">
        <f>+D137+D138+D139</f>
        <v>0</v>
      </c>
      <c r="E136" s="100">
        <f>+E137+E138+E139</f>
        <v>0</v>
      </c>
    </row>
    <row r="137" spans="1:5" ht="12" customHeight="1">
      <c r="A137" s="13" t="s">
        <v>357</v>
      </c>
      <c r="B137" s="10" t="s">
        <v>537</v>
      </c>
      <c r="C137" s="165"/>
      <c r="D137" s="248"/>
      <c r="E137" s="101"/>
    </row>
    <row r="138" spans="1:5" ht="12" customHeight="1">
      <c r="A138" s="13" t="s">
        <v>358</v>
      </c>
      <c r="B138" s="10" t="s">
        <v>538</v>
      </c>
      <c r="C138" s="165"/>
      <c r="D138" s="248"/>
      <c r="E138" s="101"/>
    </row>
    <row r="139" spans="1:5" ht="12" customHeight="1" thickBot="1">
      <c r="A139" s="11" t="s">
        <v>359</v>
      </c>
      <c r="B139" s="10" t="s">
        <v>539</v>
      </c>
      <c r="C139" s="165"/>
      <c r="D139" s="248"/>
      <c r="E139" s="101"/>
    </row>
    <row r="140" spans="1:5" ht="12" customHeight="1" thickBot="1">
      <c r="A140" s="18" t="s">
        <v>190</v>
      </c>
      <c r="B140" s="54" t="s">
        <v>531</v>
      </c>
      <c r="C140" s="164">
        <f>SUM(C141:C146)</f>
        <v>0</v>
      </c>
      <c r="D140" s="246">
        <f>SUM(D141:D146)</f>
        <v>0</v>
      </c>
      <c r="E140" s="100">
        <f>SUM(E141:E146)</f>
        <v>0</v>
      </c>
    </row>
    <row r="141" spans="1:5" ht="12" customHeight="1">
      <c r="A141" s="13" t="s">
        <v>236</v>
      </c>
      <c r="B141" s="7" t="s">
        <v>540</v>
      </c>
      <c r="C141" s="165"/>
      <c r="D141" s="248"/>
      <c r="E141" s="101"/>
    </row>
    <row r="142" spans="1:5" ht="12" customHeight="1">
      <c r="A142" s="13" t="s">
        <v>237</v>
      </c>
      <c r="B142" s="7" t="s">
        <v>532</v>
      </c>
      <c r="C142" s="165"/>
      <c r="D142" s="248"/>
      <c r="E142" s="101"/>
    </row>
    <row r="143" spans="1:5" ht="12" customHeight="1">
      <c r="A143" s="13" t="s">
        <v>238</v>
      </c>
      <c r="B143" s="7" t="s">
        <v>533</v>
      </c>
      <c r="C143" s="165"/>
      <c r="D143" s="248"/>
      <c r="E143" s="101"/>
    </row>
    <row r="144" spans="1:5" ht="12" customHeight="1">
      <c r="A144" s="13" t="s">
        <v>294</v>
      </c>
      <c r="B144" s="7" t="s">
        <v>534</v>
      </c>
      <c r="C144" s="165"/>
      <c r="D144" s="248"/>
      <c r="E144" s="101"/>
    </row>
    <row r="145" spans="1:5" ht="12" customHeight="1">
      <c r="A145" s="13" t="s">
        <v>295</v>
      </c>
      <c r="B145" s="7" t="s">
        <v>535</v>
      </c>
      <c r="C145" s="165"/>
      <c r="D145" s="248"/>
      <c r="E145" s="101"/>
    </row>
    <row r="146" spans="1:5" ht="12" customHeight="1" thickBot="1">
      <c r="A146" s="16" t="s">
        <v>296</v>
      </c>
      <c r="B146" s="309" t="s">
        <v>536</v>
      </c>
      <c r="C146" s="237"/>
      <c r="D146" s="286"/>
      <c r="E146" s="231"/>
    </row>
    <row r="147" spans="1:5" ht="12" customHeight="1" thickBot="1">
      <c r="A147" s="18" t="s">
        <v>191</v>
      </c>
      <c r="B147" s="54" t="s">
        <v>544</v>
      </c>
      <c r="C147" s="170">
        <f>+C148+C149+C150+C151</f>
        <v>0</v>
      </c>
      <c r="D147" s="250">
        <f>+D148+D149+D150+D151</f>
        <v>0</v>
      </c>
      <c r="E147" s="206">
        <f>+E148+E149+E150+E151</f>
        <v>0</v>
      </c>
    </row>
    <row r="148" spans="1:5" ht="12" customHeight="1">
      <c r="A148" s="13" t="s">
        <v>239</v>
      </c>
      <c r="B148" s="7" t="s">
        <v>458</v>
      </c>
      <c r="C148" s="165"/>
      <c r="D148" s="248"/>
      <c r="E148" s="101"/>
    </row>
    <row r="149" spans="1:5" ht="12" customHeight="1">
      <c r="A149" s="13" t="s">
        <v>240</v>
      </c>
      <c r="B149" s="7" t="s">
        <v>459</v>
      </c>
      <c r="C149" s="165"/>
      <c r="D149" s="248"/>
      <c r="E149" s="101"/>
    </row>
    <row r="150" spans="1:5" ht="12" customHeight="1">
      <c r="A150" s="13" t="s">
        <v>375</v>
      </c>
      <c r="B150" s="7" t="s">
        <v>545</v>
      </c>
      <c r="C150" s="165"/>
      <c r="D150" s="248"/>
      <c r="E150" s="101"/>
    </row>
    <row r="151" spans="1:5" ht="12" customHeight="1" thickBot="1">
      <c r="A151" s="11" t="s">
        <v>376</v>
      </c>
      <c r="B151" s="5" t="s">
        <v>475</v>
      </c>
      <c r="C151" s="165"/>
      <c r="D151" s="248"/>
      <c r="E151" s="101"/>
    </row>
    <row r="152" spans="1:5" ht="12" customHeight="1" thickBot="1">
      <c r="A152" s="18" t="s">
        <v>192</v>
      </c>
      <c r="B152" s="54" t="s">
        <v>546</v>
      </c>
      <c r="C152" s="239">
        <f>SUM(C153:C157)</f>
        <v>0</v>
      </c>
      <c r="D152" s="251">
        <f>SUM(D153:D157)</f>
        <v>0</v>
      </c>
      <c r="E152" s="233">
        <f>SUM(E153:E157)</f>
        <v>0</v>
      </c>
    </row>
    <row r="153" spans="1:5" ht="12" customHeight="1">
      <c r="A153" s="13" t="s">
        <v>241</v>
      </c>
      <c r="B153" s="7" t="s">
        <v>541</v>
      </c>
      <c r="C153" s="165"/>
      <c r="D153" s="248"/>
      <c r="E153" s="101"/>
    </row>
    <row r="154" spans="1:5" ht="12" customHeight="1">
      <c r="A154" s="13" t="s">
        <v>242</v>
      </c>
      <c r="B154" s="7" t="s">
        <v>548</v>
      </c>
      <c r="C154" s="165"/>
      <c r="D154" s="248"/>
      <c r="E154" s="101"/>
    </row>
    <row r="155" spans="1:5" ht="12" customHeight="1">
      <c r="A155" s="13" t="s">
        <v>387</v>
      </c>
      <c r="B155" s="7" t="s">
        <v>543</v>
      </c>
      <c r="C155" s="165"/>
      <c r="D155" s="248"/>
      <c r="E155" s="101"/>
    </row>
    <row r="156" spans="1:5" ht="12" customHeight="1">
      <c r="A156" s="13" t="s">
        <v>388</v>
      </c>
      <c r="B156" s="7" t="s">
        <v>549</v>
      </c>
      <c r="C156" s="165"/>
      <c r="D156" s="248"/>
      <c r="E156" s="101"/>
    </row>
    <row r="157" spans="1:5" ht="12" customHeight="1" thickBot="1">
      <c r="A157" s="13" t="s">
        <v>547</v>
      </c>
      <c r="B157" s="7" t="s">
        <v>550</v>
      </c>
      <c r="C157" s="165"/>
      <c r="D157" s="248"/>
      <c r="E157" s="101"/>
    </row>
    <row r="158" spans="1:5" ht="12" customHeight="1" thickBot="1">
      <c r="A158" s="18" t="s">
        <v>193</v>
      </c>
      <c r="B158" s="54" t="s">
        <v>551</v>
      </c>
      <c r="C158" s="240"/>
      <c r="D158" s="252"/>
      <c r="E158" s="234"/>
    </row>
    <row r="159" spans="1:5" ht="12" customHeight="1" thickBot="1">
      <c r="A159" s="18" t="s">
        <v>194</v>
      </c>
      <c r="B159" s="54" t="s">
        <v>552</v>
      </c>
      <c r="C159" s="240"/>
      <c r="D159" s="252"/>
      <c r="E159" s="234"/>
    </row>
    <row r="160" spans="1:9" ht="15" customHeight="1" thickBot="1">
      <c r="A160" s="18" t="s">
        <v>195</v>
      </c>
      <c r="B160" s="54" t="s">
        <v>554</v>
      </c>
      <c r="C160" s="241">
        <f>+C136+C140+C147+C152+C158+C159</f>
        <v>0</v>
      </c>
      <c r="D160" s="253">
        <f>+D136+D140+D147+D152+D158+D159</f>
        <v>0</v>
      </c>
      <c r="E160" s="235">
        <f>+E136+E140+E147+E152+E158+E159</f>
        <v>0</v>
      </c>
      <c r="F160" s="187"/>
      <c r="G160" s="188"/>
      <c r="H160" s="188"/>
      <c r="I160" s="188"/>
    </row>
    <row r="161" spans="1:5" s="176" customFormat="1" ht="12.75" customHeight="1" thickBot="1">
      <c r="A161" s="110" t="s">
        <v>196</v>
      </c>
      <c r="B161" s="151" t="s">
        <v>553</v>
      </c>
      <c r="C161" s="241">
        <f>+C135+C160</f>
        <v>51593552</v>
      </c>
      <c r="D161" s="253">
        <f>+D135+D160</f>
        <v>99551798</v>
      </c>
      <c r="E161" s="235">
        <f>+E135+E160</f>
        <v>94442910</v>
      </c>
    </row>
    <row r="162" spans="3:4" ht="15.75">
      <c r="C162" s="629">
        <f>C93-C161</f>
        <v>0</v>
      </c>
      <c r="D162" s="629"/>
    </row>
    <row r="163" spans="1:5" ht="15.75">
      <c r="A163" s="873" t="s">
        <v>460</v>
      </c>
      <c r="B163" s="873"/>
      <c r="C163" s="873"/>
      <c r="D163" s="873"/>
      <c r="E163" s="873"/>
    </row>
    <row r="164" spans="1:5" ht="15" customHeight="1" thickBot="1">
      <c r="A164" s="865" t="s">
        <v>282</v>
      </c>
      <c r="B164" s="865"/>
      <c r="C164" s="112"/>
      <c r="E164" s="112" t="str">
        <f>E96</f>
        <v> Forintban!</v>
      </c>
    </row>
    <row r="165" spans="1:5" ht="25.5" customHeight="1" thickBot="1">
      <c r="A165" s="18">
        <v>1</v>
      </c>
      <c r="B165" s="23" t="s">
        <v>555</v>
      </c>
      <c r="C165" s="245">
        <f>+C68-C135</f>
        <v>-30241394</v>
      </c>
      <c r="D165" s="164">
        <f>+D68-D135</f>
        <v>-11521281</v>
      </c>
      <c r="E165" s="100">
        <f>+E68-E135</f>
        <v>-6412386</v>
      </c>
    </row>
    <row r="166" spans="1:5" ht="32.25" customHeight="1" thickBot="1">
      <c r="A166" s="18" t="s">
        <v>187</v>
      </c>
      <c r="B166" s="23" t="s">
        <v>561</v>
      </c>
      <c r="C166" s="164">
        <f>+C92-C160</f>
        <v>30241394</v>
      </c>
      <c r="D166" s="164">
        <f>+D92-D160</f>
        <v>30714441</v>
      </c>
      <c r="E166" s="100">
        <f>+E92-E160</f>
        <v>23135501</v>
      </c>
    </row>
  </sheetData>
  <sheetProtection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G38" sqref="G38"/>
    </sheetView>
  </sheetViews>
  <sheetFormatPr defaultColWidth="9.00390625" defaultRowHeight="12.75"/>
  <cols>
    <col min="1" max="1" width="9.50390625" style="152" customWidth="1"/>
    <col min="2" max="2" width="65.875" style="152" customWidth="1"/>
    <col min="3" max="3" width="17.875" style="153" customWidth="1"/>
    <col min="4" max="5" width="17.875" style="174" customWidth="1"/>
    <col min="6" max="16384" width="9.375" style="174" customWidth="1"/>
  </cols>
  <sheetData>
    <row r="1" spans="1:5" ht="15.75">
      <c r="A1" s="310"/>
      <c r="B1" s="860" t="str">
        <f>CONCATENATE("1.4. melléklet ",Z_ALAPADATOK!A7," ",Z_ALAPADATOK!B7," ",Z_ALAPADATOK!C7," ",Z_ALAPADATOK!D7," ",Z_ALAPADATOK!E7," ",Z_ALAPADATOK!F7," ",Z_ALAPADATOK!G7," ",Z_ALAPADATOK!H7)</f>
        <v>1.4. melléklet a … / 2020. ( … ) önkormányzati rendelethez</v>
      </c>
      <c r="C1" s="861"/>
      <c r="D1" s="861"/>
      <c r="E1" s="861"/>
    </row>
    <row r="2" spans="1:5" ht="15.75">
      <c r="A2" s="862" t="str">
        <f>CONCATENATE(Z_ALAPADATOK!A3)</f>
        <v>Elek Város Önkormányzata</v>
      </c>
      <c r="B2" s="863"/>
      <c r="C2" s="863"/>
      <c r="D2" s="863"/>
      <c r="E2" s="863"/>
    </row>
    <row r="3" spans="1:5" ht="15.75">
      <c r="A3" s="852" t="str">
        <f>CONCATENATE(Z_ALAPADATOK!B1,". ÉVI ZÁRSZÁMADÁS")</f>
        <v>2019. ÉVI ZÁRSZÁMADÁS</v>
      </c>
      <c r="B3" s="852"/>
      <c r="C3" s="852"/>
      <c r="D3" s="852"/>
      <c r="E3" s="852"/>
    </row>
    <row r="4" spans="1:5" ht="17.25" customHeight="1">
      <c r="A4" s="852" t="s">
        <v>10</v>
      </c>
      <c r="B4" s="852"/>
      <c r="C4" s="852"/>
      <c r="D4" s="852"/>
      <c r="E4" s="852"/>
    </row>
    <row r="5" spans="1:5" ht="15.75">
      <c r="A5" s="310"/>
      <c r="B5" s="310"/>
      <c r="C5" s="311"/>
      <c r="D5" s="312"/>
      <c r="E5" s="312"/>
    </row>
    <row r="6" spans="1:5" ht="15.75" customHeight="1">
      <c r="A6" s="874" t="s">
        <v>183</v>
      </c>
      <c r="B6" s="874"/>
      <c r="C6" s="874"/>
      <c r="D6" s="874"/>
      <c r="E6" s="874"/>
    </row>
    <row r="7" spans="1:5" ht="15.75" customHeight="1" thickBot="1">
      <c r="A7" s="876" t="s">
        <v>280</v>
      </c>
      <c r="B7" s="876"/>
      <c r="C7" s="313"/>
      <c r="D7" s="312"/>
      <c r="E7" s="313" t="str">
        <f>CONCATENATE('Z_1.3.sz.mell.'!E7)</f>
        <v> Forintban!</v>
      </c>
    </row>
    <row r="8" spans="1:5" ht="15.75">
      <c r="A8" s="866" t="s">
        <v>231</v>
      </c>
      <c r="B8" s="868" t="s">
        <v>185</v>
      </c>
      <c r="C8" s="870" t="str">
        <f>+CONCATENATE(LEFT(Z_ÖSSZEFÜGGÉSEK!A6,4),". évi")</f>
        <v>2019. évi</v>
      </c>
      <c r="D8" s="871"/>
      <c r="E8" s="872"/>
    </row>
    <row r="9" spans="1:5" ht="24.75" thickBot="1">
      <c r="A9" s="867"/>
      <c r="B9" s="869"/>
      <c r="C9" s="243" t="s">
        <v>598</v>
      </c>
      <c r="D9" s="242" t="s">
        <v>599</v>
      </c>
      <c r="E9" s="303" t="str">
        <f>CONCATENATE('Z_1.3.sz.mell.'!E9)</f>
        <v>2019. XII. 31.
teljesítés</v>
      </c>
    </row>
    <row r="10" spans="1:5" s="175" customFormat="1" ht="12" customHeight="1" thickBot="1">
      <c r="A10" s="171" t="s">
        <v>565</v>
      </c>
      <c r="B10" s="172" t="s">
        <v>566</v>
      </c>
      <c r="C10" s="172" t="s">
        <v>567</v>
      </c>
      <c r="D10" s="172" t="s">
        <v>569</v>
      </c>
      <c r="E10" s="244" t="s">
        <v>568</v>
      </c>
    </row>
    <row r="11" spans="1:5" s="176" customFormat="1" ht="12" customHeight="1" thickBot="1">
      <c r="A11" s="18" t="s">
        <v>186</v>
      </c>
      <c r="B11" s="19" t="s">
        <v>342</v>
      </c>
      <c r="C11" s="164">
        <f>+C12+C13+C14+C15+C16+C17</f>
        <v>0</v>
      </c>
      <c r="D11" s="164">
        <f>+D12+D13+D14+D15+D16+D17</f>
        <v>0</v>
      </c>
      <c r="E11" s="100">
        <f>+E12+E13+E14+E15+E16+E17</f>
        <v>0</v>
      </c>
    </row>
    <row r="12" spans="1:5" s="176" customFormat="1" ht="12" customHeight="1">
      <c r="A12" s="13" t="s">
        <v>243</v>
      </c>
      <c r="B12" s="177" t="s">
        <v>343</v>
      </c>
      <c r="C12" s="166"/>
      <c r="D12" s="166"/>
      <c r="E12" s="102"/>
    </row>
    <row r="13" spans="1:5" s="176" customFormat="1" ht="12" customHeight="1">
      <c r="A13" s="12" t="s">
        <v>244</v>
      </c>
      <c r="B13" s="178" t="s">
        <v>344</v>
      </c>
      <c r="C13" s="165"/>
      <c r="D13" s="165"/>
      <c r="E13" s="101"/>
    </row>
    <row r="14" spans="1:5" s="176" customFormat="1" ht="12" customHeight="1">
      <c r="A14" s="12" t="s">
        <v>245</v>
      </c>
      <c r="B14" s="178" t="s">
        <v>345</v>
      </c>
      <c r="C14" s="165"/>
      <c r="D14" s="165"/>
      <c r="E14" s="101"/>
    </row>
    <row r="15" spans="1:5" s="176" customFormat="1" ht="12" customHeight="1">
      <c r="A15" s="12" t="s">
        <v>246</v>
      </c>
      <c r="B15" s="178" t="s">
        <v>346</v>
      </c>
      <c r="C15" s="165"/>
      <c r="D15" s="165"/>
      <c r="E15" s="101"/>
    </row>
    <row r="16" spans="1:5" s="176" customFormat="1" ht="12" customHeight="1">
      <c r="A16" s="12" t="s">
        <v>277</v>
      </c>
      <c r="B16" s="108" t="s">
        <v>513</v>
      </c>
      <c r="C16" s="165"/>
      <c r="D16" s="165"/>
      <c r="E16" s="101"/>
    </row>
    <row r="17" spans="1:5" s="176" customFormat="1" ht="12" customHeight="1" thickBot="1">
      <c r="A17" s="14" t="s">
        <v>247</v>
      </c>
      <c r="B17" s="109" t="s">
        <v>514</v>
      </c>
      <c r="C17" s="165"/>
      <c r="D17" s="165"/>
      <c r="E17" s="101"/>
    </row>
    <row r="18" spans="1:5" s="176" customFormat="1" ht="12" customHeight="1" thickBot="1">
      <c r="A18" s="18" t="s">
        <v>187</v>
      </c>
      <c r="B18" s="107" t="s">
        <v>347</v>
      </c>
      <c r="C18" s="164">
        <f>+C19+C20+C21+C22+C23</f>
        <v>0</v>
      </c>
      <c r="D18" s="164">
        <f>+D19+D20+D21+D22+D23</f>
        <v>0</v>
      </c>
      <c r="E18" s="100">
        <f>+E19+E20+E21+E22+E23</f>
        <v>0</v>
      </c>
    </row>
    <row r="19" spans="1:5" s="176" customFormat="1" ht="12" customHeight="1">
      <c r="A19" s="13" t="s">
        <v>249</v>
      </c>
      <c r="B19" s="177" t="s">
        <v>348</v>
      </c>
      <c r="C19" s="166"/>
      <c r="D19" s="166"/>
      <c r="E19" s="102"/>
    </row>
    <row r="20" spans="1:5" s="176" customFormat="1" ht="12" customHeight="1">
      <c r="A20" s="12" t="s">
        <v>250</v>
      </c>
      <c r="B20" s="178" t="s">
        <v>349</v>
      </c>
      <c r="C20" s="165"/>
      <c r="D20" s="165"/>
      <c r="E20" s="101"/>
    </row>
    <row r="21" spans="1:5" s="176" customFormat="1" ht="12" customHeight="1">
      <c r="A21" s="12" t="s">
        <v>251</v>
      </c>
      <c r="B21" s="178" t="s">
        <v>505</v>
      </c>
      <c r="C21" s="165"/>
      <c r="D21" s="165"/>
      <c r="E21" s="101"/>
    </row>
    <row r="22" spans="1:5" s="176" customFormat="1" ht="12" customHeight="1">
      <c r="A22" s="12" t="s">
        <v>252</v>
      </c>
      <c r="B22" s="178" t="s">
        <v>506</v>
      </c>
      <c r="C22" s="165"/>
      <c r="D22" s="165"/>
      <c r="E22" s="101"/>
    </row>
    <row r="23" spans="1:5" s="176" customFormat="1" ht="12" customHeight="1">
      <c r="A23" s="12" t="s">
        <v>253</v>
      </c>
      <c r="B23" s="178" t="s">
        <v>350</v>
      </c>
      <c r="C23" s="165"/>
      <c r="D23" s="165"/>
      <c r="E23" s="101"/>
    </row>
    <row r="24" spans="1:5" s="176" customFormat="1" ht="12" customHeight="1" thickBot="1">
      <c r="A24" s="14" t="s">
        <v>260</v>
      </c>
      <c r="B24" s="109" t="s">
        <v>351</v>
      </c>
      <c r="C24" s="167"/>
      <c r="D24" s="167"/>
      <c r="E24" s="103"/>
    </row>
    <row r="25" spans="1:5" s="176" customFormat="1" ht="12" customHeight="1" thickBot="1">
      <c r="A25" s="18" t="s">
        <v>188</v>
      </c>
      <c r="B25" s="19" t="s">
        <v>352</v>
      </c>
      <c r="C25" s="164">
        <f>+C26+C27+C28+C29+C30</f>
        <v>0</v>
      </c>
      <c r="D25" s="164">
        <f>+D26+D27+D28+D29+D30</f>
        <v>0</v>
      </c>
      <c r="E25" s="100">
        <f>+E26+E27+E28+E29+E30</f>
        <v>0</v>
      </c>
    </row>
    <row r="26" spans="1:5" s="176" customFormat="1" ht="12" customHeight="1">
      <c r="A26" s="13" t="s">
        <v>232</v>
      </c>
      <c r="B26" s="177" t="s">
        <v>353</v>
      </c>
      <c r="C26" s="166"/>
      <c r="D26" s="166"/>
      <c r="E26" s="102"/>
    </row>
    <row r="27" spans="1:5" s="176" customFormat="1" ht="12" customHeight="1">
      <c r="A27" s="12" t="s">
        <v>233</v>
      </c>
      <c r="B27" s="178" t="s">
        <v>354</v>
      </c>
      <c r="C27" s="165"/>
      <c r="D27" s="165"/>
      <c r="E27" s="101"/>
    </row>
    <row r="28" spans="1:5" s="176" customFormat="1" ht="12" customHeight="1">
      <c r="A28" s="12" t="s">
        <v>234</v>
      </c>
      <c r="B28" s="178" t="s">
        <v>507</v>
      </c>
      <c r="C28" s="165"/>
      <c r="D28" s="165"/>
      <c r="E28" s="101"/>
    </row>
    <row r="29" spans="1:5" s="176" customFormat="1" ht="12" customHeight="1">
      <c r="A29" s="12" t="s">
        <v>235</v>
      </c>
      <c r="B29" s="178" t="s">
        <v>508</v>
      </c>
      <c r="C29" s="165"/>
      <c r="D29" s="165"/>
      <c r="E29" s="101"/>
    </row>
    <row r="30" spans="1:5" s="176" customFormat="1" ht="12" customHeight="1">
      <c r="A30" s="12" t="s">
        <v>290</v>
      </c>
      <c r="B30" s="178" t="s">
        <v>355</v>
      </c>
      <c r="C30" s="165"/>
      <c r="D30" s="165"/>
      <c r="E30" s="101"/>
    </row>
    <row r="31" spans="1:5" s="176" customFormat="1" ht="12" customHeight="1" thickBot="1">
      <c r="A31" s="14" t="s">
        <v>291</v>
      </c>
      <c r="B31" s="179" t="s">
        <v>356</v>
      </c>
      <c r="C31" s="167"/>
      <c r="D31" s="167"/>
      <c r="E31" s="103"/>
    </row>
    <row r="32" spans="1:5" s="176" customFormat="1" ht="12" customHeight="1" thickBot="1">
      <c r="A32" s="18" t="s">
        <v>292</v>
      </c>
      <c r="B32" s="19" t="s">
        <v>656</v>
      </c>
      <c r="C32" s="170">
        <f>SUM(C33:C39)</f>
        <v>0</v>
      </c>
      <c r="D32" s="170">
        <f>SUM(D33:D39)</f>
        <v>0</v>
      </c>
      <c r="E32" s="206">
        <f>SUM(E33:E39)</f>
        <v>0</v>
      </c>
    </row>
    <row r="33" spans="1:5" s="176" customFormat="1" ht="12" customHeight="1">
      <c r="A33" s="13" t="s">
        <v>357</v>
      </c>
      <c r="B33" s="177" t="str">
        <f>'Z_1.1.sz.mell.'!B33</f>
        <v>Magánszemélyek kommunális adója</v>
      </c>
      <c r="C33" s="166"/>
      <c r="D33" s="166"/>
      <c r="E33" s="102"/>
    </row>
    <row r="34" spans="1:5" s="176" customFormat="1" ht="12" customHeight="1">
      <c r="A34" s="12" t="s">
        <v>358</v>
      </c>
      <c r="B34" s="177" t="str">
        <f>'Z_1.1.sz.mell.'!B34</f>
        <v>Idegenforgalmi adó </v>
      </c>
      <c r="C34" s="165"/>
      <c r="D34" s="165"/>
      <c r="E34" s="101"/>
    </row>
    <row r="35" spans="1:5" s="176" customFormat="1" ht="12" customHeight="1">
      <c r="A35" s="12" t="s">
        <v>359</v>
      </c>
      <c r="B35" s="177" t="str">
        <f>'Z_1.1.sz.mell.'!B35</f>
        <v>Iparűzési adó</v>
      </c>
      <c r="C35" s="165"/>
      <c r="D35" s="165"/>
      <c r="E35" s="101"/>
    </row>
    <row r="36" spans="1:5" s="176" customFormat="1" ht="12" customHeight="1">
      <c r="A36" s="12" t="s">
        <v>360</v>
      </c>
      <c r="B36" s="177" t="str">
        <f>'Z_1.1.sz.mell.'!B36</f>
        <v>Talajterhelési díj</v>
      </c>
      <c r="C36" s="165"/>
      <c r="D36" s="165"/>
      <c r="E36" s="101"/>
    </row>
    <row r="37" spans="1:5" s="176" customFormat="1" ht="12" customHeight="1">
      <c r="A37" s="12" t="s">
        <v>660</v>
      </c>
      <c r="B37" s="177" t="str">
        <f>'Z_1.1.sz.mell.'!B37</f>
        <v>Gépjárműadó</v>
      </c>
      <c r="C37" s="165"/>
      <c r="D37" s="165"/>
      <c r="E37" s="101"/>
    </row>
    <row r="38" spans="1:5" s="176" customFormat="1" ht="12" customHeight="1">
      <c r="A38" s="12" t="s">
        <v>661</v>
      </c>
      <c r="B38" s="177" t="str">
        <f>'Z_1.1.sz.mell.'!B38</f>
        <v>Telekadó</v>
      </c>
      <c r="C38" s="165"/>
      <c r="D38" s="165"/>
      <c r="E38" s="101"/>
    </row>
    <row r="39" spans="1:5" s="176" customFormat="1" ht="12" customHeight="1" thickBot="1">
      <c r="A39" s="14" t="s">
        <v>662</v>
      </c>
      <c r="B39" s="177" t="str">
        <f>'Z_1.1.sz.mell.'!B39</f>
        <v>Egyéb közhatalmi bevételek</v>
      </c>
      <c r="C39" s="167"/>
      <c r="D39" s="167"/>
      <c r="E39" s="103"/>
    </row>
    <row r="40" spans="1:5" s="176" customFormat="1" ht="12" customHeight="1" thickBot="1">
      <c r="A40" s="18" t="s">
        <v>190</v>
      </c>
      <c r="B40" s="19" t="s">
        <v>515</v>
      </c>
      <c r="C40" s="164">
        <f>SUM(C41:C51)</f>
        <v>0</v>
      </c>
      <c r="D40" s="164">
        <f>SUM(D41:D51)</f>
        <v>0</v>
      </c>
      <c r="E40" s="100">
        <f>SUM(E41:E51)</f>
        <v>0</v>
      </c>
    </row>
    <row r="41" spans="1:5" s="176" customFormat="1" ht="12" customHeight="1">
      <c r="A41" s="13" t="s">
        <v>236</v>
      </c>
      <c r="B41" s="177" t="s">
        <v>364</v>
      </c>
      <c r="C41" s="166"/>
      <c r="D41" s="166"/>
      <c r="E41" s="102"/>
    </row>
    <row r="42" spans="1:5" s="176" customFormat="1" ht="12" customHeight="1">
      <c r="A42" s="12" t="s">
        <v>237</v>
      </c>
      <c r="B42" s="178" t="s">
        <v>365</v>
      </c>
      <c r="C42" s="165"/>
      <c r="D42" s="165"/>
      <c r="E42" s="101"/>
    </row>
    <row r="43" spans="1:5" s="176" customFormat="1" ht="12" customHeight="1">
      <c r="A43" s="12" t="s">
        <v>238</v>
      </c>
      <c r="B43" s="178" t="s">
        <v>366</v>
      </c>
      <c r="C43" s="165"/>
      <c r="D43" s="165"/>
      <c r="E43" s="101"/>
    </row>
    <row r="44" spans="1:5" s="176" customFormat="1" ht="12" customHeight="1">
      <c r="A44" s="12" t="s">
        <v>294</v>
      </c>
      <c r="B44" s="178" t="s">
        <v>367</v>
      </c>
      <c r="C44" s="165"/>
      <c r="D44" s="165"/>
      <c r="E44" s="101"/>
    </row>
    <row r="45" spans="1:5" s="176" customFormat="1" ht="12" customHeight="1">
      <c r="A45" s="12" t="s">
        <v>295</v>
      </c>
      <c r="B45" s="178" t="s">
        <v>368</v>
      </c>
      <c r="C45" s="165"/>
      <c r="D45" s="165"/>
      <c r="E45" s="101"/>
    </row>
    <row r="46" spans="1:5" s="176" customFormat="1" ht="12" customHeight="1">
      <c r="A46" s="12" t="s">
        <v>296</v>
      </c>
      <c r="B46" s="178" t="s">
        <v>369</v>
      </c>
      <c r="C46" s="165"/>
      <c r="D46" s="165"/>
      <c r="E46" s="101"/>
    </row>
    <row r="47" spans="1:5" s="176" customFormat="1" ht="12" customHeight="1">
      <c r="A47" s="12" t="s">
        <v>297</v>
      </c>
      <c r="B47" s="178" t="s">
        <v>370</v>
      </c>
      <c r="C47" s="165"/>
      <c r="D47" s="165"/>
      <c r="E47" s="101"/>
    </row>
    <row r="48" spans="1:5" s="176" customFormat="1" ht="12" customHeight="1">
      <c r="A48" s="12" t="s">
        <v>298</v>
      </c>
      <c r="B48" s="178" t="s">
        <v>663</v>
      </c>
      <c r="C48" s="165"/>
      <c r="D48" s="165"/>
      <c r="E48" s="101"/>
    </row>
    <row r="49" spans="1:5" s="176" customFormat="1" ht="12" customHeight="1">
      <c r="A49" s="12" t="s">
        <v>362</v>
      </c>
      <c r="B49" s="178" t="s">
        <v>372</v>
      </c>
      <c r="C49" s="168"/>
      <c r="D49" s="168"/>
      <c r="E49" s="104"/>
    </row>
    <row r="50" spans="1:5" s="176" customFormat="1" ht="12" customHeight="1">
      <c r="A50" s="14" t="s">
        <v>363</v>
      </c>
      <c r="B50" s="179" t="s">
        <v>517</v>
      </c>
      <c r="C50" s="169"/>
      <c r="D50" s="169"/>
      <c r="E50" s="105"/>
    </row>
    <row r="51" spans="1:5" s="176" customFormat="1" ht="12" customHeight="1" thickBot="1">
      <c r="A51" s="14" t="s">
        <v>516</v>
      </c>
      <c r="B51" s="109" t="s">
        <v>373</v>
      </c>
      <c r="C51" s="169"/>
      <c r="D51" s="169"/>
      <c r="E51" s="105"/>
    </row>
    <row r="52" spans="1:5" s="176" customFormat="1" ht="12" customHeight="1" thickBot="1">
      <c r="A52" s="18" t="s">
        <v>191</v>
      </c>
      <c r="B52" s="19" t="s">
        <v>374</v>
      </c>
      <c r="C52" s="164">
        <f>SUM(C53:C57)</f>
        <v>0</v>
      </c>
      <c r="D52" s="164">
        <f>SUM(D53:D57)</f>
        <v>0</v>
      </c>
      <c r="E52" s="100">
        <f>SUM(E53:E57)</f>
        <v>0</v>
      </c>
    </row>
    <row r="53" spans="1:5" s="176" customFormat="1" ht="12" customHeight="1">
      <c r="A53" s="13" t="s">
        <v>239</v>
      </c>
      <c r="B53" s="177" t="s">
        <v>378</v>
      </c>
      <c r="C53" s="217"/>
      <c r="D53" s="217"/>
      <c r="E53" s="106"/>
    </row>
    <row r="54" spans="1:5" s="176" customFormat="1" ht="12" customHeight="1">
      <c r="A54" s="12" t="s">
        <v>240</v>
      </c>
      <c r="B54" s="178" t="s">
        <v>379</v>
      </c>
      <c r="C54" s="168"/>
      <c r="D54" s="168"/>
      <c r="E54" s="104"/>
    </row>
    <row r="55" spans="1:5" s="176" customFormat="1" ht="12" customHeight="1">
      <c r="A55" s="12" t="s">
        <v>375</v>
      </c>
      <c r="B55" s="178" t="s">
        <v>380</v>
      </c>
      <c r="C55" s="168"/>
      <c r="D55" s="168"/>
      <c r="E55" s="104"/>
    </row>
    <row r="56" spans="1:5" s="176" customFormat="1" ht="12" customHeight="1">
      <c r="A56" s="12" t="s">
        <v>376</v>
      </c>
      <c r="B56" s="178" t="s">
        <v>381</v>
      </c>
      <c r="C56" s="168"/>
      <c r="D56" s="168"/>
      <c r="E56" s="104"/>
    </row>
    <row r="57" spans="1:5" s="176" customFormat="1" ht="12" customHeight="1" thickBot="1">
      <c r="A57" s="14" t="s">
        <v>377</v>
      </c>
      <c r="B57" s="109" t="s">
        <v>382</v>
      </c>
      <c r="C57" s="169"/>
      <c r="D57" s="169"/>
      <c r="E57" s="105"/>
    </row>
    <row r="58" spans="1:5" s="176" customFormat="1" ht="12" customHeight="1" thickBot="1">
      <c r="A58" s="18" t="s">
        <v>299</v>
      </c>
      <c r="B58" s="19" t="s">
        <v>383</v>
      </c>
      <c r="C58" s="164">
        <f>SUM(C59:C61)</f>
        <v>0</v>
      </c>
      <c r="D58" s="164">
        <f>SUM(D59:D61)</f>
        <v>0</v>
      </c>
      <c r="E58" s="100">
        <f>SUM(E59:E61)</f>
        <v>0</v>
      </c>
    </row>
    <row r="59" spans="1:5" s="176" customFormat="1" ht="12" customHeight="1">
      <c r="A59" s="13" t="s">
        <v>241</v>
      </c>
      <c r="B59" s="177" t="s">
        <v>384</v>
      </c>
      <c r="C59" s="166"/>
      <c r="D59" s="166"/>
      <c r="E59" s="102"/>
    </row>
    <row r="60" spans="1:5" s="176" customFormat="1" ht="12" customHeight="1">
      <c r="A60" s="12" t="s">
        <v>242</v>
      </c>
      <c r="B60" s="178" t="s">
        <v>509</v>
      </c>
      <c r="C60" s="165"/>
      <c r="D60" s="165"/>
      <c r="E60" s="101"/>
    </row>
    <row r="61" spans="1:5" s="176" customFormat="1" ht="12" customHeight="1">
      <c r="A61" s="12" t="s">
        <v>387</v>
      </c>
      <c r="B61" s="178" t="s">
        <v>385</v>
      </c>
      <c r="C61" s="165"/>
      <c r="D61" s="165"/>
      <c r="E61" s="101"/>
    </row>
    <row r="62" spans="1:5" s="176" customFormat="1" ht="12" customHeight="1" thickBot="1">
      <c r="A62" s="14" t="s">
        <v>388</v>
      </c>
      <c r="B62" s="109" t="s">
        <v>386</v>
      </c>
      <c r="C62" s="167"/>
      <c r="D62" s="167"/>
      <c r="E62" s="103"/>
    </row>
    <row r="63" spans="1:5" s="176" customFormat="1" ht="12" customHeight="1" thickBot="1">
      <c r="A63" s="18" t="s">
        <v>193</v>
      </c>
      <c r="B63" s="107" t="s">
        <v>389</v>
      </c>
      <c r="C63" s="164">
        <f>SUM(C64:C66)</f>
        <v>0</v>
      </c>
      <c r="D63" s="164">
        <f>SUM(D64:D66)</f>
        <v>0</v>
      </c>
      <c r="E63" s="100">
        <f>SUM(E64:E66)</f>
        <v>0</v>
      </c>
    </row>
    <row r="64" spans="1:5" s="176" customFormat="1" ht="12" customHeight="1">
      <c r="A64" s="13" t="s">
        <v>300</v>
      </c>
      <c r="B64" s="177" t="s">
        <v>391</v>
      </c>
      <c r="C64" s="168"/>
      <c r="D64" s="168"/>
      <c r="E64" s="104"/>
    </row>
    <row r="65" spans="1:5" s="176" customFormat="1" ht="12" customHeight="1">
      <c r="A65" s="12" t="s">
        <v>301</v>
      </c>
      <c r="B65" s="178" t="s">
        <v>510</v>
      </c>
      <c r="C65" s="168"/>
      <c r="D65" s="168"/>
      <c r="E65" s="104"/>
    </row>
    <row r="66" spans="1:5" s="176" customFormat="1" ht="12" customHeight="1">
      <c r="A66" s="12" t="s">
        <v>324</v>
      </c>
      <c r="B66" s="178" t="s">
        <v>392</v>
      </c>
      <c r="C66" s="168"/>
      <c r="D66" s="168"/>
      <c r="E66" s="104"/>
    </row>
    <row r="67" spans="1:5" s="176" customFormat="1" ht="12" customHeight="1" thickBot="1">
      <c r="A67" s="14" t="s">
        <v>390</v>
      </c>
      <c r="B67" s="109" t="s">
        <v>393</v>
      </c>
      <c r="C67" s="168"/>
      <c r="D67" s="168"/>
      <c r="E67" s="104"/>
    </row>
    <row r="68" spans="1:5" s="176" customFormat="1" ht="12" customHeight="1" thickBot="1">
      <c r="A68" s="226" t="s">
        <v>557</v>
      </c>
      <c r="B68" s="19" t="s">
        <v>394</v>
      </c>
      <c r="C68" s="170">
        <f>+C11+C18+C25+C32+C40+C52+C58+C63</f>
        <v>0</v>
      </c>
      <c r="D68" s="170">
        <f>+D11+D18+D25+D32+D40+D52+D58+D63</f>
        <v>0</v>
      </c>
      <c r="E68" s="206">
        <f>+E11+E18+E25+E32+E40+E52+E58+E63</f>
        <v>0</v>
      </c>
    </row>
    <row r="69" spans="1:5" s="176" customFormat="1" ht="12" customHeight="1" thickBot="1">
      <c r="A69" s="218" t="s">
        <v>395</v>
      </c>
      <c r="B69" s="107" t="s">
        <v>396</v>
      </c>
      <c r="C69" s="164">
        <f>SUM(C70:C72)</f>
        <v>0</v>
      </c>
      <c r="D69" s="164">
        <f>SUM(D70:D72)</f>
        <v>0</v>
      </c>
      <c r="E69" s="100">
        <f>SUM(E70:E72)</f>
        <v>0</v>
      </c>
    </row>
    <row r="70" spans="1:5" s="176" customFormat="1" ht="12" customHeight="1">
      <c r="A70" s="13" t="s">
        <v>424</v>
      </c>
      <c r="B70" s="177" t="s">
        <v>397</v>
      </c>
      <c r="C70" s="168"/>
      <c r="D70" s="168"/>
      <c r="E70" s="104"/>
    </row>
    <row r="71" spans="1:5" s="176" customFormat="1" ht="12" customHeight="1">
      <c r="A71" s="12" t="s">
        <v>433</v>
      </c>
      <c r="B71" s="178" t="s">
        <v>398</v>
      </c>
      <c r="C71" s="168"/>
      <c r="D71" s="168"/>
      <c r="E71" s="104"/>
    </row>
    <row r="72" spans="1:5" s="176" customFormat="1" ht="12" customHeight="1" thickBot="1">
      <c r="A72" s="14" t="s">
        <v>434</v>
      </c>
      <c r="B72" s="222" t="s">
        <v>542</v>
      </c>
      <c r="C72" s="168"/>
      <c r="D72" s="168"/>
      <c r="E72" s="104"/>
    </row>
    <row r="73" spans="1:5" s="176" customFormat="1" ht="12" customHeight="1" thickBot="1">
      <c r="A73" s="218" t="s">
        <v>400</v>
      </c>
      <c r="B73" s="107" t="s">
        <v>401</v>
      </c>
      <c r="C73" s="164">
        <f>SUM(C74:C77)</f>
        <v>0</v>
      </c>
      <c r="D73" s="164">
        <f>SUM(D74:D77)</f>
        <v>0</v>
      </c>
      <c r="E73" s="100">
        <f>SUM(E74:E77)</f>
        <v>0</v>
      </c>
    </row>
    <row r="74" spans="1:5" s="176" customFormat="1" ht="12" customHeight="1">
      <c r="A74" s="13" t="s">
        <v>278</v>
      </c>
      <c r="B74" s="301" t="s">
        <v>402</v>
      </c>
      <c r="C74" s="168"/>
      <c r="D74" s="168"/>
      <c r="E74" s="104"/>
    </row>
    <row r="75" spans="1:5" s="176" customFormat="1" ht="12" customHeight="1">
      <c r="A75" s="12" t="s">
        <v>279</v>
      </c>
      <c r="B75" s="301" t="s">
        <v>670</v>
      </c>
      <c r="C75" s="168"/>
      <c r="D75" s="168"/>
      <c r="E75" s="104"/>
    </row>
    <row r="76" spans="1:5" s="176" customFormat="1" ht="12" customHeight="1">
      <c r="A76" s="12" t="s">
        <v>425</v>
      </c>
      <c r="B76" s="301" t="s">
        <v>403</v>
      </c>
      <c r="C76" s="168"/>
      <c r="D76" s="168"/>
      <c r="E76" s="104"/>
    </row>
    <row r="77" spans="1:5" s="176" customFormat="1" ht="12" customHeight="1" thickBot="1">
      <c r="A77" s="14" t="s">
        <v>426</v>
      </c>
      <c r="B77" s="302" t="s">
        <v>671</v>
      </c>
      <c r="C77" s="168"/>
      <c r="D77" s="168"/>
      <c r="E77" s="104"/>
    </row>
    <row r="78" spans="1:5" s="176" customFormat="1" ht="12" customHeight="1" thickBot="1">
      <c r="A78" s="218" t="s">
        <v>404</v>
      </c>
      <c r="B78" s="107" t="s">
        <v>405</v>
      </c>
      <c r="C78" s="164">
        <f>SUM(C79:C80)</f>
        <v>0</v>
      </c>
      <c r="D78" s="164">
        <f>SUM(D79:D80)</f>
        <v>0</v>
      </c>
      <c r="E78" s="100">
        <f>SUM(E79:E80)</f>
        <v>0</v>
      </c>
    </row>
    <row r="79" spans="1:5" s="176" customFormat="1" ht="12" customHeight="1">
      <c r="A79" s="13" t="s">
        <v>427</v>
      </c>
      <c r="B79" s="177" t="s">
        <v>406</v>
      </c>
      <c r="C79" s="168"/>
      <c r="D79" s="168"/>
      <c r="E79" s="104"/>
    </row>
    <row r="80" spans="1:5" s="176" customFormat="1" ht="12" customHeight="1" thickBot="1">
      <c r="A80" s="14" t="s">
        <v>428</v>
      </c>
      <c r="B80" s="109" t="s">
        <v>407</v>
      </c>
      <c r="C80" s="168"/>
      <c r="D80" s="168"/>
      <c r="E80" s="104"/>
    </row>
    <row r="81" spans="1:5" s="176" customFormat="1" ht="12" customHeight="1" thickBot="1">
      <c r="A81" s="218" t="s">
        <v>408</v>
      </c>
      <c r="B81" s="107" t="s">
        <v>409</v>
      </c>
      <c r="C81" s="164">
        <f>SUM(C82:C84)</f>
        <v>0</v>
      </c>
      <c r="D81" s="164">
        <f>SUM(D82:D84)</f>
        <v>0</v>
      </c>
      <c r="E81" s="100">
        <f>SUM(E82:E84)</f>
        <v>0</v>
      </c>
    </row>
    <row r="82" spans="1:5" s="176" customFormat="1" ht="12" customHeight="1">
      <c r="A82" s="13" t="s">
        <v>429</v>
      </c>
      <c r="B82" s="177" t="s">
        <v>410</v>
      </c>
      <c r="C82" s="168"/>
      <c r="D82" s="168"/>
      <c r="E82" s="104"/>
    </row>
    <row r="83" spans="1:5" s="176" customFormat="1" ht="12" customHeight="1">
      <c r="A83" s="12" t="s">
        <v>430</v>
      </c>
      <c r="B83" s="178" t="s">
        <v>411</v>
      </c>
      <c r="C83" s="168"/>
      <c r="D83" s="168"/>
      <c r="E83" s="104"/>
    </row>
    <row r="84" spans="1:5" s="176" customFormat="1" ht="12" customHeight="1" thickBot="1">
      <c r="A84" s="14" t="s">
        <v>431</v>
      </c>
      <c r="B84" s="109" t="s">
        <v>672</v>
      </c>
      <c r="C84" s="168"/>
      <c r="D84" s="168"/>
      <c r="E84" s="104"/>
    </row>
    <row r="85" spans="1:5" s="176" customFormat="1" ht="12" customHeight="1" thickBot="1">
      <c r="A85" s="218" t="s">
        <v>412</v>
      </c>
      <c r="B85" s="107" t="s">
        <v>432</v>
      </c>
      <c r="C85" s="164">
        <f>SUM(C86:C89)</f>
        <v>0</v>
      </c>
      <c r="D85" s="164">
        <f>SUM(D86:D89)</f>
        <v>0</v>
      </c>
      <c r="E85" s="100">
        <f>SUM(E86:E89)</f>
        <v>0</v>
      </c>
    </row>
    <row r="86" spans="1:5" s="176" customFormat="1" ht="12" customHeight="1">
      <c r="A86" s="181" t="s">
        <v>413</v>
      </c>
      <c r="B86" s="177" t="s">
        <v>414</v>
      </c>
      <c r="C86" s="168"/>
      <c r="D86" s="168"/>
      <c r="E86" s="104"/>
    </row>
    <row r="87" spans="1:5" s="176" customFormat="1" ht="12" customHeight="1">
      <c r="A87" s="182" t="s">
        <v>415</v>
      </c>
      <c r="B87" s="178" t="s">
        <v>416</v>
      </c>
      <c r="C87" s="168"/>
      <c r="D87" s="168"/>
      <c r="E87" s="104"/>
    </row>
    <row r="88" spans="1:5" s="176" customFormat="1" ht="12" customHeight="1">
      <c r="A88" s="182" t="s">
        <v>417</v>
      </c>
      <c r="B88" s="178" t="s">
        <v>418</v>
      </c>
      <c r="C88" s="168"/>
      <c r="D88" s="168"/>
      <c r="E88" s="104"/>
    </row>
    <row r="89" spans="1:5" s="176" customFormat="1" ht="12" customHeight="1" thickBot="1">
      <c r="A89" s="183" t="s">
        <v>419</v>
      </c>
      <c r="B89" s="109" t="s">
        <v>420</v>
      </c>
      <c r="C89" s="168"/>
      <c r="D89" s="168"/>
      <c r="E89" s="104"/>
    </row>
    <row r="90" spans="1:5" s="176" customFormat="1" ht="12" customHeight="1" thickBot="1">
      <c r="A90" s="218" t="s">
        <v>421</v>
      </c>
      <c r="B90" s="107" t="s">
        <v>556</v>
      </c>
      <c r="C90" s="220"/>
      <c r="D90" s="220"/>
      <c r="E90" s="221"/>
    </row>
    <row r="91" spans="1:5" s="176" customFormat="1" ht="13.5" customHeight="1" thickBot="1">
      <c r="A91" s="218" t="s">
        <v>423</v>
      </c>
      <c r="B91" s="107" t="s">
        <v>422</v>
      </c>
      <c r="C91" s="220"/>
      <c r="D91" s="220"/>
      <c r="E91" s="221"/>
    </row>
    <row r="92" spans="1:5" s="176" customFormat="1" ht="15.75" customHeight="1" thickBot="1">
      <c r="A92" s="218" t="s">
        <v>435</v>
      </c>
      <c r="B92" s="184" t="s">
        <v>559</v>
      </c>
      <c r="C92" s="170">
        <f>+C69+C73+C78+C81+C85+C91+C90</f>
        <v>0</v>
      </c>
      <c r="D92" s="170">
        <f>+D69+D73+D78+D81+D85+D91+D90</f>
        <v>0</v>
      </c>
      <c r="E92" s="206">
        <f>+E69+E73+E78+E81+E85+E91+E90</f>
        <v>0</v>
      </c>
    </row>
    <row r="93" spans="1:5" s="176" customFormat="1" ht="25.5" customHeight="1" thickBot="1">
      <c r="A93" s="219" t="s">
        <v>558</v>
      </c>
      <c r="B93" s="185" t="s">
        <v>560</v>
      </c>
      <c r="C93" s="170">
        <f>+C68+C92</f>
        <v>0</v>
      </c>
      <c r="D93" s="170">
        <f>+D68+D92</f>
        <v>0</v>
      </c>
      <c r="E93" s="206">
        <f>+E68+E92</f>
        <v>0</v>
      </c>
    </row>
    <row r="94" spans="1:3" s="176" customFormat="1" ht="15" customHeight="1">
      <c r="A94" s="3"/>
      <c r="B94" s="4"/>
      <c r="C94" s="111"/>
    </row>
    <row r="95" spans="1:5" ht="16.5" customHeight="1">
      <c r="A95" s="875" t="s">
        <v>214</v>
      </c>
      <c r="B95" s="875"/>
      <c r="C95" s="875"/>
      <c r="D95" s="875"/>
      <c r="E95" s="875"/>
    </row>
    <row r="96" spans="1:5" s="186" customFormat="1" ht="16.5" customHeight="1" thickBot="1">
      <c r="A96" s="877" t="s">
        <v>281</v>
      </c>
      <c r="B96" s="877"/>
      <c r="C96" s="58"/>
      <c r="E96" s="58" t="str">
        <f>E7</f>
        <v> Forintban!</v>
      </c>
    </row>
    <row r="97" spans="1:5" ht="15.75">
      <c r="A97" s="866" t="s">
        <v>231</v>
      </c>
      <c r="B97" s="868" t="s">
        <v>600</v>
      </c>
      <c r="C97" s="870" t="str">
        <f>+CONCATENATE(LEFT(Z_ÖSSZEFÜGGÉSEK!A6,4),". évi")</f>
        <v>2019. évi</v>
      </c>
      <c r="D97" s="871"/>
      <c r="E97" s="872"/>
    </row>
    <row r="98" spans="1:5" ht="24.75" thickBot="1">
      <c r="A98" s="867"/>
      <c r="B98" s="869"/>
      <c r="C98" s="243" t="s">
        <v>598</v>
      </c>
      <c r="D98" s="242" t="s">
        <v>599</v>
      </c>
      <c r="E98" s="303" t="str">
        <f>CONCATENATE(E9)</f>
        <v>2019. XII. 31.
teljesítés</v>
      </c>
    </row>
    <row r="99" spans="1:5" s="175" customFormat="1" ht="12" customHeight="1" thickBot="1">
      <c r="A99" s="25" t="s">
        <v>565</v>
      </c>
      <c r="B99" s="26" t="s">
        <v>566</v>
      </c>
      <c r="C99" s="26" t="s">
        <v>567</v>
      </c>
      <c r="D99" s="26" t="s">
        <v>569</v>
      </c>
      <c r="E99" s="254" t="s">
        <v>568</v>
      </c>
    </row>
    <row r="100" spans="1:5" ht="12" customHeight="1" thickBot="1">
      <c r="A100" s="20" t="s">
        <v>186</v>
      </c>
      <c r="B100" s="24" t="s">
        <v>518</v>
      </c>
      <c r="C100" s="163">
        <f>C101+C102+C103+C104+C105+C118</f>
        <v>0</v>
      </c>
      <c r="D100" s="163">
        <f>D101+D102+D103+D104+D105+D118</f>
        <v>0</v>
      </c>
      <c r="E100" s="229">
        <f>E101+E102+E103+E104+E105+E118</f>
        <v>0</v>
      </c>
    </row>
    <row r="101" spans="1:5" ht="12" customHeight="1">
      <c r="A101" s="15" t="s">
        <v>243</v>
      </c>
      <c r="B101" s="8" t="s">
        <v>215</v>
      </c>
      <c r="C101" s="236"/>
      <c r="D101" s="236"/>
      <c r="E101" s="230"/>
    </row>
    <row r="102" spans="1:5" ht="12" customHeight="1">
      <c r="A102" s="12" t="s">
        <v>244</v>
      </c>
      <c r="B102" s="6" t="s">
        <v>302</v>
      </c>
      <c r="C102" s="165"/>
      <c r="D102" s="165"/>
      <c r="E102" s="101"/>
    </row>
    <row r="103" spans="1:5" ht="12" customHeight="1">
      <c r="A103" s="12" t="s">
        <v>245</v>
      </c>
      <c r="B103" s="6" t="s">
        <v>270</v>
      </c>
      <c r="C103" s="167"/>
      <c r="D103" s="167"/>
      <c r="E103" s="103"/>
    </row>
    <row r="104" spans="1:5" ht="12" customHeight="1">
      <c r="A104" s="12" t="s">
        <v>246</v>
      </c>
      <c r="B104" s="9" t="s">
        <v>303</v>
      </c>
      <c r="C104" s="167"/>
      <c r="D104" s="167"/>
      <c r="E104" s="103"/>
    </row>
    <row r="105" spans="1:5" ht="12" customHeight="1">
      <c r="A105" s="12" t="s">
        <v>255</v>
      </c>
      <c r="B105" s="17" t="s">
        <v>304</v>
      </c>
      <c r="C105" s="167"/>
      <c r="D105" s="167"/>
      <c r="E105" s="103"/>
    </row>
    <row r="106" spans="1:5" ht="12" customHeight="1">
      <c r="A106" s="12" t="s">
        <v>247</v>
      </c>
      <c r="B106" s="6" t="s">
        <v>523</v>
      </c>
      <c r="C106" s="167"/>
      <c r="D106" s="167"/>
      <c r="E106" s="103"/>
    </row>
    <row r="107" spans="1:5" ht="12" customHeight="1">
      <c r="A107" s="12" t="s">
        <v>248</v>
      </c>
      <c r="B107" s="62" t="s">
        <v>522</v>
      </c>
      <c r="C107" s="167"/>
      <c r="D107" s="167"/>
      <c r="E107" s="103"/>
    </row>
    <row r="108" spans="1:5" ht="12" customHeight="1">
      <c r="A108" s="12" t="s">
        <v>256</v>
      </c>
      <c r="B108" s="62" t="s">
        <v>521</v>
      </c>
      <c r="C108" s="167"/>
      <c r="D108" s="167"/>
      <c r="E108" s="103"/>
    </row>
    <row r="109" spans="1:5" ht="12" customHeight="1">
      <c r="A109" s="12" t="s">
        <v>257</v>
      </c>
      <c r="B109" s="60" t="s">
        <v>438</v>
      </c>
      <c r="C109" s="167"/>
      <c r="D109" s="167"/>
      <c r="E109" s="103"/>
    </row>
    <row r="110" spans="1:5" ht="12" customHeight="1">
      <c r="A110" s="12" t="s">
        <v>258</v>
      </c>
      <c r="B110" s="61" t="s">
        <v>439</v>
      </c>
      <c r="C110" s="167"/>
      <c r="D110" s="167"/>
      <c r="E110" s="103"/>
    </row>
    <row r="111" spans="1:5" ht="12" customHeight="1">
      <c r="A111" s="12" t="s">
        <v>259</v>
      </c>
      <c r="B111" s="61" t="s">
        <v>440</v>
      </c>
      <c r="C111" s="167"/>
      <c r="D111" s="167"/>
      <c r="E111" s="103"/>
    </row>
    <row r="112" spans="1:5" ht="12" customHeight="1">
      <c r="A112" s="12" t="s">
        <v>261</v>
      </c>
      <c r="B112" s="60" t="s">
        <v>441</v>
      </c>
      <c r="C112" s="167"/>
      <c r="D112" s="167"/>
      <c r="E112" s="103"/>
    </row>
    <row r="113" spans="1:5" ht="12" customHeight="1">
      <c r="A113" s="12" t="s">
        <v>305</v>
      </c>
      <c r="B113" s="60" t="s">
        <v>442</v>
      </c>
      <c r="C113" s="167"/>
      <c r="D113" s="167"/>
      <c r="E113" s="103"/>
    </row>
    <row r="114" spans="1:5" ht="12" customHeight="1">
      <c r="A114" s="12" t="s">
        <v>436</v>
      </c>
      <c r="B114" s="61" t="s">
        <v>443</v>
      </c>
      <c r="C114" s="167"/>
      <c r="D114" s="167"/>
      <c r="E114" s="103"/>
    </row>
    <row r="115" spans="1:5" ht="12" customHeight="1">
      <c r="A115" s="11" t="s">
        <v>437</v>
      </c>
      <c r="B115" s="62" t="s">
        <v>444</v>
      </c>
      <c r="C115" s="167"/>
      <c r="D115" s="167"/>
      <c r="E115" s="103"/>
    </row>
    <row r="116" spans="1:5" ht="12" customHeight="1">
      <c r="A116" s="12" t="s">
        <v>519</v>
      </c>
      <c r="B116" s="62" t="s">
        <v>445</v>
      </c>
      <c r="C116" s="167"/>
      <c r="D116" s="167"/>
      <c r="E116" s="103"/>
    </row>
    <row r="117" spans="1:5" ht="12" customHeight="1">
      <c r="A117" s="14" t="s">
        <v>520</v>
      </c>
      <c r="B117" s="62" t="s">
        <v>446</v>
      </c>
      <c r="C117" s="167"/>
      <c r="D117" s="167"/>
      <c r="E117" s="103"/>
    </row>
    <row r="118" spans="1:5" ht="12" customHeight="1">
      <c r="A118" s="12" t="s">
        <v>524</v>
      </c>
      <c r="B118" s="9" t="s">
        <v>216</v>
      </c>
      <c r="C118" s="165"/>
      <c r="D118" s="165"/>
      <c r="E118" s="101"/>
    </row>
    <row r="119" spans="1:5" ht="12" customHeight="1">
      <c r="A119" s="12" t="s">
        <v>525</v>
      </c>
      <c r="B119" s="6" t="s">
        <v>527</v>
      </c>
      <c r="C119" s="165"/>
      <c r="D119" s="165"/>
      <c r="E119" s="101"/>
    </row>
    <row r="120" spans="1:5" ht="12" customHeight="1" thickBot="1">
      <c r="A120" s="16" t="s">
        <v>526</v>
      </c>
      <c r="B120" s="225" t="s">
        <v>528</v>
      </c>
      <c r="C120" s="237"/>
      <c r="D120" s="237"/>
      <c r="E120" s="231"/>
    </row>
    <row r="121" spans="1:5" ht="12" customHeight="1" thickBot="1">
      <c r="A121" s="223" t="s">
        <v>187</v>
      </c>
      <c r="B121" s="224" t="s">
        <v>447</v>
      </c>
      <c r="C121" s="238">
        <f>+C122+C124+C126</f>
        <v>0</v>
      </c>
      <c r="D121" s="164">
        <f>+D122+D124+D126</f>
        <v>0</v>
      </c>
      <c r="E121" s="232">
        <f>+E122+E124+E126</f>
        <v>0</v>
      </c>
    </row>
    <row r="122" spans="1:5" ht="12" customHeight="1">
      <c r="A122" s="13" t="s">
        <v>249</v>
      </c>
      <c r="B122" s="6" t="s">
        <v>323</v>
      </c>
      <c r="C122" s="166"/>
      <c r="D122" s="247"/>
      <c r="E122" s="102"/>
    </row>
    <row r="123" spans="1:5" ht="12" customHeight="1">
      <c r="A123" s="13" t="s">
        <v>250</v>
      </c>
      <c r="B123" s="10" t="s">
        <v>451</v>
      </c>
      <c r="C123" s="166"/>
      <c r="D123" s="247"/>
      <c r="E123" s="102"/>
    </row>
    <row r="124" spans="1:5" ht="12" customHeight="1">
      <c r="A124" s="13" t="s">
        <v>251</v>
      </c>
      <c r="B124" s="10" t="s">
        <v>306</v>
      </c>
      <c r="C124" s="165"/>
      <c r="D124" s="248"/>
      <c r="E124" s="101"/>
    </row>
    <row r="125" spans="1:5" ht="12" customHeight="1">
      <c r="A125" s="13" t="s">
        <v>252</v>
      </c>
      <c r="B125" s="10" t="s">
        <v>452</v>
      </c>
      <c r="C125" s="165"/>
      <c r="D125" s="248"/>
      <c r="E125" s="101"/>
    </row>
    <row r="126" spans="1:5" ht="12" customHeight="1">
      <c r="A126" s="13" t="s">
        <v>253</v>
      </c>
      <c r="B126" s="109" t="s">
        <v>325</v>
      </c>
      <c r="C126" s="165"/>
      <c r="D126" s="248"/>
      <c r="E126" s="101"/>
    </row>
    <row r="127" spans="1:5" ht="12" customHeight="1">
      <c r="A127" s="13" t="s">
        <v>260</v>
      </c>
      <c r="B127" s="108" t="s">
        <v>511</v>
      </c>
      <c r="C127" s="165"/>
      <c r="D127" s="248"/>
      <c r="E127" s="101"/>
    </row>
    <row r="128" spans="1:5" ht="12" customHeight="1">
      <c r="A128" s="13" t="s">
        <v>262</v>
      </c>
      <c r="B128" s="173" t="s">
        <v>457</v>
      </c>
      <c r="C128" s="165"/>
      <c r="D128" s="248"/>
      <c r="E128" s="101"/>
    </row>
    <row r="129" spans="1:5" ht="15.75">
      <c r="A129" s="13" t="s">
        <v>307</v>
      </c>
      <c r="B129" s="61" t="s">
        <v>440</v>
      </c>
      <c r="C129" s="165"/>
      <c r="D129" s="248"/>
      <c r="E129" s="101"/>
    </row>
    <row r="130" spans="1:5" ht="12" customHeight="1">
      <c r="A130" s="13" t="s">
        <v>308</v>
      </c>
      <c r="B130" s="61" t="s">
        <v>456</v>
      </c>
      <c r="C130" s="165"/>
      <c r="D130" s="248"/>
      <c r="E130" s="101"/>
    </row>
    <row r="131" spans="1:5" ht="12" customHeight="1">
      <c r="A131" s="13" t="s">
        <v>309</v>
      </c>
      <c r="B131" s="61" t="s">
        <v>455</v>
      </c>
      <c r="C131" s="165"/>
      <c r="D131" s="248"/>
      <c r="E131" s="101"/>
    </row>
    <row r="132" spans="1:5" ht="12" customHeight="1">
      <c r="A132" s="13" t="s">
        <v>448</v>
      </c>
      <c r="B132" s="61" t="s">
        <v>443</v>
      </c>
      <c r="C132" s="165"/>
      <c r="D132" s="248"/>
      <c r="E132" s="101"/>
    </row>
    <row r="133" spans="1:5" ht="12" customHeight="1">
      <c r="A133" s="13" t="s">
        <v>449</v>
      </c>
      <c r="B133" s="61" t="s">
        <v>454</v>
      </c>
      <c r="C133" s="165"/>
      <c r="D133" s="248"/>
      <c r="E133" s="101"/>
    </row>
    <row r="134" spans="1:5" ht="16.5" thickBot="1">
      <c r="A134" s="11" t="s">
        <v>450</v>
      </c>
      <c r="B134" s="61" t="s">
        <v>453</v>
      </c>
      <c r="C134" s="167"/>
      <c r="D134" s="249"/>
      <c r="E134" s="103"/>
    </row>
    <row r="135" spans="1:5" ht="12" customHeight="1" thickBot="1">
      <c r="A135" s="18" t="s">
        <v>188</v>
      </c>
      <c r="B135" s="54" t="s">
        <v>529</v>
      </c>
      <c r="C135" s="164">
        <f>+C100+C121</f>
        <v>0</v>
      </c>
      <c r="D135" s="246">
        <f>+D100+D121</f>
        <v>0</v>
      </c>
      <c r="E135" s="100">
        <f>+E100+E121</f>
        <v>0</v>
      </c>
    </row>
    <row r="136" spans="1:5" ht="12" customHeight="1" thickBot="1">
      <c r="A136" s="18" t="s">
        <v>189</v>
      </c>
      <c r="B136" s="54" t="s">
        <v>601</v>
      </c>
      <c r="C136" s="164">
        <f>+C137+C138+C139</f>
        <v>0</v>
      </c>
      <c r="D136" s="246">
        <f>+D137+D138+D139</f>
        <v>0</v>
      </c>
      <c r="E136" s="100">
        <f>+E137+E138+E139</f>
        <v>0</v>
      </c>
    </row>
    <row r="137" spans="1:5" ht="12" customHeight="1">
      <c r="A137" s="13" t="s">
        <v>357</v>
      </c>
      <c r="B137" s="10" t="s">
        <v>537</v>
      </c>
      <c r="C137" s="165"/>
      <c r="D137" s="248"/>
      <c r="E137" s="101"/>
    </row>
    <row r="138" spans="1:5" ht="12" customHeight="1">
      <c r="A138" s="13" t="s">
        <v>358</v>
      </c>
      <c r="B138" s="10" t="s">
        <v>538</v>
      </c>
      <c r="C138" s="165"/>
      <c r="D138" s="248"/>
      <c r="E138" s="101"/>
    </row>
    <row r="139" spans="1:5" ht="12" customHeight="1" thickBot="1">
      <c r="A139" s="11" t="s">
        <v>359</v>
      </c>
      <c r="B139" s="10" t="s">
        <v>539</v>
      </c>
      <c r="C139" s="165"/>
      <c r="D139" s="248"/>
      <c r="E139" s="101"/>
    </row>
    <row r="140" spans="1:5" ht="12" customHeight="1" thickBot="1">
      <c r="A140" s="18" t="s">
        <v>190</v>
      </c>
      <c r="B140" s="54" t="s">
        <v>531</v>
      </c>
      <c r="C140" s="164">
        <f>SUM(C141:C146)</f>
        <v>0</v>
      </c>
      <c r="D140" s="246">
        <f>SUM(D141:D146)</f>
        <v>0</v>
      </c>
      <c r="E140" s="100">
        <f>SUM(E141:E146)</f>
        <v>0</v>
      </c>
    </row>
    <row r="141" spans="1:5" ht="12" customHeight="1">
      <c r="A141" s="13" t="s">
        <v>236</v>
      </c>
      <c r="B141" s="7" t="s">
        <v>540</v>
      </c>
      <c r="C141" s="165"/>
      <c r="D141" s="248"/>
      <c r="E141" s="101"/>
    </row>
    <row r="142" spans="1:5" ht="12" customHeight="1">
      <c r="A142" s="13" t="s">
        <v>237</v>
      </c>
      <c r="B142" s="7" t="s">
        <v>532</v>
      </c>
      <c r="C142" s="165"/>
      <c r="D142" s="248"/>
      <c r="E142" s="101"/>
    </row>
    <row r="143" spans="1:5" ht="12" customHeight="1">
      <c r="A143" s="13" t="s">
        <v>238</v>
      </c>
      <c r="B143" s="7" t="s">
        <v>533</v>
      </c>
      <c r="C143" s="165"/>
      <c r="D143" s="248"/>
      <c r="E143" s="101"/>
    </row>
    <row r="144" spans="1:5" ht="12" customHeight="1">
      <c r="A144" s="13" t="s">
        <v>294</v>
      </c>
      <c r="B144" s="7" t="s">
        <v>534</v>
      </c>
      <c r="C144" s="165"/>
      <c r="D144" s="248"/>
      <c r="E144" s="101"/>
    </row>
    <row r="145" spans="1:5" ht="12" customHeight="1">
      <c r="A145" s="13" t="s">
        <v>295</v>
      </c>
      <c r="B145" s="7" t="s">
        <v>535</v>
      </c>
      <c r="C145" s="165"/>
      <c r="D145" s="248"/>
      <c r="E145" s="101"/>
    </row>
    <row r="146" spans="1:5" ht="12" customHeight="1" thickBot="1">
      <c r="A146" s="16" t="s">
        <v>296</v>
      </c>
      <c r="B146" s="309" t="s">
        <v>536</v>
      </c>
      <c r="C146" s="237"/>
      <c r="D146" s="286"/>
      <c r="E146" s="231"/>
    </row>
    <row r="147" spans="1:5" ht="12" customHeight="1" thickBot="1">
      <c r="A147" s="18" t="s">
        <v>191</v>
      </c>
      <c r="B147" s="54" t="s">
        <v>544</v>
      </c>
      <c r="C147" s="170">
        <f>+C148+C149+C150+C151</f>
        <v>0</v>
      </c>
      <c r="D147" s="250">
        <f>+D148+D149+D150+D151</f>
        <v>0</v>
      </c>
      <c r="E147" s="206">
        <f>+E148+E149+E150+E151</f>
        <v>0</v>
      </c>
    </row>
    <row r="148" spans="1:5" ht="12" customHeight="1">
      <c r="A148" s="13" t="s">
        <v>239</v>
      </c>
      <c r="B148" s="7" t="s">
        <v>458</v>
      </c>
      <c r="C148" s="165"/>
      <c r="D148" s="248"/>
      <c r="E148" s="101"/>
    </row>
    <row r="149" spans="1:5" ht="12" customHeight="1">
      <c r="A149" s="13" t="s">
        <v>240</v>
      </c>
      <c r="B149" s="7" t="s">
        <v>459</v>
      </c>
      <c r="C149" s="165"/>
      <c r="D149" s="248"/>
      <c r="E149" s="101"/>
    </row>
    <row r="150" spans="1:5" ht="12" customHeight="1">
      <c r="A150" s="13" t="s">
        <v>375</v>
      </c>
      <c r="B150" s="7" t="s">
        <v>545</v>
      </c>
      <c r="C150" s="165"/>
      <c r="D150" s="248"/>
      <c r="E150" s="101"/>
    </row>
    <row r="151" spans="1:5" ht="12" customHeight="1" thickBot="1">
      <c r="A151" s="11" t="s">
        <v>376</v>
      </c>
      <c r="B151" s="5" t="s">
        <v>475</v>
      </c>
      <c r="C151" s="165"/>
      <c r="D151" s="248"/>
      <c r="E151" s="101"/>
    </row>
    <row r="152" spans="1:5" ht="12" customHeight="1" thickBot="1">
      <c r="A152" s="18" t="s">
        <v>192</v>
      </c>
      <c r="B152" s="54" t="s">
        <v>546</v>
      </c>
      <c r="C152" s="239">
        <f>SUM(C153:C157)</f>
        <v>0</v>
      </c>
      <c r="D152" s="251">
        <f>SUM(D153:D157)</f>
        <v>0</v>
      </c>
      <c r="E152" s="233">
        <f>SUM(E153:E157)</f>
        <v>0</v>
      </c>
    </row>
    <row r="153" spans="1:5" ht="12" customHeight="1">
      <c r="A153" s="13" t="s">
        <v>241</v>
      </c>
      <c r="B153" s="7" t="s">
        <v>541</v>
      </c>
      <c r="C153" s="165"/>
      <c r="D153" s="248"/>
      <c r="E153" s="101"/>
    </row>
    <row r="154" spans="1:5" ht="12" customHeight="1">
      <c r="A154" s="13" t="s">
        <v>242</v>
      </c>
      <c r="B154" s="7" t="s">
        <v>548</v>
      </c>
      <c r="C154" s="165"/>
      <c r="D154" s="248"/>
      <c r="E154" s="101"/>
    </row>
    <row r="155" spans="1:5" ht="12" customHeight="1">
      <c r="A155" s="13" t="s">
        <v>387</v>
      </c>
      <c r="B155" s="7" t="s">
        <v>543</v>
      </c>
      <c r="C155" s="165"/>
      <c r="D155" s="248"/>
      <c r="E155" s="101"/>
    </row>
    <row r="156" spans="1:5" ht="12" customHeight="1">
      <c r="A156" s="13" t="s">
        <v>388</v>
      </c>
      <c r="B156" s="7" t="s">
        <v>549</v>
      </c>
      <c r="C156" s="165"/>
      <c r="D156" s="248"/>
      <c r="E156" s="101"/>
    </row>
    <row r="157" spans="1:5" ht="12" customHeight="1" thickBot="1">
      <c r="A157" s="13" t="s">
        <v>547</v>
      </c>
      <c r="B157" s="7" t="s">
        <v>550</v>
      </c>
      <c r="C157" s="165"/>
      <c r="D157" s="248"/>
      <c r="E157" s="101"/>
    </row>
    <row r="158" spans="1:5" ht="12" customHeight="1" thickBot="1">
      <c r="A158" s="18" t="s">
        <v>193</v>
      </c>
      <c r="B158" s="54" t="s">
        <v>551</v>
      </c>
      <c r="C158" s="240"/>
      <c r="D158" s="252"/>
      <c r="E158" s="234"/>
    </row>
    <row r="159" spans="1:5" ht="12" customHeight="1" thickBot="1">
      <c r="A159" s="18" t="s">
        <v>194</v>
      </c>
      <c r="B159" s="54" t="s">
        <v>552</v>
      </c>
      <c r="C159" s="240"/>
      <c r="D159" s="252"/>
      <c r="E159" s="234"/>
    </row>
    <row r="160" spans="1:9" ht="15" customHeight="1" thickBot="1">
      <c r="A160" s="18" t="s">
        <v>195</v>
      </c>
      <c r="B160" s="54" t="s">
        <v>554</v>
      </c>
      <c r="C160" s="241">
        <f>+C136+C140+C147+C152+C158+C159</f>
        <v>0</v>
      </c>
      <c r="D160" s="253">
        <f>+D136+D140+D147+D152+D158+D159</f>
        <v>0</v>
      </c>
      <c r="E160" s="235">
        <f>+E136+E140+E147+E152+E158+E159</f>
        <v>0</v>
      </c>
      <c r="F160" s="187"/>
      <c r="G160" s="188"/>
      <c r="H160" s="188"/>
      <c r="I160" s="188"/>
    </row>
    <row r="161" spans="1:5" s="176" customFormat="1" ht="12.75" customHeight="1" thickBot="1">
      <c r="A161" s="110" t="s">
        <v>196</v>
      </c>
      <c r="B161" s="151" t="s">
        <v>553</v>
      </c>
      <c r="C161" s="241">
        <f>+C135+C160</f>
        <v>0</v>
      </c>
      <c r="D161" s="253">
        <f>+D135+D160</f>
        <v>0</v>
      </c>
      <c r="E161" s="235">
        <f>+E135+E160</f>
        <v>0</v>
      </c>
    </row>
    <row r="162" spans="3:4" ht="15.75">
      <c r="C162" s="629">
        <f>C93-C161</f>
        <v>0</v>
      </c>
      <c r="D162" s="629">
        <f>D93-D161</f>
        <v>0</v>
      </c>
    </row>
    <row r="163" spans="1:5" ht="15.75">
      <c r="A163" s="873" t="s">
        <v>460</v>
      </c>
      <c r="B163" s="873"/>
      <c r="C163" s="873"/>
      <c r="D163" s="873"/>
      <c r="E163" s="873"/>
    </row>
    <row r="164" spans="1:5" ht="15" customHeight="1" thickBot="1">
      <c r="A164" s="865" t="s">
        <v>282</v>
      </c>
      <c r="B164" s="865"/>
      <c r="C164" s="112"/>
      <c r="E164" s="112" t="str">
        <f>E96</f>
        <v> Forintban!</v>
      </c>
    </row>
    <row r="165" spans="1:5" ht="25.5" customHeight="1" thickBot="1">
      <c r="A165" s="18">
        <v>1</v>
      </c>
      <c r="B165" s="23" t="s">
        <v>555</v>
      </c>
      <c r="C165" s="245">
        <f>+C68-C135</f>
        <v>0</v>
      </c>
      <c r="D165" s="164">
        <f>+D68-D135</f>
        <v>0</v>
      </c>
      <c r="E165" s="100">
        <f>+E68-E135</f>
        <v>0</v>
      </c>
    </row>
    <row r="166" spans="1:5" ht="32.25" customHeight="1" thickBot="1">
      <c r="A166" s="18" t="s">
        <v>187</v>
      </c>
      <c r="B166" s="23" t="s">
        <v>561</v>
      </c>
      <c r="C166" s="164">
        <f>+C92-C160</f>
        <v>0</v>
      </c>
      <c r="D166" s="164">
        <f>+D92-D160</f>
        <v>0</v>
      </c>
      <c r="E166" s="100">
        <f>+E92-E160</f>
        <v>0</v>
      </c>
    </row>
  </sheetData>
  <sheetProtection sheet="1"/>
  <mergeCells count="16">
    <mergeCell ref="A6:E6"/>
    <mergeCell ref="A7:B7"/>
    <mergeCell ref="B1:E1"/>
    <mergeCell ref="A2:E2"/>
    <mergeCell ref="A3:E3"/>
    <mergeCell ref="A4:E4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E28" sqref="E28"/>
    </sheetView>
  </sheetViews>
  <sheetFormatPr defaultColWidth="9.00390625" defaultRowHeight="12.75"/>
  <cols>
    <col min="1" max="1" width="6.875" style="33" customWidth="1"/>
    <col min="2" max="2" width="48.00390625" style="69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34"/>
      <c r="B1" s="340" t="s">
        <v>286</v>
      </c>
      <c r="C1" s="341"/>
      <c r="D1" s="341"/>
      <c r="E1" s="341"/>
      <c r="F1" s="341"/>
      <c r="G1" s="341"/>
      <c r="H1" s="341"/>
      <c r="I1" s="341"/>
      <c r="J1" s="881" t="str">
        <f>CONCATENATE("2.1. melléklet ",Z_ALAPADATOK!A7," ",Z_ALAPADATOK!B7," ",Z_ALAPADATOK!C7," ",Z_ALAPADATOK!D7," ",Z_ALAPADATOK!E7," ",Z_ALAPADATOK!F7," ",Z_ALAPADATOK!G7," ",Z_ALAPADATOK!H7)</f>
        <v>2.1. melléklet a … / 2020. ( … ) önkormányzati rendelethez</v>
      </c>
    </row>
    <row r="2" spans="1:10" ht="14.25" thickBot="1">
      <c r="A2" s="334"/>
      <c r="B2" s="333"/>
      <c r="C2" s="334"/>
      <c r="D2" s="334"/>
      <c r="E2" s="334"/>
      <c r="F2" s="334"/>
      <c r="G2" s="342"/>
      <c r="H2" s="342"/>
      <c r="I2" s="342" t="str">
        <f>CONCATENATE('Z_1.4.sz.mell.'!E7)</f>
        <v> Forintban!</v>
      </c>
      <c r="J2" s="881"/>
    </row>
    <row r="3" spans="1:10" ht="18" customHeight="1" thickBot="1">
      <c r="A3" s="878" t="s">
        <v>231</v>
      </c>
      <c r="B3" s="343" t="s">
        <v>219</v>
      </c>
      <c r="C3" s="344"/>
      <c r="D3" s="345"/>
      <c r="E3" s="345"/>
      <c r="F3" s="343" t="s">
        <v>220</v>
      </c>
      <c r="G3" s="346"/>
      <c r="H3" s="347"/>
      <c r="I3" s="348"/>
      <c r="J3" s="881"/>
    </row>
    <row r="4" spans="1:10" s="120" customFormat="1" ht="35.25" customHeight="1" thickBot="1">
      <c r="A4" s="879"/>
      <c r="B4" s="336" t="s">
        <v>224</v>
      </c>
      <c r="C4" s="306" t="str">
        <f>+CONCATENATE('Z_1.1.sz.mell.'!C8," eredeti előirányzat")</f>
        <v>2019. évi eredeti előirányzat</v>
      </c>
      <c r="D4" s="304" t="str">
        <f>+CONCATENATE('Z_1.1.sz.mell.'!C8," módosított előirányzat")</f>
        <v>2019. évi módosított előirányzat</v>
      </c>
      <c r="E4" s="304" t="str">
        <f>CONCATENATE('Z_1.4.sz.mell.'!E9)</f>
        <v>2019. XII. 31.
teljesítés</v>
      </c>
      <c r="F4" s="336" t="s">
        <v>224</v>
      </c>
      <c r="G4" s="306" t="str">
        <f>+C4</f>
        <v>2019. évi eredeti előirányzat</v>
      </c>
      <c r="H4" s="306" t="str">
        <f>+D4</f>
        <v>2019. évi módosított előirányzat</v>
      </c>
      <c r="I4" s="305" t="str">
        <f>+E4</f>
        <v>2019. XII. 31.
teljesítés</v>
      </c>
      <c r="J4" s="881"/>
    </row>
    <row r="5" spans="1:10" s="121" customFormat="1" ht="12" customHeight="1" thickBot="1">
      <c r="A5" s="349" t="s">
        <v>565</v>
      </c>
      <c r="B5" s="350" t="s">
        <v>566</v>
      </c>
      <c r="C5" s="351" t="s">
        <v>567</v>
      </c>
      <c r="D5" s="354" t="s">
        <v>569</v>
      </c>
      <c r="E5" s="354" t="s">
        <v>568</v>
      </c>
      <c r="F5" s="350" t="s">
        <v>602</v>
      </c>
      <c r="G5" s="351" t="s">
        <v>571</v>
      </c>
      <c r="H5" s="351" t="s">
        <v>572</v>
      </c>
      <c r="I5" s="355" t="s">
        <v>603</v>
      </c>
      <c r="J5" s="881"/>
    </row>
    <row r="6" spans="1:10" ht="12.75" customHeight="1">
      <c r="A6" s="122" t="s">
        <v>186</v>
      </c>
      <c r="B6" s="123" t="s">
        <v>461</v>
      </c>
      <c r="C6" s="113">
        <v>413947518</v>
      </c>
      <c r="D6" s="113">
        <v>472195561</v>
      </c>
      <c r="E6" s="113">
        <v>472195561</v>
      </c>
      <c r="F6" s="123" t="s">
        <v>225</v>
      </c>
      <c r="G6" s="113">
        <v>316868319</v>
      </c>
      <c r="H6" s="113">
        <v>485615116</v>
      </c>
      <c r="I6" s="259">
        <v>473595499</v>
      </c>
      <c r="J6" s="881"/>
    </row>
    <row r="7" spans="1:10" ht="12.75" customHeight="1">
      <c r="A7" s="124" t="s">
        <v>187</v>
      </c>
      <c r="B7" s="125" t="s">
        <v>462</v>
      </c>
      <c r="C7" s="114">
        <v>22781887</v>
      </c>
      <c r="D7" s="114">
        <v>218388896</v>
      </c>
      <c r="E7" s="114">
        <v>218388896</v>
      </c>
      <c r="F7" s="125" t="s">
        <v>302</v>
      </c>
      <c r="G7" s="114">
        <v>58142518</v>
      </c>
      <c r="H7" s="114">
        <v>76780550</v>
      </c>
      <c r="I7" s="260">
        <v>76336741</v>
      </c>
      <c r="J7" s="881"/>
    </row>
    <row r="8" spans="1:10" ht="12.75" customHeight="1">
      <c r="A8" s="124" t="s">
        <v>188</v>
      </c>
      <c r="B8" s="125" t="s">
        <v>480</v>
      </c>
      <c r="C8" s="114">
        <v>3139296</v>
      </c>
      <c r="D8" s="114">
        <v>7910590</v>
      </c>
      <c r="E8" s="114">
        <v>10211730</v>
      </c>
      <c r="F8" s="125" t="s">
        <v>328</v>
      </c>
      <c r="G8" s="114">
        <v>233405483</v>
      </c>
      <c r="H8" s="114">
        <v>289462139</v>
      </c>
      <c r="I8" s="260">
        <v>279452279</v>
      </c>
      <c r="J8" s="881"/>
    </row>
    <row r="9" spans="1:10" ht="12.75" customHeight="1">
      <c r="A9" s="124" t="s">
        <v>189</v>
      </c>
      <c r="B9" s="125" t="s">
        <v>293</v>
      </c>
      <c r="C9" s="114">
        <v>60000000</v>
      </c>
      <c r="D9" s="114">
        <v>74848030</v>
      </c>
      <c r="E9" s="114">
        <v>74848030</v>
      </c>
      <c r="F9" s="125" t="s">
        <v>303</v>
      </c>
      <c r="G9" s="114">
        <v>26630000</v>
      </c>
      <c r="H9" s="114">
        <v>40134000</v>
      </c>
      <c r="I9" s="260">
        <v>39842942</v>
      </c>
      <c r="J9" s="881"/>
    </row>
    <row r="10" spans="1:10" ht="12.75" customHeight="1">
      <c r="A10" s="124" t="s">
        <v>190</v>
      </c>
      <c r="B10" s="126" t="s">
        <v>504</v>
      </c>
      <c r="C10" s="114">
        <v>100476086</v>
      </c>
      <c r="D10" s="114">
        <v>120803856</v>
      </c>
      <c r="E10" s="114">
        <v>120803858</v>
      </c>
      <c r="F10" s="125" t="s">
        <v>304</v>
      </c>
      <c r="G10" s="114">
        <v>11166498</v>
      </c>
      <c r="H10" s="114">
        <v>20803826</v>
      </c>
      <c r="I10" s="260">
        <v>15382211</v>
      </c>
      <c r="J10" s="881"/>
    </row>
    <row r="11" spans="1:10" ht="12.75" customHeight="1">
      <c r="A11" s="124" t="s">
        <v>191</v>
      </c>
      <c r="B11" s="125" t="s">
        <v>463</v>
      </c>
      <c r="C11" s="115"/>
      <c r="D11" s="115">
        <v>352510</v>
      </c>
      <c r="E11" s="115">
        <v>352510</v>
      </c>
      <c r="F11" s="125" t="s">
        <v>216</v>
      </c>
      <c r="G11" s="114">
        <v>5000000</v>
      </c>
      <c r="H11" s="114">
        <v>177321824</v>
      </c>
      <c r="I11" s="260"/>
      <c r="J11" s="881"/>
    </row>
    <row r="12" spans="1:10" ht="12.75" customHeight="1">
      <c r="A12" s="124" t="s">
        <v>192</v>
      </c>
      <c r="B12" s="125" t="s">
        <v>562</v>
      </c>
      <c r="C12" s="114"/>
      <c r="D12" s="114"/>
      <c r="E12" s="114"/>
      <c r="F12" s="30"/>
      <c r="G12" s="114"/>
      <c r="H12" s="114"/>
      <c r="I12" s="260"/>
      <c r="J12" s="881"/>
    </row>
    <row r="13" spans="1:10" ht="12.75" customHeight="1">
      <c r="A13" s="124" t="s">
        <v>193</v>
      </c>
      <c r="B13" s="30"/>
      <c r="C13" s="114"/>
      <c r="D13" s="114"/>
      <c r="E13" s="114"/>
      <c r="F13" s="30"/>
      <c r="G13" s="114"/>
      <c r="H13" s="114"/>
      <c r="I13" s="260"/>
      <c r="J13" s="881"/>
    </row>
    <row r="14" spans="1:10" ht="12.75" customHeight="1">
      <c r="A14" s="124" t="s">
        <v>194</v>
      </c>
      <c r="B14" s="189"/>
      <c r="C14" s="115"/>
      <c r="D14" s="115"/>
      <c r="E14" s="115"/>
      <c r="F14" s="30"/>
      <c r="G14" s="114"/>
      <c r="H14" s="114"/>
      <c r="I14" s="260"/>
      <c r="J14" s="881"/>
    </row>
    <row r="15" spans="1:10" ht="12.75" customHeight="1">
      <c r="A15" s="124" t="s">
        <v>195</v>
      </c>
      <c r="B15" s="30"/>
      <c r="C15" s="114"/>
      <c r="D15" s="114"/>
      <c r="E15" s="114"/>
      <c r="F15" s="30"/>
      <c r="G15" s="114"/>
      <c r="H15" s="114"/>
      <c r="I15" s="260"/>
      <c r="J15" s="881"/>
    </row>
    <row r="16" spans="1:10" ht="12.75" customHeight="1">
      <c r="A16" s="124" t="s">
        <v>196</v>
      </c>
      <c r="B16" s="30"/>
      <c r="C16" s="114"/>
      <c r="D16" s="114"/>
      <c r="E16" s="114"/>
      <c r="F16" s="30"/>
      <c r="G16" s="114"/>
      <c r="H16" s="114"/>
      <c r="I16" s="260"/>
      <c r="J16" s="881"/>
    </row>
    <row r="17" spans="1:10" ht="12.75" customHeight="1" thickBot="1">
      <c r="A17" s="124" t="s">
        <v>197</v>
      </c>
      <c r="B17" s="35"/>
      <c r="C17" s="116"/>
      <c r="D17" s="116"/>
      <c r="E17" s="116"/>
      <c r="F17" s="30"/>
      <c r="G17" s="116"/>
      <c r="H17" s="116"/>
      <c r="I17" s="261"/>
      <c r="J17" s="881"/>
    </row>
    <row r="18" spans="1:10" ht="21.75" thickBot="1">
      <c r="A18" s="127" t="s">
        <v>198</v>
      </c>
      <c r="B18" s="55" t="s">
        <v>563</v>
      </c>
      <c r="C18" s="117">
        <f>C6+C7+C9+C10+C11+C13+C14+C15+C16+C17</f>
        <v>597205491</v>
      </c>
      <c r="D18" s="117">
        <f>D6+D7+D9+D10+D11+D13+D14+D15+D16+D17</f>
        <v>886588853</v>
      </c>
      <c r="E18" s="117">
        <f>E6+E7+E9+E10+E11+E13+E14+E15+E16+E17</f>
        <v>886588855</v>
      </c>
      <c r="F18" s="55" t="s">
        <v>466</v>
      </c>
      <c r="G18" s="117">
        <f>SUM(G6:G17)</f>
        <v>651212818</v>
      </c>
      <c r="H18" s="117">
        <f>SUM(H6:H17)</f>
        <v>1090117455</v>
      </c>
      <c r="I18" s="145">
        <f>SUM(I6:I17)</f>
        <v>884609672</v>
      </c>
      <c r="J18" s="881"/>
    </row>
    <row r="19" spans="1:10" ht="12.75" customHeight="1">
      <c r="A19" s="128" t="s">
        <v>199</v>
      </c>
      <c r="B19" s="129" t="s">
        <v>12</v>
      </c>
      <c r="C19" s="227">
        <f>+C20+C21+C22+C23</f>
        <v>69397358</v>
      </c>
      <c r="D19" s="227">
        <f>+D20+D21+D22+D23</f>
        <v>201645107</v>
      </c>
      <c r="E19" s="227">
        <f>+E20+E21+E22+E23</f>
        <v>201645107</v>
      </c>
      <c r="F19" s="130" t="s">
        <v>310</v>
      </c>
      <c r="G19" s="118"/>
      <c r="H19" s="118"/>
      <c r="I19" s="262"/>
      <c r="J19" s="881"/>
    </row>
    <row r="20" spans="1:10" ht="12.75" customHeight="1">
      <c r="A20" s="131" t="s">
        <v>200</v>
      </c>
      <c r="B20" s="130" t="s">
        <v>321</v>
      </c>
      <c r="C20" s="44">
        <v>69397358</v>
      </c>
      <c r="D20" s="44">
        <v>201645107</v>
      </c>
      <c r="E20" s="44">
        <v>201645107</v>
      </c>
      <c r="F20" s="130" t="s">
        <v>465</v>
      </c>
      <c r="G20" s="44"/>
      <c r="H20" s="44"/>
      <c r="I20" s="263"/>
      <c r="J20" s="881"/>
    </row>
    <row r="21" spans="1:10" ht="12.75" customHeight="1">
      <c r="A21" s="131" t="s">
        <v>201</v>
      </c>
      <c r="B21" s="130" t="s">
        <v>322</v>
      </c>
      <c r="C21" s="44"/>
      <c r="D21" s="44"/>
      <c r="E21" s="44"/>
      <c r="F21" s="130" t="s">
        <v>284</v>
      </c>
      <c r="G21" s="44"/>
      <c r="H21" s="44"/>
      <c r="I21" s="263"/>
      <c r="J21" s="881"/>
    </row>
    <row r="22" spans="1:10" ht="12.75" customHeight="1">
      <c r="A22" s="131" t="s">
        <v>202</v>
      </c>
      <c r="B22" s="130" t="s">
        <v>326</v>
      </c>
      <c r="C22" s="44"/>
      <c r="D22" s="44"/>
      <c r="E22" s="44"/>
      <c r="F22" s="130" t="s">
        <v>285</v>
      </c>
      <c r="G22" s="44"/>
      <c r="H22" s="44"/>
      <c r="I22" s="263"/>
      <c r="J22" s="881"/>
    </row>
    <row r="23" spans="1:10" ht="12.75" customHeight="1">
      <c r="A23" s="131" t="s">
        <v>203</v>
      </c>
      <c r="B23" s="130" t="s">
        <v>327</v>
      </c>
      <c r="C23" s="44"/>
      <c r="D23" s="44"/>
      <c r="E23" s="44"/>
      <c r="F23" s="129" t="s">
        <v>329</v>
      </c>
      <c r="G23" s="44"/>
      <c r="H23" s="44"/>
      <c r="I23" s="263"/>
      <c r="J23" s="881"/>
    </row>
    <row r="24" spans="1:10" ht="12.75" customHeight="1">
      <c r="A24" s="124" t="s">
        <v>204</v>
      </c>
      <c r="B24" s="130" t="s">
        <v>464</v>
      </c>
      <c r="C24" s="44"/>
      <c r="D24" s="44"/>
      <c r="E24" s="44"/>
      <c r="F24" s="130" t="s">
        <v>311</v>
      </c>
      <c r="G24" s="44"/>
      <c r="H24" s="44"/>
      <c r="I24" s="263"/>
      <c r="J24" s="881"/>
    </row>
    <row r="25" spans="1:10" ht="12.75" customHeight="1">
      <c r="A25" s="124" t="s">
        <v>205</v>
      </c>
      <c r="B25" s="130" t="s">
        <v>11</v>
      </c>
      <c r="C25" s="132">
        <f>C26+C27+C28</f>
        <v>0</v>
      </c>
      <c r="D25" s="132">
        <f>D26+D27+D28</f>
        <v>17273526</v>
      </c>
      <c r="E25" s="132">
        <f>E26+E27+E28</f>
        <v>17273526</v>
      </c>
      <c r="F25" s="123" t="s">
        <v>545</v>
      </c>
      <c r="G25" s="44"/>
      <c r="H25" s="44"/>
      <c r="I25" s="263"/>
      <c r="J25" s="881"/>
    </row>
    <row r="26" spans="1:10" ht="12.75" customHeight="1">
      <c r="A26" s="160" t="s">
        <v>206</v>
      </c>
      <c r="B26" s="129" t="s">
        <v>337</v>
      </c>
      <c r="C26" s="118"/>
      <c r="D26" s="118"/>
      <c r="E26" s="118"/>
      <c r="F26" s="125" t="s">
        <v>551</v>
      </c>
      <c r="G26" s="118"/>
      <c r="H26" s="118"/>
      <c r="I26" s="262"/>
      <c r="J26" s="881"/>
    </row>
    <row r="27" spans="1:10" ht="12.75" customHeight="1">
      <c r="A27" s="124" t="s">
        <v>207</v>
      </c>
      <c r="B27" s="130" t="s">
        <v>410</v>
      </c>
      <c r="C27" s="44"/>
      <c r="D27" s="44">
        <v>17273526</v>
      </c>
      <c r="E27" s="44">
        <v>17273526</v>
      </c>
      <c r="F27" s="125" t="s">
        <v>552</v>
      </c>
      <c r="G27" s="44"/>
      <c r="H27" s="44"/>
      <c r="I27" s="263"/>
      <c r="J27" s="881"/>
    </row>
    <row r="28" spans="1:10" ht="12.75" customHeight="1" thickBot="1">
      <c r="A28" s="160" t="s">
        <v>208</v>
      </c>
      <c r="B28" s="129" t="s">
        <v>422</v>
      </c>
      <c r="C28" s="118"/>
      <c r="D28" s="118"/>
      <c r="E28" s="118"/>
      <c r="F28" s="191" t="s">
        <v>459</v>
      </c>
      <c r="G28" s="118">
        <v>15390031</v>
      </c>
      <c r="H28" s="118">
        <v>15390031</v>
      </c>
      <c r="I28" s="262">
        <v>15390031</v>
      </c>
      <c r="J28" s="881"/>
    </row>
    <row r="29" spans="1:10" ht="24" customHeight="1" thickBot="1">
      <c r="A29" s="127" t="s">
        <v>209</v>
      </c>
      <c r="B29" s="55" t="s">
        <v>14</v>
      </c>
      <c r="C29" s="117">
        <f>+C19+C25</f>
        <v>69397358</v>
      </c>
      <c r="D29" s="117">
        <f>+D19+D25</f>
        <v>218918633</v>
      </c>
      <c r="E29" s="257">
        <f>+E19+E25</f>
        <v>218918633</v>
      </c>
      <c r="F29" s="55" t="s">
        <v>13</v>
      </c>
      <c r="G29" s="117">
        <f>SUM(G19:G28)</f>
        <v>15390031</v>
      </c>
      <c r="H29" s="117">
        <f>SUM(H19:H28)</f>
        <v>15390031</v>
      </c>
      <c r="I29" s="145">
        <f>SUM(I19:I28)</f>
        <v>15390031</v>
      </c>
      <c r="J29" s="881"/>
    </row>
    <row r="30" spans="1:10" ht="13.5" thickBot="1">
      <c r="A30" s="127" t="s">
        <v>210</v>
      </c>
      <c r="B30" s="133" t="s">
        <v>564</v>
      </c>
      <c r="C30" s="299">
        <f>+C18+C29</f>
        <v>666602849</v>
      </c>
      <c r="D30" s="299">
        <f>+D18+D29</f>
        <v>1105507486</v>
      </c>
      <c r="E30" s="300">
        <f>+E18+E29</f>
        <v>1105507488</v>
      </c>
      <c r="F30" s="133"/>
      <c r="G30" s="299">
        <f>+G18+G29</f>
        <v>666602849</v>
      </c>
      <c r="H30" s="299">
        <f>+H18+H29</f>
        <v>1105507486</v>
      </c>
      <c r="I30" s="300">
        <f>+I18+I29</f>
        <v>899999703</v>
      </c>
      <c r="J30" s="881"/>
    </row>
    <row r="31" spans="1:10" ht="13.5" thickBot="1">
      <c r="A31" s="127" t="s">
        <v>211</v>
      </c>
      <c r="B31" s="133" t="s">
        <v>288</v>
      </c>
      <c r="C31" s="299">
        <f>IF(C18-G18&lt;0,G18-C18,"-")</f>
        <v>54007327</v>
      </c>
      <c r="D31" s="299">
        <f>IF(D18-H18&lt;0,H18-D18,"-")</f>
        <v>203528602</v>
      </c>
      <c r="E31" s="300" t="str">
        <f>IF(E18-I18&lt;0,I18-E18,"-")</f>
        <v>-</v>
      </c>
      <c r="F31" s="133" t="s">
        <v>289</v>
      </c>
      <c r="G31" s="299" t="str">
        <f>IF(C18-G18&gt;0,C18-G18,"-")</f>
        <v>-</v>
      </c>
      <c r="H31" s="299" t="str">
        <f>IF(D18-H18&gt;0,D18-H18,"-")</f>
        <v>-</v>
      </c>
      <c r="I31" s="300">
        <f>IF(E18-I18&gt;0,E18-I18,"-")</f>
        <v>1979183</v>
      </c>
      <c r="J31" s="881"/>
    </row>
    <row r="32" spans="1:10" ht="13.5" thickBot="1">
      <c r="A32" s="127" t="s">
        <v>212</v>
      </c>
      <c r="B32" s="133" t="s">
        <v>668</v>
      </c>
      <c r="C32" s="299" t="str">
        <f>IF(C30-G30&lt;0,G30-C30,"-")</f>
        <v>-</v>
      </c>
      <c r="D32" s="299" t="str">
        <f>IF(D30-H30&lt;0,H30-D30,"-")</f>
        <v>-</v>
      </c>
      <c r="E32" s="299" t="str">
        <f>IF(E30-I30&lt;0,I30-E30,"-")</f>
        <v>-</v>
      </c>
      <c r="F32" s="133" t="s">
        <v>669</v>
      </c>
      <c r="G32" s="299" t="str">
        <f>IF(C30-G30&gt;0,C30-G30,"-")</f>
        <v>-</v>
      </c>
      <c r="H32" s="299" t="str">
        <f>IF(D30-H30&gt;0,D30-H30,"-")</f>
        <v>-</v>
      </c>
      <c r="I32" s="299">
        <f>IF(E30-I30&gt;0,E30-I30,"-")</f>
        <v>205507785</v>
      </c>
      <c r="J32" s="881"/>
    </row>
    <row r="33" spans="2:10" ht="18.75">
      <c r="B33" s="880"/>
      <c r="C33" s="880"/>
      <c r="D33" s="880"/>
      <c r="E33" s="880"/>
      <c r="F33" s="880"/>
      <c r="J33" s="881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B1">
      <selection activeCell="E10" sqref="E10"/>
    </sheetView>
  </sheetViews>
  <sheetFormatPr defaultColWidth="9.00390625" defaultRowHeight="12.75"/>
  <cols>
    <col min="1" max="1" width="6.875" style="33" customWidth="1"/>
    <col min="2" max="2" width="49.875" style="69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34"/>
      <c r="B1" s="340" t="s">
        <v>287</v>
      </c>
      <c r="C1" s="341"/>
      <c r="D1" s="341"/>
      <c r="E1" s="341"/>
      <c r="F1" s="341"/>
      <c r="G1" s="341"/>
      <c r="H1" s="341"/>
      <c r="I1" s="341"/>
      <c r="J1" s="881" t="str">
        <f>CONCATENATE("2.2. melléklet ",Z_ALAPADATOK!A7," ",Z_ALAPADATOK!B7," ",Z_ALAPADATOK!C7," ",Z_ALAPADATOK!D7," ",Z_ALAPADATOK!E7," ",Z_ALAPADATOK!F7," ",Z_ALAPADATOK!G7," ",Z_ALAPADATOK!H7)</f>
        <v>2.2. melléklet a … / 2020. ( … ) önkormányzati rendelethez</v>
      </c>
    </row>
    <row r="2" spans="1:10" ht="14.25" thickBot="1">
      <c r="A2" s="334"/>
      <c r="B2" s="333"/>
      <c r="C2" s="334"/>
      <c r="D2" s="334"/>
      <c r="E2" s="334"/>
      <c r="F2" s="334"/>
      <c r="G2" s="342"/>
      <c r="H2" s="342"/>
      <c r="I2" s="342" t="str">
        <f>'Z_2.1.sz.mell'!I2</f>
        <v> Forintban!</v>
      </c>
      <c r="J2" s="881"/>
    </row>
    <row r="3" spans="1:10" ht="13.5" customHeight="1" thickBot="1">
      <c r="A3" s="878" t="s">
        <v>231</v>
      </c>
      <c r="B3" s="343" t="s">
        <v>219</v>
      </c>
      <c r="C3" s="344"/>
      <c r="D3" s="345"/>
      <c r="E3" s="345"/>
      <c r="F3" s="343" t="s">
        <v>220</v>
      </c>
      <c r="G3" s="346"/>
      <c r="H3" s="347"/>
      <c r="I3" s="348"/>
      <c r="J3" s="881"/>
    </row>
    <row r="4" spans="1:10" s="120" customFormat="1" ht="36.75" thickBot="1">
      <c r="A4" s="879"/>
      <c r="B4" s="336" t="s">
        <v>224</v>
      </c>
      <c r="C4" s="306" t="str">
        <f>+CONCATENATE('Z_1.1.sz.mell.'!C8," eredeti előirányzat")</f>
        <v>2019. évi eredeti előirányzat</v>
      </c>
      <c r="D4" s="304" t="str">
        <f>+CONCATENATE('Z_1.1.sz.mell.'!C8," módosított előirányzat")</f>
        <v>2019. évi módosított előirányzat</v>
      </c>
      <c r="E4" s="304" t="str">
        <f>CONCATENATE('Z_2.1.sz.mell'!E4)</f>
        <v>2019. XII. 31.
teljesítés</v>
      </c>
      <c r="F4" s="336" t="s">
        <v>224</v>
      </c>
      <c r="G4" s="306" t="str">
        <f>+C4</f>
        <v>2019. évi eredeti előirányzat</v>
      </c>
      <c r="H4" s="306" t="str">
        <f>+D4</f>
        <v>2019. évi módosított előirányzat</v>
      </c>
      <c r="I4" s="305" t="str">
        <f>+E4</f>
        <v>2019. XII. 31.
teljesítés</v>
      </c>
      <c r="J4" s="881"/>
    </row>
    <row r="5" spans="1:10" s="120" customFormat="1" ht="13.5" thickBot="1">
      <c r="A5" s="349" t="s">
        <v>565</v>
      </c>
      <c r="B5" s="350" t="s">
        <v>566</v>
      </c>
      <c r="C5" s="351" t="s">
        <v>567</v>
      </c>
      <c r="D5" s="351" t="s">
        <v>569</v>
      </c>
      <c r="E5" s="351" t="s">
        <v>568</v>
      </c>
      <c r="F5" s="350" t="s">
        <v>570</v>
      </c>
      <c r="G5" s="351" t="s">
        <v>571</v>
      </c>
      <c r="H5" s="352" t="s">
        <v>572</v>
      </c>
      <c r="I5" s="353" t="s">
        <v>603</v>
      </c>
      <c r="J5" s="881"/>
    </row>
    <row r="6" spans="1:10" ht="12.75" customHeight="1">
      <c r="A6" s="122" t="s">
        <v>186</v>
      </c>
      <c r="B6" s="123" t="s">
        <v>467</v>
      </c>
      <c r="C6" s="113">
        <v>8856290</v>
      </c>
      <c r="D6" s="113">
        <v>40395785</v>
      </c>
      <c r="E6" s="113">
        <v>40395785</v>
      </c>
      <c r="F6" s="123" t="s">
        <v>323</v>
      </c>
      <c r="G6" s="113">
        <v>28013862</v>
      </c>
      <c r="H6" s="268">
        <v>55126237</v>
      </c>
      <c r="I6" s="143">
        <v>53887649</v>
      </c>
      <c r="J6" s="881"/>
    </row>
    <row r="7" spans="1:10" ht="12.75">
      <c r="A7" s="124" t="s">
        <v>187</v>
      </c>
      <c r="B7" s="125" t="s">
        <v>468</v>
      </c>
      <c r="C7" s="114"/>
      <c r="D7" s="114"/>
      <c r="E7" s="114"/>
      <c r="F7" s="125" t="s">
        <v>473</v>
      </c>
      <c r="G7" s="114"/>
      <c r="H7" s="114"/>
      <c r="I7" s="260"/>
      <c r="J7" s="881"/>
    </row>
    <row r="8" spans="1:10" ht="12.75" customHeight="1">
      <c r="A8" s="124" t="s">
        <v>188</v>
      </c>
      <c r="B8" s="125" t="s">
        <v>181</v>
      </c>
      <c r="C8" s="114"/>
      <c r="D8" s="114"/>
      <c r="E8" s="114"/>
      <c r="F8" s="125" t="s">
        <v>306</v>
      </c>
      <c r="G8" s="114">
        <v>155763832</v>
      </c>
      <c r="H8" s="114">
        <v>193774913</v>
      </c>
      <c r="I8" s="260">
        <v>179636348</v>
      </c>
      <c r="J8" s="881"/>
    </row>
    <row r="9" spans="1:10" ht="12.75" customHeight="1">
      <c r="A9" s="124" t="s">
        <v>189</v>
      </c>
      <c r="B9" s="125" t="s">
        <v>469</v>
      </c>
      <c r="C9" s="114">
        <v>13000000</v>
      </c>
      <c r="D9" s="114">
        <v>28951738</v>
      </c>
      <c r="E9" s="114">
        <v>28951738</v>
      </c>
      <c r="F9" s="125" t="s">
        <v>474</v>
      </c>
      <c r="G9" s="114">
        <v>120091212</v>
      </c>
      <c r="H9" s="114">
        <v>120091212</v>
      </c>
      <c r="I9" s="260">
        <v>112293643</v>
      </c>
      <c r="J9" s="881"/>
    </row>
    <row r="10" spans="1:10" ht="12.75" customHeight="1">
      <c r="A10" s="124" t="s">
        <v>190</v>
      </c>
      <c r="B10" s="125" t="s">
        <v>470</v>
      </c>
      <c r="C10" s="114"/>
      <c r="D10" s="114"/>
      <c r="E10" s="114"/>
      <c r="F10" s="125" t="s">
        <v>325</v>
      </c>
      <c r="G10" s="114">
        <v>6800000</v>
      </c>
      <c r="H10" s="114">
        <v>17178915</v>
      </c>
      <c r="I10" s="260">
        <v>13627005</v>
      </c>
      <c r="J10" s="881"/>
    </row>
    <row r="11" spans="1:10" ht="12.75" customHeight="1">
      <c r="A11" s="124" t="s">
        <v>191</v>
      </c>
      <c r="B11" s="125" t="s">
        <v>471</v>
      </c>
      <c r="C11" s="115"/>
      <c r="D11" s="115">
        <v>75248</v>
      </c>
      <c r="E11" s="115">
        <v>75248</v>
      </c>
      <c r="F11" s="192"/>
      <c r="G11" s="114"/>
      <c r="H11" s="114"/>
      <c r="I11" s="260"/>
      <c r="J11" s="881"/>
    </row>
    <row r="12" spans="1:10" ht="12.75" customHeight="1">
      <c r="A12" s="124" t="s">
        <v>192</v>
      </c>
      <c r="B12" s="30"/>
      <c r="C12" s="114"/>
      <c r="D12" s="114"/>
      <c r="E12" s="114"/>
      <c r="F12" s="192"/>
      <c r="G12" s="114"/>
      <c r="H12" s="114"/>
      <c r="I12" s="260"/>
      <c r="J12" s="881"/>
    </row>
    <row r="13" spans="1:10" ht="12.75" customHeight="1">
      <c r="A13" s="124" t="s">
        <v>193</v>
      </c>
      <c r="B13" s="30"/>
      <c r="C13" s="114"/>
      <c r="D13" s="114"/>
      <c r="E13" s="114"/>
      <c r="F13" s="193"/>
      <c r="G13" s="114"/>
      <c r="H13" s="114"/>
      <c r="I13" s="260"/>
      <c r="J13" s="881"/>
    </row>
    <row r="14" spans="1:10" ht="12.75" customHeight="1">
      <c r="A14" s="124" t="s">
        <v>194</v>
      </c>
      <c r="B14" s="190"/>
      <c r="C14" s="115"/>
      <c r="D14" s="115"/>
      <c r="E14" s="115"/>
      <c r="F14" s="192"/>
      <c r="G14" s="114"/>
      <c r="H14" s="114"/>
      <c r="I14" s="260"/>
      <c r="J14" s="881"/>
    </row>
    <row r="15" spans="1:10" ht="12.75">
      <c r="A15" s="124" t="s">
        <v>195</v>
      </c>
      <c r="B15" s="30"/>
      <c r="C15" s="115"/>
      <c r="D15" s="115"/>
      <c r="E15" s="115"/>
      <c r="F15" s="192"/>
      <c r="G15" s="114"/>
      <c r="H15" s="114"/>
      <c r="I15" s="260"/>
      <c r="J15" s="881"/>
    </row>
    <row r="16" spans="1:10" ht="12.75" customHeight="1" thickBot="1">
      <c r="A16" s="160" t="s">
        <v>196</v>
      </c>
      <c r="B16" s="191"/>
      <c r="C16" s="162"/>
      <c r="D16" s="162"/>
      <c r="E16" s="162"/>
      <c r="F16" s="161" t="s">
        <v>216</v>
      </c>
      <c r="G16" s="266">
        <v>15000000</v>
      </c>
      <c r="H16" s="266">
        <v>31032000</v>
      </c>
      <c r="I16" s="264"/>
      <c r="J16" s="881"/>
    </row>
    <row r="17" spans="1:10" ht="15.75" customHeight="1" thickBot="1">
      <c r="A17" s="127" t="s">
        <v>197</v>
      </c>
      <c r="B17" s="55" t="s">
        <v>481</v>
      </c>
      <c r="C17" s="117">
        <f>+C6+C8+C9+C11+C12+C13+C14+C15+C16</f>
        <v>21856290</v>
      </c>
      <c r="D17" s="117">
        <f>+D6+D8+D9+D11+D12+D13+D14+D15+D16</f>
        <v>69422771</v>
      </c>
      <c r="E17" s="117">
        <f>+E6+E8+E9+E11+E12+E13+E14+E15+E16</f>
        <v>69422771</v>
      </c>
      <c r="F17" s="55" t="s">
        <v>482</v>
      </c>
      <c r="G17" s="117">
        <f>+G6+G8+G10+G11+G12+G13+G14+G15+G16</f>
        <v>205577694</v>
      </c>
      <c r="H17" s="117">
        <f>+H6+H8+H10+H11+H12+H13+H14+H15+H16</f>
        <v>297112065</v>
      </c>
      <c r="I17" s="145">
        <f>+I6+I8+I10+I11+I12+I13+I14+I15+I16</f>
        <v>247151002</v>
      </c>
      <c r="J17" s="881"/>
    </row>
    <row r="18" spans="1:10" ht="12.75" customHeight="1">
      <c r="A18" s="122" t="s">
        <v>198</v>
      </c>
      <c r="B18" s="135" t="s">
        <v>341</v>
      </c>
      <c r="C18" s="142">
        <f>+C19+C20+C21+C22+C23</f>
        <v>183721404</v>
      </c>
      <c r="D18" s="142">
        <f>+D19+D20+D21+D22+D23</f>
        <v>227689294</v>
      </c>
      <c r="E18" s="142">
        <f>+E19+E20+E21+E22+E23</f>
        <v>227689294</v>
      </c>
      <c r="F18" s="130" t="s">
        <v>310</v>
      </c>
      <c r="G18" s="267"/>
      <c r="H18" s="267"/>
      <c r="I18" s="265"/>
      <c r="J18" s="881"/>
    </row>
    <row r="19" spans="1:10" ht="12.75" customHeight="1">
      <c r="A19" s="124" t="s">
        <v>199</v>
      </c>
      <c r="B19" s="136" t="s">
        <v>330</v>
      </c>
      <c r="C19" s="44">
        <v>183721404</v>
      </c>
      <c r="D19" s="44">
        <v>227689294</v>
      </c>
      <c r="E19" s="44">
        <v>227689294</v>
      </c>
      <c r="F19" s="130" t="s">
        <v>313</v>
      </c>
      <c r="G19" s="44"/>
      <c r="H19" s="44"/>
      <c r="I19" s="263"/>
      <c r="J19" s="881"/>
    </row>
    <row r="20" spans="1:10" ht="12.75" customHeight="1">
      <c r="A20" s="122" t="s">
        <v>200</v>
      </c>
      <c r="B20" s="136" t="s">
        <v>331</v>
      </c>
      <c r="C20" s="44"/>
      <c r="D20" s="44"/>
      <c r="E20" s="44"/>
      <c r="F20" s="130" t="s">
        <v>284</v>
      </c>
      <c r="G20" s="44"/>
      <c r="H20" s="44"/>
      <c r="I20" s="263"/>
      <c r="J20" s="881"/>
    </row>
    <row r="21" spans="1:10" ht="12.75" customHeight="1">
      <c r="A21" s="124" t="s">
        <v>201</v>
      </c>
      <c r="B21" s="136" t="s">
        <v>332</v>
      </c>
      <c r="C21" s="44"/>
      <c r="D21" s="44"/>
      <c r="E21" s="44"/>
      <c r="F21" s="130" t="s">
        <v>285</v>
      </c>
      <c r="G21" s="44"/>
      <c r="H21" s="44"/>
      <c r="I21" s="263"/>
      <c r="J21" s="881"/>
    </row>
    <row r="22" spans="1:10" ht="12.75" customHeight="1">
      <c r="A22" s="122" t="s">
        <v>202</v>
      </c>
      <c r="B22" s="136" t="s">
        <v>333</v>
      </c>
      <c r="C22" s="44"/>
      <c r="D22" s="44"/>
      <c r="E22" s="44"/>
      <c r="F22" s="129" t="s">
        <v>329</v>
      </c>
      <c r="G22" s="44"/>
      <c r="H22" s="44"/>
      <c r="I22" s="263"/>
      <c r="J22" s="881"/>
    </row>
    <row r="23" spans="1:10" ht="12.75" customHeight="1">
      <c r="A23" s="124" t="s">
        <v>203</v>
      </c>
      <c r="B23" s="137" t="s">
        <v>334</v>
      </c>
      <c r="C23" s="44"/>
      <c r="D23" s="44"/>
      <c r="E23" s="44"/>
      <c r="F23" s="130" t="s">
        <v>314</v>
      </c>
      <c r="G23" s="44"/>
      <c r="H23" s="44"/>
      <c r="I23" s="263"/>
      <c r="J23" s="881"/>
    </row>
    <row r="24" spans="1:10" ht="12.75" customHeight="1">
      <c r="A24" s="122" t="s">
        <v>204</v>
      </c>
      <c r="B24" s="138" t="s">
        <v>335</v>
      </c>
      <c r="C24" s="132">
        <f>+C25+C26+C27+C28+C29</f>
        <v>0</v>
      </c>
      <c r="D24" s="132">
        <f>+D25+D26+D27+D28+D29</f>
        <v>0</v>
      </c>
      <c r="E24" s="132">
        <f>+E25+E26+E27+E28+E29</f>
        <v>0</v>
      </c>
      <c r="F24" s="139" t="s">
        <v>312</v>
      </c>
      <c r="G24" s="44"/>
      <c r="H24" s="44"/>
      <c r="I24" s="263"/>
      <c r="J24" s="881"/>
    </row>
    <row r="25" spans="1:10" ht="12.75" customHeight="1">
      <c r="A25" s="124" t="s">
        <v>205</v>
      </c>
      <c r="B25" s="137" t="s">
        <v>336</v>
      </c>
      <c r="C25" s="44"/>
      <c r="D25" s="44"/>
      <c r="E25" s="44"/>
      <c r="F25" s="139" t="s">
        <v>475</v>
      </c>
      <c r="G25" s="44"/>
      <c r="H25" s="44"/>
      <c r="I25" s="263"/>
      <c r="J25" s="881"/>
    </row>
    <row r="26" spans="1:10" ht="12.75" customHeight="1">
      <c r="A26" s="122" t="s">
        <v>206</v>
      </c>
      <c r="B26" s="137" t="s">
        <v>337</v>
      </c>
      <c r="C26" s="44"/>
      <c r="D26" s="44"/>
      <c r="E26" s="44"/>
      <c r="F26" s="134"/>
      <c r="G26" s="44"/>
      <c r="H26" s="44"/>
      <c r="I26" s="263"/>
      <c r="J26" s="881"/>
    </row>
    <row r="27" spans="1:10" ht="12.75" customHeight="1">
      <c r="A27" s="124" t="s">
        <v>207</v>
      </c>
      <c r="B27" s="136" t="s">
        <v>338</v>
      </c>
      <c r="C27" s="44"/>
      <c r="D27" s="44"/>
      <c r="E27" s="44"/>
      <c r="F27" s="53"/>
      <c r="G27" s="44"/>
      <c r="H27" s="44"/>
      <c r="I27" s="263"/>
      <c r="J27" s="881"/>
    </row>
    <row r="28" spans="1:10" ht="12.75" customHeight="1">
      <c r="A28" s="122" t="s">
        <v>208</v>
      </c>
      <c r="B28" s="140" t="s">
        <v>339</v>
      </c>
      <c r="C28" s="44"/>
      <c r="D28" s="44"/>
      <c r="E28" s="44"/>
      <c r="F28" s="30"/>
      <c r="G28" s="44"/>
      <c r="H28" s="44"/>
      <c r="I28" s="263"/>
      <c r="J28" s="881"/>
    </row>
    <row r="29" spans="1:10" ht="12.75" customHeight="1" thickBot="1">
      <c r="A29" s="124" t="s">
        <v>209</v>
      </c>
      <c r="B29" s="141" t="s">
        <v>340</v>
      </c>
      <c r="C29" s="44"/>
      <c r="D29" s="44"/>
      <c r="E29" s="44"/>
      <c r="F29" s="53"/>
      <c r="G29" s="44"/>
      <c r="H29" s="44"/>
      <c r="I29" s="263"/>
      <c r="J29" s="881"/>
    </row>
    <row r="30" spans="1:10" ht="21.75" customHeight="1" thickBot="1">
      <c r="A30" s="127" t="s">
        <v>210</v>
      </c>
      <c r="B30" s="55" t="s">
        <v>472</v>
      </c>
      <c r="C30" s="117">
        <f>+C18+C24</f>
        <v>183721404</v>
      </c>
      <c r="D30" s="117">
        <f>+D18+D24</f>
        <v>227689294</v>
      </c>
      <c r="E30" s="117">
        <f>+E18+E24</f>
        <v>227689294</v>
      </c>
      <c r="F30" s="55" t="s">
        <v>476</v>
      </c>
      <c r="G30" s="117">
        <f>SUM(G18:G29)</f>
        <v>0</v>
      </c>
      <c r="H30" s="117">
        <f>SUM(H18:H29)</f>
        <v>0</v>
      </c>
      <c r="I30" s="145">
        <f>SUM(I18:I29)</f>
        <v>0</v>
      </c>
      <c r="J30" s="881"/>
    </row>
    <row r="31" spans="1:10" ht="13.5" thickBot="1">
      <c r="A31" s="127" t="s">
        <v>211</v>
      </c>
      <c r="B31" s="133" t="s">
        <v>477</v>
      </c>
      <c r="C31" s="299">
        <f>+C17+C30</f>
        <v>205577694</v>
      </c>
      <c r="D31" s="299">
        <f>+D17+D30</f>
        <v>297112065</v>
      </c>
      <c r="E31" s="300">
        <f>+E17+E30</f>
        <v>297112065</v>
      </c>
      <c r="F31" s="133" t="s">
        <v>478</v>
      </c>
      <c r="G31" s="299">
        <f>+G17+G30</f>
        <v>205577694</v>
      </c>
      <c r="H31" s="299">
        <f>+H17+H30</f>
        <v>297112065</v>
      </c>
      <c r="I31" s="300">
        <f>+I17+I30</f>
        <v>247151002</v>
      </c>
      <c r="J31" s="881"/>
    </row>
    <row r="32" spans="1:10" ht="13.5" thickBot="1">
      <c r="A32" s="127" t="s">
        <v>212</v>
      </c>
      <c r="B32" s="133" t="s">
        <v>288</v>
      </c>
      <c r="C32" s="299">
        <f>IF(C17-G17&lt;0,G17-C17,"-")</f>
        <v>183721404</v>
      </c>
      <c r="D32" s="299">
        <f>IF(D17-H17&lt;0,H17-D17,"-")</f>
        <v>227689294</v>
      </c>
      <c r="E32" s="300">
        <f>IF(E17-I17&lt;0,I17-E17,"-")</f>
        <v>177728231</v>
      </c>
      <c r="F32" s="133" t="s">
        <v>289</v>
      </c>
      <c r="G32" s="299" t="str">
        <f>IF(C17-G17&gt;0,C17-G17,"-")</f>
        <v>-</v>
      </c>
      <c r="H32" s="299" t="str">
        <f>IF(D17-H17&gt;0,D17-H17,"-")</f>
        <v>-</v>
      </c>
      <c r="I32" s="300" t="str">
        <f>IF(E17-I17&gt;0,E17-I17,"-")</f>
        <v>-</v>
      </c>
      <c r="J32" s="881"/>
    </row>
    <row r="33" spans="1:10" ht="13.5" thickBot="1">
      <c r="A33" s="127" t="s">
        <v>213</v>
      </c>
      <c r="B33" s="133" t="s">
        <v>668</v>
      </c>
      <c r="C33" s="299" t="str">
        <f>IF(C31-G31&lt;0,G31-C31,"-")</f>
        <v>-</v>
      </c>
      <c r="D33" s="299" t="str">
        <f>IF(D31-H31&lt;0,H31-D31,"-")</f>
        <v>-</v>
      </c>
      <c r="E33" s="299" t="str">
        <f>IF(E31-I31&lt;0,I31-E31,"-")</f>
        <v>-</v>
      </c>
      <c r="F33" s="133" t="s">
        <v>669</v>
      </c>
      <c r="G33" s="299" t="str">
        <f>IF(C31-G31&gt;0,C31-G31,"-")</f>
        <v>-</v>
      </c>
      <c r="H33" s="299" t="str">
        <f>IF(D31-H31&gt;0,D31-H31,"-")</f>
        <v>-</v>
      </c>
      <c r="I33" s="299">
        <f>IF(E31-I31&gt;0,E31-I31,"-")</f>
        <v>49961063</v>
      </c>
      <c r="J33" s="881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Piroska</cp:lastModifiedBy>
  <cp:lastPrinted>2020-06-18T13:14:31Z</cp:lastPrinted>
  <dcterms:created xsi:type="dcterms:W3CDTF">1999-10-30T10:30:45Z</dcterms:created>
  <dcterms:modified xsi:type="dcterms:W3CDTF">2020-07-14T08:13:06Z</dcterms:modified>
  <cp:category/>
  <cp:version/>
  <cp:contentType/>
  <cp:contentStatus/>
</cp:coreProperties>
</file>