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8850" windowHeight="8640" tabRatio="599" firstSheet="13" activeTab="13"/>
  </bookViews>
  <sheets>
    <sheet name="kvi mérleg" sheetId="1" r:id="rId1"/>
    <sheet name="önk.köt." sheetId="2" r:id="rId2"/>
    <sheet name="ph köt" sheetId="3" r:id="rId3"/>
    <sheet name="óvoda köt" sheetId="4" r:id="rId4"/>
    <sheet name="gamesz köt." sheetId="5" r:id="rId5"/>
    <sheet name="gond.köt" sheetId="6" r:id="rId6"/>
    <sheet name="műv köt" sheetId="7" r:id="rId7"/>
    <sheet name="műk-felh" sheetId="8" r:id="rId8"/>
    <sheet name="norma" sheetId="9" r:id="rId9"/>
    <sheet name="beruh" sheetId="10" r:id="rId10"/>
    <sheet name="rend" sheetId="11" r:id="rId11"/>
    <sheet name="önk bev.kia" sheetId="12" r:id="rId12"/>
    <sheet name="ph bev-kia" sheetId="13" r:id="rId13"/>
    <sheet name="óvoda bev-kia" sheetId="14" r:id="rId14"/>
    <sheet name="gamesz bev-kia" sheetId="15" r:id="rId15"/>
    <sheet name="gond bev-kia" sheetId="16" r:id="rId16"/>
    <sheet name="műv.be-ki" sheetId="17" r:id="rId17"/>
    <sheet name="tám" sheetId="18" r:id="rId18"/>
    <sheet name="többéves" sheetId="19" r:id="rId19"/>
    <sheet name="eu" sheetId="20" r:id="rId20"/>
    <sheet name="közv." sheetId="21" r:id="rId21"/>
    <sheet name="ei felh." sheetId="22" r:id="rId22"/>
    <sheet name="saját bevétel" sheetId="23" r:id="rId23"/>
    <sheet name="adósság" sheetId="24" r:id="rId24"/>
    <sheet name="fennálló köt." sheetId="25" r:id="rId25"/>
    <sheet name="tartalék" sheetId="26" r:id="rId26"/>
    <sheet name="tart,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<sst xmlns="http://schemas.openxmlformats.org/spreadsheetml/2006/main" count="3354" uniqueCount="1028">
  <si>
    <t>Fejezeti és ált. tartalékok elszámolása</t>
  </si>
  <si>
    <t>016010</t>
  </si>
  <si>
    <t>Közhatalmi bevét.</t>
  </si>
  <si>
    <t>900080</t>
  </si>
  <si>
    <t>támogatás összege       (ezer Ft) </t>
  </si>
  <si>
    <t>Sportegyesület</t>
  </si>
  <si>
    <t>működéshez</t>
  </si>
  <si>
    <t>Mélykúti Önkéntes Tűzoltó Egyesület</t>
  </si>
  <si>
    <t>gk vásárláshoz</t>
  </si>
  <si>
    <t>Bajavíz Kft</t>
  </si>
  <si>
    <t>ivóvíz konténer üzem.</t>
  </si>
  <si>
    <t>pénzmaradvány elvonás intézményektől</t>
  </si>
  <si>
    <t>önkormányzat részére befizetés</t>
  </si>
  <si>
    <t>Roma Nemzetiségi Önkormányzat</t>
  </si>
  <si>
    <t>Működéshez támogatás</t>
  </si>
  <si>
    <t>Sor-      szám</t>
  </si>
  <si>
    <t>Szabad tartalék</t>
  </si>
  <si>
    <t>Program vásárlás Polgármesteri hivatal</t>
  </si>
  <si>
    <t>asványvízzé nyilvánítás</t>
  </si>
  <si>
    <t>Bursa visszautalás</t>
  </si>
  <si>
    <t>TIOP pályázat elszámolása</t>
  </si>
  <si>
    <t xml:space="preserve">6. </t>
  </si>
  <si>
    <t>nyomtató, scennelő</t>
  </si>
  <si>
    <t xml:space="preserve">7. </t>
  </si>
  <si>
    <t>hűtőszekrény gondoz.kp</t>
  </si>
  <si>
    <t xml:space="preserve">8. </t>
  </si>
  <si>
    <t>kerékpárút műszaki ellenőre</t>
  </si>
  <si>
    <t xml:space="preserve">9. </t>
  </si>
  <si>
    <t>pénzmaradványból</t>
  </si>
  <si>
    <t xml:space="preserve">10. </t>
  </si>
  <si>
    <t>belterületi út tarv</t>
  </si>
  <si>
    <t xml:space="preserve">11. </t>
  </si>
  <si>
    <t>ingatlan vásárlás</t>
  </si>
  <si>
    <t xml:space="preserve">12. </t>
  </si>
  <si>
    <t>óvoda részére pót előirányzat</t>
  </si>
  <si>
    <t xml:space="preserve">13. </t>
  </si>
  <si>
    <t>karóra</t>
  </si>
  <si>
    <t xml:space="preserve">14. </t>
  </si>
  <si>
    <t>boylerek</t>
  </si>
  <si>
    <t xml:space="preserve">15. </t>
  </si>
  <si>
    <t>3654/2 hrsz beszerz</t>
  </si>
  <si>
    <t xml:space="preserve">16. </t>
  </si>
  <si>
    <t>nyári diákmunka</t>
  </si>
  <si>
    <t xml:space="preserve">17. </t>
  </si>
  <si>
    <t>II.Bácskai kkult.feszt.</t>
  </si>
  <si>
    <t xml:space="preserve">18. </t>
  </si>
  <si>
    <t xml:space="preserve">19. </t>
  </si>
  <si>
    <t xml:space="preserve">céltartalékból </t>
  </si>
  <si>
    <t xml:space="preserve">20. </t>
  </si>
  <si>
    <t>likvid hitel csökkentése</t>
  </si>
  <si>
    <t xml:space="preserve">21. </t>
  </si>
  <si>
    <t>Mélykúti Roma Nemzetiségi Önkormányzat</t>
  </si>
  <si>
    <t xml:space="preserve">22. </t>
  </si>
  <si>
    <t xml:space="preserve">23. </t>
  </si>
  <si>
    <t xml:space="preserve">24. </t>
  </si>
  <si>
    <t>ágazati pótlék</t>
  </si>
  <si>
    <t xml:space="preserve">25. </t>
  </si>
  <si>
    <t>lakásértékesítésből származó bevétel</t>
  </si>
  <si>
    <t xml:space="preserve">26. </t>
  </si>
  <si>
    <t>ipari elkerülő út</t>
  </si>
  <si>
    <t xml:space="preserve">27. </t>
  </si>
  <si>
    <t xml:space="preserve">28. </t>
  </si>
  <si>
    <t>általános tartalékba</t>
  </si>
  <si>
    <t xml:space="preserve">29. </t>
  </si>
  <si>
    <t xml:space="preserve">30. </t>
  </si>
  <si>
    <t>3. sz. táblázat</t>
  </si>
  <si>
    <t>Kölcsönök</t>
  </si>
  <si>
    <t>11.. melléklet a   2/2014 (II.20.)önkormányzati  rendelethez</t>
  </si>
  <si>
    <t>12.  melléklet a 2/2014. (II.20) önkormányzati rendelethez</t>
  </si>
  <si>
    <t>OEP fin.továbbutalása</t>
  </si>
  <si>
    <t>Foglalkoztatásra</t>
  </si>
  <si>
    <t>9. melléklet a   2/2014(II.20) önkormányzati rendelethez*</t>
  </si>
  <si>
    <t xml:space="preserve">                                                     13.  melléklet a  2/2014. (II.20) önkormányztai  rendelethez</t>
  </si>
  <si>
    <t>Növekedés</t>
  </si>
  <si>
    <t>csökkenés</t>
  </si>
  <si>
    <t>19  melléklet a 2/2014 (II.20) önkormányzati rendelethez</t>
  </si>
  <si>
    <t>17.  melléklet a 2/2014.(II.20.) önkormányzati  rendelethez</t>
  </si>
  <si>
    <t>16.  melléklet a 2/2014.(II.20.) önkormányzati  rendelethez</t>
  </si>
  <si>
    <t>Kamatbevétel</t>
  </si>
  <si>
    <t>szökőkút fejlesztés, játszótéri játékok</t>
  </si>
  <si>
    <t>Programok</t>
  </si>
  <si>
    <t>Vagyoni értékű jogok összesen</t>
  </si>
  <si>
    <t>Szünetmentes</t>
  </si>
  <si>
    <t>Egér 4 db</t>
  </si>
  <si>
    <t>Számítógép 9 db</t>
  </si>
  <si>
    <t>Nyomtató 2 db</t>
  </si>
  <si>
    <t>Scenner 2 db</t>
  </si>
  <si>
    <t>Monitor 4 db</t>
  </si>
  <si>
    <t>Billentyűzet</t>
  </si>
  <si>
    <t>Kisértékű informatikai eszköz összesen</t>
  </si>
  <si>
    <t>fúnyíró traktor</t>
  </si>
  <si>
    <t>Fahasítógép</t>
  </si>
  <si>
    <t>Körfűrész</t>
  </si>
  <si>
    <t>Egyéb gép berendezés, felszerelés összesen</t>
  </si>
  <si>
    <t>Jármű beszerzés összesen</t>
  </si>
  <si>
    <t>Kályha</t>
  </si>
  <si>
    <t>Mobiltelefon2 db</t>
  </si>
  <si>
    <t>Hegesztő</t>
  </si>
  <si>
    <t>Kovács üllő</t>
  </si>
  <si>
    <t>Mérleg</t>
  </si>
  <si>
    <t>Rack szekrény</t>
  </si>
  <si>
    <t>Oxigénpalack(5 %-os)</t>
  </si>
  <si>
    <t>Vízimérték</t>
  </si>
  <si>
    <t>Vízellátó készülék</t>
  </si>
  <si>
    <t>Fóliahegesztő</t>
  </si>
  <si>
    <t>Forgószék</t>
  </si>
  <si>
    <t>Kisértékű egyéb gép berendezés, felszerelés összesen</t>
  </si>
  <si>
    <t>szénmonoxid érzékelő2 db</t>
  </si>
  <si>
    <t>Éjjeli szekrény 3 db</t>
  </si>
  <si>
    <t>Polc 4 db</t>
  </si>
  <si>
    <t>Komód 5 db</t>
  </si>
  <si>
    <t>Porszívó</t>
  </si>
  <si>
    <t>Testmasszírozó</t>
  </si>
  <si>
    <t>Ágy asztal 4 db</t>
  </si>
  <si>
    <t>Kisértékű gép, berendezés, felszerelés összesen</t>
  </si>
  <si>
    <t>X-boksz játokok/konzol</t>
  </si>
  <si>
    <t>Monitor</t>
  </si>
  <si>
    <t>Router</t>
  </si>
  <si>
    <t xml:space="preserve">Antenna </t>
  </si>
  <si>
    <t>Kézilabda kapu 2 db</t>
  </si>
  <si>
    <t>Könyv</t>
  </si>
  <si>
    <t>Folyóirattartó szekrény</t>
  </si>
  <si>
    <t>Könyvtári polc</t>
  </si>
  <si>
    <t>Kamerarendszer</t>
  </si>
  <si>
    <t>Függöny</t>
  </si>
  <si>
    <t>Fénytechnikai eszköz</t>
  </si>
  <si>
    <t>Reflektor</t>
  </si>
  <si>
    <t>Olajradiátor</t>
  </si>
  <si>
    <t>Flipchart tábla</t>
  </si>
  <si>
    <t>Állványos vetítővászon</t>
  </si>
  <si>
    <t>Rádió</t>
  </si>
  <si>
    <t>Pingpongasztal</t>
  </si>
  <si>
    <t>Hangtechnikai eszközök</t>
  </si>
  <si>
    <t>ventilátor</t>
  </si>
  <si>
    <t>Hangfal 2 db</t>
  </si>
  <si>
    <t>Asztali és térmikrofon</t>
  </si>
  <si>
    <t>Kisértékű egyéb gép berendezés</t>
  </si>
  <si>
    <t>Háziorvosi feladatell.</t>
  </si>
  <si>
    <t>Iprarűzési adó többlete</t>
  </si>
  <si>
    <t>fin elv. Ph-től</t>
  </si>
  <si>
    <t>pótfin óvoda</t>
  </si>
  <si>
    <t>pótfin.gondoz</t>
  </si>
  <si>
    <t>műv.ház fin.csökk.</t>
  </si>
  <si>
    <t>pótfinanszrozás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</si>
  <si>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</si>
  <si>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</si>
  <si>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</si>
  <si>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</si>
  <si>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</si>
  <si>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</si>
  <si>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</si>
  <si>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>* módosította az 1/2015.(II.27.) önkormányzati rendelet</t>
  </si>
  <si>
    <t>6. sz. melléklet a /2015 (.)  önkormányzati rendelethez*</t>
  </si>
  <si>
    <t>15.  melléklet a 2/2014.(II.20.) önkormányzati  rendelethez</t>
  </si>
  <si>
    <t>8./e melléklet a 2/2014. (II.20) önkormányzati rendelethez*</t>
  </si>
  <si>
    <t>18..  melléklet a 2/2014.(II.20.) önkormányzati  rendelethez*</t>
  </si>
  <si>
    <t>14.  melléklet a  2./2014.(II.20). Önkormányzati rendelethez*</t>
  </si>
  <si>
    <t>állandó jelleggel végzett iparűzési tevékenység után fizetett helyi iparüz. adó</t>
  </si>
  <si>
    <t> Működési célú visszatérítendő támogatások, kölcsönök visszatérülése államháztartáson kív</t>
  </si>
  <si>
    <t>0200/9 hrsz ingatlan vásárlása</t>
  </si>
  <si>
    <t>106010</t>
  </si>
  <si>
    <t>104051</t>
  </si>
  <si>
    <t>Szabad kapacitás terhére végzett, nem haszonszerzési célú tevékenységek kiadásai és bevételei</t>
  </si>
  <si>
    <t>Számítógép beszerzés GAMESZ</t>
  </si>
  <si>
    <t>szökőkút fejlesztése</t>
  </si>
  <si>
    <t>0200/9 hrsz. Ingatlan vásárlása</t>
  </si>
  <si>
    <t xml:space="preserve">31. </t>
  </si>
  <si>
    <t xml:space="preserve">32. </t>
  </si>
  <si>
    <t xml:space="preserve">33. </t>
  </si>
  <si>
    <t>Termőföld bérbeadásából szárm.bev.</t>
  </si>
  <si>
    <t>Felhalmozási célú kölcsön nyújtása ÁHTK</t>
  </si>
  <si>
    <t xml:space="preserve">Felhalmozási bevételek   </t>
  </si>
  <si>
    <t>Kiszámlázott általános forgalmi adó értékesített tárgyi eszköz</t>
  </si>
  <si>
    <t>Kamat bevétel</t>
  </si>
  <si>
    <t>Kiszámlázozz általános forgalmi adó tárgyi eszköz</t>
  </si>
  <si>
    <t>Május 1 u. 8. szám alatti ingatlan vásárlása</t>
  </si>
  <si>
    <t>Kávéfőző</t>
  </si>
  <si>
    <t>pótkocsi</t>
  </si>
  <si>
    <t>szárzúzó</t>
  </si>
  <si>
    <t>Felhalmozási bevételek</t>
  </si>
  <si>
    <t>Gyermekvédelmi pénzbeli és te-rmészetbeni ell.</t>
  </si>
  <si>
    <t>10. melléklet a  2/2014(.II.20)önkormányzati  rendelethez</t>
  </si>
  <si>
    <t>kiegészítő felmérés</t>
  </si>
  <si>
    <t>többletbevétel</t>
  </si>
  <si>
    <t>finanszírozás elvonás</t>
  </si>
  <si>
    <t>ÉPTESZ kölcsön</t>
  </si>
  <si>
    <t>Más.jus 1 utca 8. szám altti ingatlan v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</si>
  <si>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</si>
  <si>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</si>
  <si>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</si>
  <si>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</si>
  <si>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</si>
  <si>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</si>
  <si>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>Felhalmozási célú visszatérítendő támogatások, kölcsönök visszatérülése államháztartáson kívülről</t>
  </si>
  <si>
    <t>Rákóczi u. 13. előtti parkoló terv</t>
  </si>
  <si>
    <t>Rákóczi u. 1-3 előtti parkoló terv</t>
  </si>
  <si>
    <t>romos ngatlanok  vásárlás</t>
  </si>
  <si>
    <t>szkennel 4 db</t>
  </si>
  <si>
    <t>diktafon</t>
  </si>
  <si>
    <t>motorfűrész</t>
  </si>
  <si>
    <t>áramfejlsztő</t>
  </si>
  <si>
    <t>Önkormányza-tok és önkor-mányzati hivatalok jogalko-tó és általános igazgatási tevékenysége</t>
  </si>
  <si>
    <t>Az önkormányzati vagyonnal való gazdálkodással kapcsolatos fel-</t>
  </si>
  <si>
    <t>Civil szerve-zetek műkö-dési tám.</t>
  </si>
  <si>
    <t>Önkormányzatok és önkormányzati hivatalok jogalkotó és általános igazgatási tevékenysége</t>
  </si>
  <si>
    <t>Adó-, vám- és jövedéki igazgatás</t>
  </si>
  <si>
    <t>Országgyűlési, önkormányzati és európai parlamenti képviselőválasztásokhoz kapcsolódó tevékenységek</t>
  </si>
  <si>
    <t>Betegséggel kapcsolatos pénzbeli ellátások, támogatások</t>
  </si>
  <si>
    <t>Gyermekvédelmi pénzbeli és természetbeni ellátások</t>
  </si>
  <si>
    <t>Család és nővé-delmi egészsé-gügyi gondozás</t>
  </si>
  <si>
    <t>Szabad kapac.terhére végzett tev.</t>
  </si>
  <si>
    <t>ÉPTESZ strand üzemeltetés</t>
  </si>
  <si>
    <t>ÉPTESZ forlalkoztatás</t>
  </si>
  <si>
    <t>viziközmű fejlesztés</t>
  </si>
  <si>
    <t>Ph diktafon beszerzés</t>
  </si>
  <si>
    <t>Műv.háztól ei elvonás</t>
  </si>
  <si>
    <t>Gond,közp.pótfin.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</si>
  <si>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</si>
  <si>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</si>
  <si>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</si>
  <si>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</si>
  <si>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</si>
  <si>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</si>
  <si>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>Iviziközmű fejlesztés</t>
  </si>
  <si>
    <t xml:space="preserve">54. </t>
  </si>
  <si>
    <t xml:space="preserve">55. </t>
  </si>
  <si>
    <t>Szvetnik Joachim emlékház fűtéskorszerűsítése</t>
  </si>
  <si>
    <t>Hosszabb időtartamú közfoglalkoztatás</t>
  </si>
  <si>
    <t>Egyéb működési célú kiadások   :</t>
  </si>
  <si>
    <r>
      <t>Könyvtári szolgáltatások</t>
    </r>
    <r>
      <rPr>
        <b/>
        <i/>
        <sz val="8"/>
        <color indexed="10"/>
        <rFont val="Arial"/>
        <family val="2"/>
      </rPr>
      <t xml:space="preserve"> </t>
    </r>
  </si>
  <si>
    <t>e-útdíj</t>
  </si>
  <si>
    <t>Rákóczi u. 13 előtti parkoló terv</t>
  </si>
  <si>
    <t>Rákóczi u. 8. érintésvédelmiterv</t>
  </si>
  <si>
    <t>laptop beszerzés</t>
  </si>
  <si>
    <t>konyha pótfinanszírozás</t>
  </si>
  <si>
    <t>étkezési utalvány</t>
  </si>
  <si>
    <t>Szvetnik ház fűtéskorszerűsítése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</si>
  <si>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</si>
  <si>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</si>
  <si>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</si>
  <si>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</si>
  <si>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</si>
  <si>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</si>
  <si>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</si>
  <si>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</si>
  <si>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>4.melléklet a   2/2014.(II.20)önkormányzati rendelethez*</t>
  </si>
  <si>
    <t>Mélykút Város Önkormányzat Művelődési Háza és Fenyő Miksa Könyvtára  működési  és felhalmotási  célú bevéteeleinek és kiadásainak  2014. évi mérlege kötelező, önként vállalt és állami fekadat szerinti bontásban</t>
  </si>
  <si>
    <t>8/c. melléklet a 2/2014. (II.20) önkormányzati rendelethez*</t>
  </si>
  <si>
    <t>8/b. melléklet a 2/2014. (II.20) önkormányzati rendelethez*</t>
  </si>
  <si>
    <t>8/a. melléklet a 2/2014. (II.20) önkormányzati rendelethez*</t>
  </si>
  <si>
    <t>8. melléklet a 2/2014. (II.20) önkormányzati rendelethez*</t>
  </si>
  <si>
    <t>7. melléklet a 2/2014. (II.20.) önkormányzati rendelethez*</t>
  </si>
  <si>
    <t>5.   melléklet a 2/2014 ( II.20.)  önkormánnyzati rendelethez*</t>
  </si>
  <si>
    <t>3. melléklet   a  2/2014(II.20.) számú önkormányzati rendelethez*</t>
  </si>
  <si>
    <t>2/e.  melléklet a   2/2014.(II.20) önkormányzati rendelethez*</t>
  </si>
  <si>
    <t>2./d melléklet a   2/2014.(II.20) önkormányzati rendelethez*</t>
  </si>
  <si>
    <t>2./c  melléklet a   2/2014.(II.20) önkormányzati rendelethez*</t>
  </si>
  <si>
    <t>2./b  melléklet a   2/2014.(II.20) önkormányzati rendelethez*</t>
  </si>
  <si>
    <t>2/a.  melléklet a   2/2014.(II.20.) önkormányzati rendelethez*</t>
  </si>
  <si>
    <t>2.  melléklet a   2/2014.(II.20.) önkormányzati rendelethez*</t>
  </si>
  <si>
    <t>1.  melléklet a   2/2014(II.20) önkormányzati rendelethez*</t>
  </si>
  <si>
    <t>7/e. melléklet a 2/2014. (II.20.) önkormányzati rendelethez*</t>
  </si>
  <si>
    <t>7/d. melléklet a 2/2014. (II.20.) önkormányzati rendelethez*</t>
  </si>
  <si>
    <t>7/c. melléklet a 2/2014. (II.20.) önkormányzati rendelethez*</t>
  </si>
  <si>
    <t>7/b. melléklet a 2/2014. (II.20.) önkormányzati rendelethez*</t>
  </si>
  <si>
    <t>7/a. melléklet a 2/2014. (II.20.) önkormányzati rendelethez*</t>
  </si>
  <si>
    <t>B1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</si>
  <si>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</si>
  <si>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</si>
  <si>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</si>
  <si>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</si>
  <si>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</si>
  <si>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</si>
  <si>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Elvonások és befizetések bevételei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</si>
  <si>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</si>
  <si>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</si>
  <si>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</si>
  <si>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B2</t>
  </si>
  <si>
    <t>Felhalmozási célú önkormányzati támogatások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</si>
  <si>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</si>
  <si>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</si>
  <si>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</si>
  <si>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B3</t>
  </si>
  <si>
    <t> termőföld bérbeadásából származó jövedelem utáni személyi jövedelemadó</t>
  </si>
  <si>
    <t>magánszemélyek kommunális adója</t>
  </si>
  <si>
    <t>állandó jelleggel végzett iparűzési tevékenység után fizetett helyi iparűzési adó</t>
  </si>
  <si>
    <t> Gépjárműadó</t>
  </si>
  <si>
    <t>Egyéb közhatalmi bevételek</t>
  </si>
  <si>
    <t>B4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</si>
  <si>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</si>
  <si>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</si>
  <si>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</si>
  <si>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</si>
  <si>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</si>
  <si>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 xml:space="preserve">Kiszámlázott általános forgalmi adó értékesített termékek és nyújtott szolgáltatások </t>
  </si>
  <si>
    <t xml:space="preserve">Kiszámlázott általános forgalmi adó értékesített tárgyi eszközök </t>
  </si>
  <si>
    <t xml:space="preserve">Általános forgalmi adó visszatérítése értékesített termékek, nyújtott szolgáltatások </t>
  </si>
  <si>
    <t xml:space="preserve">Általános forgalmi adó visszatérítése értékesített tárgyi eszközök </t>
  </si>
  <si>
    <t>Kamatbevételek</t>
  </si>
  <si>
    <t>Egyéb pénzügyi műveletek bevételei</t>
  </si>
  <si>
    <t>Egyéb működési bevételek</t>
  </si>
  <si>
    <t>B5</t>
  </si>
  <si>
    <t> Immateriális javak értékesítése</t>
  </si>
  <si>
    <t> Ingatlanok értékesítése</t>
  </si>
  <si>
    <t>Egyéb tárgyi eszközök értékesítése</t>
  </si>
  <si>
    <t> Részesedések értékesítése</t>
  </si>
  <si>
    <t>B6</t>
  </si>
  <si>
    <t>Működési célú átvett pénzeszközök</t>
  </si>
  <si>
    <t> Működési célú visszatérítendő támogatások, kölcsönök visszatérülése államháztartáson kívülről </t>
  </si>
  <si>
    <t> Egyéb működési célú átvett pénzeszközök</t>
  </si>
  <si>
    <t>B7</t>
  </si>
  <si>
    <t>Felhalmozási célú visszatérítendő támogatások, kölcsönök visszatérülése államháztartáson kívülrő</t>
  </si>
  <si>
    <t> Egyéb felhalmozási célú átvett pénzeszközök</t>
  </si>
  <si>
    <t xml:space="preserve">KÖLTSÉGVETÉSI BEVÉTELEK ÖSSZESEN </t>
  </si>
  <si>
    <t>B8</t>
  </si>
  <si>
    <t> Hosszú lejáratú hitelek, kölcsönök felvétele</t>
  </si>
  <si>
    <t> Likviditási célú hitelek, kölcsönök felvétele pénzügyi vállalkozástól</t>
  </si>
  <si>
    <t>Rövid lejáratú hitelek, kölcsönök felvétele</t>
  </si>
  <si>
    <t>Belföldi értékpapírok bevételei</t>
  </si>
  <si>
    <t>Előző év költségvetési maradványának igénybevétele</t>
  </si>
  <si>
    <t>Központi, irányító szervi támogatás</t>
  </si>
  <si>
    <t xml:space="preserve">Rovat </t>
  </si>
  <si>
    <t>II.</t>
  </si>
  <si>
    <t xml:space="preserve">Kiemelt előirányzat </t>
  </si>
  <si>
    <t>I.</t>
  </si>
  <si>
    <t>III.</t>
  </si>
  <si>
    <t>IV.</t>
  </si>
  <si>
    <t>V.</t>
  </si>
  <si>
    <t>VI.</t>
  </si>
  <si>
    <t>VII.</t>
  </si>
  <si>
    <t>VIII.</t>
  </si>
  <si>
    <t xml:space="preserve">BEVÉTELEK ÖSSZESEN: </t>
  </si>
  <si>
    <t>Kiadások</t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</si>
  <si>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</si>
  <si>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</si>
  <si>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</si>
  <si>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</si>
  <si>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</si>
  <si>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</si>
  <si>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</si>
  <si>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</si>
  <si>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K5</t>
  </si>
  <si>
    <t>Egyéb működési célú kiadások   ebből:</t>
  </si>
  <si>
    <t>Elvonások és befizetések</t>
  </si>
  <si>
    <t>Működési célú visszatérítendő   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</si>
  <si>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</si>
  <si>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    belülre</t>
  </si>
  <si>
    <t>Működési célú visszatérítendő támogatások, kölcsönök nyújtása államháztartáson kívülre</t>
  </si>
  <si>
    <t>Egyéb működési célú támogatások államháztartáson kívülre</t>
  </si>
  <si>
    <t>Tartalékok</t>
  </si>
  <si>
    <t>2.</t>
  </si>
  <si>
    <t>K6</t>
  </si>
  <si>
    <t>Beruházások : ebből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</si>
  <si>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</si>
  <si>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</si>
  <si>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</si>
  <si>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</si>
  <si>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</si>
  <si>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 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</si>
  <si>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</si>
  <si>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</si>
  <si>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</si>
  <si>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</si>
  <si>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</si>
  <si>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</si>
  <si>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</si>
  <si>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Egyéb felhalmozási kiadások: ebből</t>
  </si>
  <si>
    <t>Felhalmozási célú visszatérítendő támogatások, kölcsönök nyújtása államháztartáson belülre</t>
  </si>
  <si>
    <t> Felhalmozási célú visszatérítendő támogatások, kölcsönök törlesztése államháztartáson belülre</t>
  </si>
  <si>
    <t>Egyéb felhalmozási célú támogatások államháztartáson belülre</t>
  </si>
  <si>
    <t>Lakástámogatás</t>
  </si>
  <si>
    <t> Egyéb felhalmozási célú támogatások államháztartáson kívülre</t>
  </si>
  <si>
    <t>5.</t>
  </si>
  <si>
    <t>K9</t>
  </si>
  <si>
    <t>Finanszírozási kiadások</t>
  </si>
  <si>
    <t>6.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</si>
  <si>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</si>
  <si>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</si>
  <si>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</si>
  <si>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</si>
  <si>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</si>
  <si>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</si>
  <si>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</si>
  <si>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Korrekció Központi, irányító szervi támogatás foly.miatt</t>
  </si>
  <si>
    <t>7.</t>
  </si>
  <si>
    <t>Éves engedélyezett létszám előirányzat (fő)</t>
  </si>
  <si>
    <t>Közfoglalkoztatottak létszáma (fő)</t>
  </si>
  <si>
    <t>Meglévő részesedések növeléséhez kapcsolódó kiadások</t>
  </si>
  <si>
    <t>Felhalmozási költségvetés kiadásai (2.1+…+2.7)</t>
  </si>
  <si>
    <t>Hitel-, kölcsöntörlesztés államháztartáson kívülre   ebből</t>
  </si>
  <si>
    <t>1.</t>
  </si>
  <si>
    <t>1.1</t>
  </si>
  <si>
    <t>1.2</t>
  </si>
  <si>
    <t>1.3</t>
  </si>
  <si>
    <t>1.4</t>
  </si>
  <si>
    <t>1.5</t>
  </si>
  <si>
    <t>3.</t>
  </si>
  <si>
    <t>4.</t>
  </si>
  <si>
    <t>2..1</t>
  </si>
  <si>
    <t>2..2</t>
  </si>
  <si>
    <t>2..3</t>
  </si>
  <si>
    <t>2..4</t>
  </si>
  <si>
    <t> Felhalmozási célú támogatások államháztartáson belülről (2.1-2.4)  ebből</t>
  </si>
  <si>
    <t>3.1</t>
  </si>
  <si>
    <t>3.2</t>
  </si>
  <si>
    <t>3.3</t>
  </si>
  <si>
    <t>3.4</t>
  </si>
  <si>
    <t>3.5</t>
  </si>
  <si>
    <t>Közhatalmi bevételek (3,1-3,5)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</si>
  <si>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</si>
  <si>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</si>
  <si>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</si>
  <si>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</si>
  <si>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</si>
  <si>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</si>
  <si>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</si>
  <si>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</si>
  <si>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</si>
  <si>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</si>
  <si>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</si>
  <si>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</si>
  <si>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Működési bevételek (4,1-4,12)</t>
  </si>
  <si>
    <t xml:space="preserve"> Felhalmozási bevételek </t>
  </si>
  <si>
    <t>5.1</t>
  </si>
  <si>
    <t>5.2</t>
  </si>
  <si>
    <t>5.3</t>
  </si>
  <si>
    <t>5.4</t>
  </si>
  <si>
    <t xml:space="preserve"> Felhalmozási bevételek  (5.1-5.4)</t>
  </si>
  <si>
    <t>6</t>
  </si>
  <si>
    <t>6.1</t>
  </si>
  <si>
    <t>6.2</t>
  </si>
  <si>
    <t>Működési célú átvett pénzeszközök (6,1-6,2)</t>
  </si>
  <si>
    <t>7,1</t>
  </si>
  <si>
    <t>7,2</t>
  </si>
  <si>
    <t>Felhalmozási célú átvett pénzeszközök (7.1-7.2)</t>
  </si>
  <si>
    <t>8</t>
  </si>
  <si>
    <t>8.1</t>
  </si>
  <si>
    <t>8.2</t>
  </si>
  <si>
    <t>8.3</t>
  </si>
  <si>
    <t>8.4</t>
  </si>
  <si>
    <t>8.5</t>
  </si>
  <si>
    <t>8.6</t>
  </si>
  <si>
    <t>VIII. Finanszírozási bevételek (8,1-8,6)</t>
  </si>
  <si>
    <t>9.</t>
  </si>
  <si>
    <t>11.</t>
  </si>
  <si>
    <t>12.</t>
  </si>
  <si>
    <t>13.</t>
  </si>
  <si>
    <t>KÖLTSÉGVETÉSI KIADÁSOK ÖSSZESEN: (K1-K8)</t>
  </si>
  <si>
    <t xml:space="preserve">KIADÁSOK MINDÖSSZESEN: </t>
  </si>
  <si>
    <t>Múködési költségvetés kiadásai</t>
  </si>
  <si>
    <t>5.5</t>
  </si>
  <si>
    <t>5.6</t>
  </si>
  <si>
    <t>5.7</t>
  </si>
  <si>
    <t>6.1.1</t>
  </si>
  <si>
    <t>6.1.2</t>
  </si>
  <si>
    <t>6.1.3</t>
  </si>
  <si>
    <t>6.1.4</t>
  </si>
  <si>
    <t>6.1.5</t>
  </si>
  <si>
    <t>6.1.6</t>
  </si>
  <si>
    <t>6.1.7</t>
  </si>
  <si>
    <t>7,3</t>
  </si>
  <si>
    <t>7,4</t>
  </si>
  <si>
    <t>8,</t>
  </si>
  <si>
    <t>8,1</t>
  </si>
  <si>
    <t>8,2</t>
  </si>
  <si>
    <t>8,3</t>
  </si>
  <si>
    <t>8,4</t>
  </si>
  <si>
    <t>8,5</t>
  </si>
  <si>
    <t>IX</t>
  </si>
  <si>
    <t>9,1</t>
  </si>
  <si>
    <t>9,2</t>
  </si>
  <si>
    <t>9,3</t>
  </si>
  <si>
    <t>9,4</t>
  </si>
  <si>
    <t>9,5</t>
  </si>
  <si>
    <t>9,6</t>
  </si>
  <si>
    <t>9,7</t>
  </si>
  <si>
    <t>9,8</t>
  </si>
  <si>
    <t>9,9</t>
  </si>
  <si>
    <t xml:space="preserve">KIADÁSOK </t>
  </si>
  <si>
    <t>BEVÉTELEK</t>
  </si>
  <si>
    <t>1.1.1</t>
  </si>
  <si>
    <t>1.1.2</t>
  </si>
  <si>
    <t>1.1.3</t>
  </si>
  <si>
    <t>1.1.4</t>
  </si>
  <si>
    <t>1.1.5</t>
  </si>
  <si>
    <t>1.1.6</t>
  </si>
  <si>
    <t>Működési célú támogatások államháztartáson belülről (1.1-1.5)</t>
  </si>
  <si>
    <t> Önkormányzatok működési támogatásai (1.1.1-1,1..6)</t>
  </si>
  <si>
    <t>Melléklet szám</t>
  </si>
  <si>
    <t>Jogcím</t>
  </si>
  <si>
    <t>fajlagos összeg      Ft/fő</t>
  </si>
  <si>
    <t>Feladat mutató</t>
  </si>
  <si>
    <t>Mérték-egység</t>
  </si>
  <si>
    <t xml:space="preserve">Normatíva összege           Ft                                                                                                                                                                                 </t>
  </si>
  <si>
    <t>A helyi önkormányzatok működésének általános támogatása</t>
  </si>
  <si>
    <t>a.</t>
  </si>
  <si>
    <t>Önkormányzati hivatal működésének támogatása</t>
  </si>
  <si>
    <t>fő</t>
  </si>
  <si>
    <t>b-</t>
  </si>
  <si>
    <t>Település-üzemeltetéshez kapcsolódó feladatellátás támogatása</t>
  </si>
  <si>
    <t>-</t>
  </si>
  <si>
    <t>b.a</t>
  </si>
  <si>
    <t>A zöldterület-gazdálkodással kapcsolatos feladatok ellátásának támogatása</t>
  </si>
  <si>
    <t>ha</t>
  </si>
  <si>
    <t>b.b</t>
  </si>
  <si>
    <t>Közvilágítás fenntartásának támogatása</t>
  </si>
  <si>
    <t>km</t>
  </si>
  <si>
    <t>b.c</t>
  </si>
  <si>
    <t>Köztemetőfenntartással kapcsolatos feladatok támogatása</t>
  </si>
  <si>
    <t>m2</t>
  </si>
  <si>
    <t>b,d</t>
  </si>
  <si>
    <t>Közutak fenntartásának támogatása</t>
  </si>
  <si>
    <t>d</t>
  </si>
  <si>
    <t>Egyéb kötelező önkormányzati feladatok támogatása</t>
  </si>
  <si>
    <t>A települési önkormányzatok egyes köznevelési feladatainak támogatása</t>
  </si>
  <si>
    <t>.II.1</t>
  </si>
  <si>
    <t>Óvodapedagógusok,átlagbérének és közterheinek elismert összege 8 hó</t>
  </si>
  <si>
    <t>Óvodapedagógusok,átlagbérének és közterheinek elismert összege 4 hó</t>
  </si>
  <si>
    <t>Óvodapedagógusok,átlagbérének és közterheinek elismert pótlólagos összege</t>
  </si>
  <si>
    <t>Óvodapedagógusoknevelő munkáját közvetlenül segítők átlagbérénk és közterheinek elismert összege</t>
  </si>
  <si>
    <t>2-II.2</t>
  </si>
  <si>
    <t>Óvodaműködtetési támogatás 8 hó</t>
  </si>
  <si>
    <t>Óvodaműködtetési támogatás 4 hó</t>
  </si>
  <si>
    <t>A települési önkormányzatok szociális és gyermekjóléti feladatainak támogatása</t>
  </si>
  <si>
    <t>III.2.</t>
  </si>
  <si>
    <t>Hozzájárulás a pénzbeli szociális ellátásokhoz</t>
  </si>
  <si>
    <t>III.3.a</t>
  </si>
  <si>
    <t>Szociális és gyermekjóléti alapellátások támogatása</t>
  </si>
  <si>
    <t>5395/5000</t>
  </si>
  <si>
    <t>III.3./c</t>
  </si>
  <si>
    <t>szociális étkeztetés</t>
  </si>
  <si>
    <t>III.3./d</t>
  </si>
  <si>
    <t>házi segítségnyújtás</t>
  </si>
  <si>
    <t>III.3./e</t>
  </si>
  <si>
    <t>Tanyagondnoki szolgátatás</t>
  </si>
  <si>
    <t>hó</t>
  </si>
  <si>
    <t>III.3./f</t>
  </si>
  <si>
    <t>Időskorúak nappali intézményi ellátása</t>
  </si>
  <si>
    <t>III.4</t>
  </si>
  <si>
    <t>Idős személyek részére nyújtott szakosított ellátás</t>
  </si>
  <si>
    <t>III.4.a</t>
  </si>
  <si>
    <t>A finanszírozás szempontjából elismert szakami dolgozók bértámogatása</t>
  </si>
  <si>
    <t>III.4.b</t>
  </si>
  <si>
    <t>Intzéményüzemeltetési támogatás</t>
  </si>
  <si>
    <t>III.5.</t>
  </si>
  <si>
    <t>Gyermekétkezetés támogatása</t>
  </si>
  <si>
    <t>III.5.a</t>
  </si>
  <si>
    <t>A finanszírozás szempontjából elismert  dolgozók bértámogatása</t>
  </si>
  <si>
    <t>III.5.b</t>
  </si>
  <si>
    <t>Gyermekétkezetés üzemeltetési támogatás</t>
  </si>
  <si>
    <t>A települési önkormányzatok kulturális feladatainak támogatása</t>
  </si>
  <si>
    <t>Könyvtári, közművelődési és múzeumi feladatok támogatása</t>
  </si>
  <si>
    <t>Összesen</t>
  </si>
  <si>
    <t>Több éves kihatással járó feladatok előirányzatai éves bontásban</t>
  </si>
  <si>
    <t xml:space="preserve"> Ezer forint</t>
  </si>
  <si>
    <t>Sor-
szám</t>
  </si>
  <si>
    <t>Kötelezettség jogcíme</t>
  </si>
  <si>
    <t>Köt. váll.
 éve</t>
  </si>
  <si>
    <t>Kiadás vonzata évenként</t>
  </si>
  <si>
    <t>9=(4+5+6+7+8)</t>
  </si>
  <si>
    <t>Működési célú hiteltörlesztés (tőke+kamat)</t>
  </si>
  <si>
    <t>Felhalmozási célú hiteltörlesztés (tőke+kamat)</t>
  </si>
  <si>
    <t>Beruházás feladatonként</t>
  </si>
  <si>
    <t xml:space="preserve">szennyvíztisztitó és csatorna beruházás </t>
  </si>
  <si>
    <t>iDél-alföldi Reg.ivóvízminőség javító program</t>
  </si>
  <si>
    <t>Felújítás célonként</t>
  </si>
  <si>
    <t>............................</t>
  </si>
  <si>
    <t>8.</t>
  </si>
  <si>
    <t xml:space="preserve">Egyéb </t>
  </si>
  <si>
    <t>10.</t>
  </si>
  <si>
    <t>Világítás korszerűsítés</t>
  </si>
  <si>
    <t>Fűtés korszerűsítés</t>
  </si>
  <si>
    <t>Összesen (1+2+3+6+8)</t>
  </si>
  <si>
    <t>2014. előtti kifizetés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</si>
  <si>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</si>
  <si>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</si>
  <si>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</si>
  <si>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</si>
  <si>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</si>
  <si>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</si>
  <si>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</si>
  <si>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</si>
  <si>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</si>
  <si>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</si>
  <si>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</si>
  <si>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</si>
  <si>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</si>
  <si>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</si>
  <si>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</si>
  <si>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</si>
  <si>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Bevételek összesen:</t>
  </si>
  <si>
    <t>14.</t>
  </si>
  <si>
    <t>15.</t>
  </si>
  <si>
    <t>16.</t>
  </si>
  <si>
    <t>17.</t>
  </si>
  <si>
    <t>18.</t>
  </si>
  <si>
    <t>19.</t>
  </si>
  <si>
    <t>20.</t>
  </si>
  <si>
    <t>22.</t>
  </si>
  <si>
    <t>Kiadások összesen:</t>
  </si>
  <si>
    <t>Személyi jellegű juttatások</t>
  </si>
  <si>
    <t>Munkaadókat terhelő járulékok és szoc hj.adó</t>
  </si>
  <si>
    <t>Dologi kiadás</t>
  </si>
  <si>
    <t xml:space="preserve">Egyéb működési célú kiadás   </t>
  </si>
  <si>
    <t>Beruházás</t>
  </si>
  <si>
    <t>Felújítás</t>
  </si>
  <si>
    <t>Egyéb  felhalmozási kiadás</t>
  </si>
  <si>
    <t>finanszírozási kiadás</t>
  </si>
  <si>
    <t>Működési s.támogatások ÁH berlül</t>
  </si>
  <si>
    <t> Felhalmozási célú támogatások államháztartáson belülről</t>
  </si>
  <si>
    <t xml:space="preserve">Közhatalmi bevételek </t>
  </si>
  <si>
    <t xml:space="preserve">Működési bevételek </t>
  </si>
  <si>
    <t xml:space="preserve">Felhalmozási célú átvett pénzeszközök </t>
  </si>
  <si>
    <t xml:space="preserve"> Finanszírozási bevételek</t>
  </si>
  <si>
    <t>Egyenleg</t>
  </si>
  <si>
    <t>23.</t>
  </si>
  <si>
    <t xml:space="preserve">Mélykút Város Önkormányzat 2014. évi Előirányzat-felhasználási terve
</t>
  </si>
  <si>
    <t>2016 után</t>
  </si>
  <si>
    <t>Kimutatás Mélykút Város Önkormányzatának közvetett támogatásairól</t>
  </si>
  <si>
    <t xml:space="preserve"> Ezer forint 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</si>
  <si>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</si>
  <si>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</si>
  <si>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</si>
  <si>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</si>
  <si>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</si>
  <si>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</si>
  <si>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</si>
  <si>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>Ebből:    Pótlék</t>
  </si>
  <si>
    <t xml:space="preserve">Magánszemélyek kommunális adója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</si>
  <si>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</si>
  <si>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</si>
  <si>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</si>
  <si>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</si>
  <si>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(könyvtári beíratkozási díj)</t>
  </si>
  <si>
    <t>Egyéb kölcsön elengedése</t>
  </si>
  <si>
    <t>Bevételi jogcímek</t>
  </si>
  <si>
    <t>Helyi adók</t>
  </si>
  <si>
    <t>Kezességvállalással kapcsolatos megtérülés</t>
  </si>
  <si>
    <t>SAJÁT BEVÉTELEK ÖSSZESEN</t>
  </si>
  <si>
    <t>. az önkormányzati vagyon és az önkormányzatot megillető vagyoni értékű jog értékesítéséből és hasznosításából származó bevétel</t>
  </si>
  <si>
    <t>. az osztalék, a koncessziós díj és a hozambevétel</t>
  </si>
  <si>
    <t>a tárgyi eszköz és az immateriális jószág, részvény, részesedés, vállalat értékesítéséből vagy privatizációból származó bevétel,</t>
  </si>
  <si>
    <t>. bírság-, pótlék- és díjbevétel</t>
  </si>
  <si>
    <t>2015. évi előirányzat</t>
  </si>
  <si>
    <t>2016. évi előirányzat</t>
  </si>
  <si>
    <t>2017. évi előirányzat</t>
  </si>
  <si>
    <t xml:space="preserve"> Ezer forintban !</t>
  </si>
  <si>
    <t xml:space="preserve">Működési célú támogatások államháztartáson belülről </t>
  </si>
  <si>
    <t>Finanszírozási bevételek összesen</t>
  </si>
  <si>
    <t>Költségvetési hiány:</t>
  </si>
  <si>
    <t>Költségvetési többlet:</t>
  </si>
  <si>
    <t>Tárgyévi  hiány:</t>
  </si>
  <si>
    <t>Tárgyévi  többlet:</t>
  </si>
  <si>
    <t>Finanszírozási kiadások összesen</t>
  </si>
  <si>
    <t>2014. évi előirányzat</t>
  </si>
  <si>
    <t>Költségvetési bevételek összesen:</t>
  </si>
  <si>
    <t>Költségvetési kiadások összesen:</t>
  </si>
  <si>
    <t xml:space="preserve">Egyéb működési célú kiadások  </t>
  </si>
  <si>
    <t>Tartalék</t>
  </si>
  <si>
    <t>KIADÁSOK ÖSSZESEN (27+28)</t>
  </si>
  <si>
    <t xml:space="preserve">BEVÉTEL ÖSSZESEN </t>
  </si>
  <si>
    <t xml:space="preserve">Beruházások </t>
  </si>
  <si>
    <t>Egyéb felhalmozási kiadások</t>
  </si>
  <si>
    <t xml:space="preserve"> Felhalmozási célú támogatások államháztartáson belülről </t>
  </si>
  <si>
    <t>Mélykút Város Önkormányzat összesített működési célú bevételeinek  és kiadásainak  mérlege</t>
  </si>
  <si>
    <t>Mélykút Város Önkormányzat összesített felhalmozási  célú bevételeinek  és kiadásainak  mérlege</t>
  </si>
  <si>
    <t>Támogatott szervezet megnevezése</t>
  </si>
  <si>
    <t>Támogatás célja</t>
  </si>
  <si>
    <t>működési  kiadásaihoz hozzájárulás</t>
  </si>
  <si>
    <t xml:space="preserve">Települési Önkormányzatok Országos Szövetsége </t>
  </si>
  <si>
    <t>érdekképviseleti tagdíj</t>
  </si>
  <si>
    <t>FEBÖSZ tagdíj</t>
  </si>
  <si>
    <t>tagdíj</t>
  </si>
  <si>
    <t>Magyar Önkormányzatok Szövetsége</t>
  </si>
  <si>
    <t>Polgárvédelmi feladatok ellátásához hozzájárulás</t>
  </si>
  <si>
    <t>Felső-Bácskai Regionális Szilárd Hulladéklerakó Önk. Társ.Vaskút</t>
  </si>
  <si>
    <t>ÉPTESZ temető üzemeltetés</t>
  </si>
  <si>
    <t>működési bevételek és kiadások különbözete</t>
  </si>
  <si>
    <t>ÉPTESZ strand  üzemeltetés</t>
  </si>
  <si>
    <t>Fogorvosi alapellátás</t>
  </si>
  <si>
    <t>fogászati tevékenység</t>
  </si>
  <si>
    <t>ÉPTESZ Kft</t>
  </si>
  <si>
    <t>működésre</t>
  </si>
  <si>
    <t>Működési célú pénzeszközátadás államháztartáson kívülre</t>
  </si>
  <si>
    <t>Bursa Hungarica ösztöndíj pályázat</t>
  </si>
  <si>
    <t>Civil szervezetek</t>
  </si>
  <si>
    <t>felsóoktatásban tanuló fiatalok támogatása</t>
  </si>
  <si>
    <t xml:space="preserve"> Önkormányzatok működési támogatásai </t>
  </si>
  <si>
    <t>előirányzat összesen</t>
  </si>
  <si>
    <t>Kiemelt előirányzat</t>
  </si>
  <si>
    <t>kötelező feladat</t>
  </si>
  <si>
    <t>önként vállalt feladat</t>
  </si>
  <si>
    <t>állami feladat</t>
  </si>
  <si>
    <t>MŰKÖDÉSI BEVÉTELEK ÖSSZESEN</t>
  </si>
  <si>
    <t>MŰKÖDÉSI KIADÁSOK ÖSSZESEN</t>
  </si>
  <si>
    <t>Felhalmozási célú átvett pénzeszközök</t>
  </si>
  <si>
    <t>FELHALMOZÁSI BEVÉTELEK ÖSSZESEN</t>
  </si>
  <si>
    <t>FELHALMOZÁSI KIADÁSOK ÖSSZESEN</t>
  </si>
  <si>
    <t xml:space="preserve">BEVÉTELEK MINDÖSSZESEN: </t>
  </si>
  <si>
    <t>KIADÁSOK MINDÖSSZESEN</t>
  </si>
  <si>
    <t xml:space="preserve">Eu támogatással megvalósuló projektek </t>
  </si>
  <si>
    <t>EU-s projekt neve, azonosítója:</t>
  </si>
  <si>
    <t>Ezer forint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</si>
  <si>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</si>
  <si>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</si>
  <si>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</si>
  <si>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</si>
  <si>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</si>
  <si>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</si>
  <si>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</si>
  <si>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</si>
  <si>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</si>
  <si>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Munkaadókat terhelő járulék és szociális hozzájárulási adó</t>
  </si>
  <si>
    <t>Beruházások, beszerzések</t>
  </si>
  <si>
    <t>Szolgáltatások igénybe vétele</t>
  </si>
  <si>
    <t>Adminisztratív költségek</t>
  </si>
  <si>
    <t>KEOP-1.2.0/09-11-2011-0039                  Mélykút Város szennyvízcsatornázási és szennyvíztisztítási beruházása )</t>
  </si>
  <si>
    <t>Személyi jellegű juttatás</t>
  </si>
  <si>
    <t xml:space="preserve">DAOP-3.1.2/B-09-2010-0005            Kerékpárút építése Mélykúton az 55. sz.főút mellett </t>
  </si>
  <si>
    <t>TÁMOP-3.2.13-12/1-2012-0242 Néptánc ami összeköt</t>
  </si>
  <si>
    <t>Támogatott neve</t>
  </si>
  <si>
    <t>Hozzájárulás  (E Ft)</t>
  </si>
  <si>
    <t>Jánoshalma-Mélykút Ivóvízminőség-javító Önkormányzati Társulás</t>
  </si>
  <si>
    <t>101.148</t>
  </si>
  <si>
    <t xml:space="preserve">Ezer forintban </t>
  </si>
  <si>
    <t>Fejlesztési cél leírása</t>
  </si>
  <si>
    <t>Fejlesztés várható kiadása</t>
  </si>
  <si>
    <t>Kerékpárút építése Mélykúton az 55. sz.főút mellett (DAOP-3.1.2/B-09-2010-0005</t>
  </si>
  <si>
    <t xml:space="preserve">Megújuló energiaforrás hasznosítása naperőmű rendszer telepítésével Mélykúton </t>
  </si>
  <si>
    <t>ADÓSSÁGOT KELETKEZTETŐ ÜGYLETEK VÁRHATÓ EGYÜTTES ÖSSZEGE</t>
  </si>
  <si>
    <t xml:space="preserve">Jelentés tartozásállományról 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</si>
  <si>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</si>
  <si>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</si>
  <si>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</si>
  <si>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</si>
  <si>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</si>
  <si>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</si>
  <si>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</si>
  <si>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</si>
  <si>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</si>
  <si>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</si>
  <si>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</si>
  <si>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</si>
  <si>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</si>
  <si>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</si>
  <si>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</si>
  <si>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</si>
  <si>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2012. .......................... hó ..... nap</t>
  </si>
  <si>
    <t>Mélykút Város Önkormányzat 2014. évi  adósságot keletkeztető fejlesztési céljai</t>
  </si>
  <si>
    <t>Beruházás  megnevezése</t>
  </si>
  <si>
    <t>Teljes költség</t>
  </si>
  <si>
    <t>Kivitelezés kezdési és befejezési éve</t>
  </si>
  <si>
    <t>2014. év előtt felhasznált ei</t>
  </si>
  <si>
    <t>2014 évi előirányzat</t>
  </si>
  <si>
    <t xml:space="preserve">
2014 év utáni szükséglet
</t>
  </si>
  <si>
    <t>6=(2-5)</t>
  </si>
  <si>
    <r>
      <t xml:space="preserve">Mélykút Város szennyvízcsatornázási és szennyvíztisztítási beruházása (KEOP-1.2.0/09-11-2011-0039)  </t>
    </r>
    <r>
      <rPr>
        <b/>
        <sz val="9"/>
        <rFont val="Times New Roman"/>
        <family val="1"/>
      </rPr>
      <t>(nettó ktg)</t>
    </r>
  </si>
  <si>
    <t>2014-2015</t>
  </si>
  <si>
    <r>
      <t xml:space="preserve">Jánoshalma-Mélykút Ivóvízminőségjavító Projekt KEOP-1.3.0/09-11-0008   </t>
    </r>
    <r>
      <rPr>
        <b/>
        <sz val="9"/>
        <rFont val="Times New Roman"/>
        <family val="1"/>
      </rPr>
      <t>(nettó ktg)</t>
    </r>
  </si>
  <si>
    <t>buszváró Mélykút-Öregmajor</t>
  </si>
  <si>
    <t>Önkormányzat összesen</t>
  </si>
  <si>
    <t>számítógép</t>
  </si>
  <si>
    <t>Polgármesteri hivatal összesen</t>
  </si>
  <si>
    <t>Nyomtató</t>
  </si>
  <si>
    <t>Mosógép</t>
  </si>
  <si>
    <t>Létra</t>
  </si>
  <si>
    <t>Bútor</t>
  </si>
  <si>
    <t>Laptop</t>
  </si>
  <si>
    <t>Óvoda összaesen</t>
  </si>
  <si>
    <t>GAMESZ összesen</t>
  </si>
  <si>
    <t>laptop</t>
  </si>
  <si>
    <t>kerékpár 2 db</t>
  </si>
  <si>
    <t>Gondozási központ</t>
  </si>
  <si>
    <t>Önkormányzat mindösszesen</t>
  </si>
  <si>
    <t>Önk.műk.támog</t>
  </si>
  <si>
    <t>Bevétel összesen</t>
  </si>
  <si>
    <t>finanszírozási bevétel</t>
  </si>
  <si>
    <t>Kiadások összesen</t>
  </si>
  <si>
    <t>Köztemető-fenntartás és -működtetés</t>
  </si>
  <si>
    <t>Az önkormányzati vagyonnal való gazdálkodással kapcsolatos feladatok</t>
  </si>
  <si>
    <t>Kiemelt állami és önkormányzati rendezvények</t>
  </si>
  <si>
    <t>Rövid időtartamú közfoglalkoztatás</t>
  </si>
  <si>
    <t>Út, autópálya építése</t>
  </si>
  <si>
    <t>Közutak, hidak, alagutak üzemeltetése, fenntartása</t>
  </si>
  <si>
    <t>Parkoló, garázs üzemeltetése, fenntartása</t>
  </si>
  <si>
    <t>Szennyvízcsatorna építése, fenntartása, üzemeltetése</t>
  </si>
  <si>
    <t>Víztermelés, -kezelés, -ellátás</t>
  </si>
  <si>
    <t>Közvilágítás</t>
  </si>
  <si>
    <t>Zöldterület-kezelés</t>
  </si>
  <si>
    <t>Háziorvosi ügyeleti ellátás</t>
  </si>
  <si>
    <t>Egyéb kiadói tevékenység</t>
  </si>
  <si>
    <t>Köznevelési intézmény 1-4. évfolyamán tanulók nevelésével, oktatásával összefüggő működtetési feladatok</t>
  </si>
  <si>
    <t>Köznevelési intézmény 5-8. évfolyamán tanulók nevelésével, oktatásával összefüggő működtetési feladatok</t>
  </si>
  <si>
    <t>Lakóingatlan szociális célú bérbeadása, üzemeltetése</t>
  </si>
  <si>
    <t>Lakásfenntartással, lakhatással összefüggő ellátások</t>
  </si>
  <si>
    <t>Működési bevételek</t>
  </si>
  <si>
    <t xml:space="preserve">Működési célú átvett pénzeszközök </t>
  </si>
  <si>
    <t xml:space="preserve"> Felhalmozási bevételek  </t>
  </si>
  <si>
    <t>Egyéb működési célú támoga-tások bevételei államháztartáson belülről</t>
  </si>
  <si>
    <t>Közhatalmi bevételek</t>
  </si>
  <si>
    <t>011130</t>
  </si>
  <si>
    <t>013320</t>
  </si>
  <si>
    <t>013350</t>
  </si>
  <si>
    <t>016080</t>
  </si>
  <si>
    <t>041231</t>
  </si>
  <si>
    <t>041233</t>
  </si>
  <si>
    <t>045120</t>
  </si>
  <si>
    <t>045160</t>
  </si>
  <si>
    <t>045170</t>
  </si>
  <si>
    <t>052080</t>
  </si>
  <si>
    <t>063020</t>
  </si>
  <si>
    <t>064010</t>
  </si>
  <si>
    <t>066010</t>
  </si>
  <si>
    <t>066020</t>
  </si>
  <si>
    <t>072112</t>
  </si>
  <si>
    <t>072311</t>
  </si>
  <si>
    <t>083030</t>
  </si>
  <si>
    <t>091220</t>
  </si>
  <si>
    <t>092120</t>
  </si>
  <si>
    <t>018010</t>
  </si>
  <si>
    <t>Önkormányzatok elszámolásai a központi költségvetéssel</t>
  </si>
  <si>
    <t>900060</t>
  </si>
  <si>
    <t>Finanszírozási műveletek</t>
  </si>
  <si>
    <t>Finanszírozási kiadás</t>
  </si>
  <si>
    <t>107060</t>
  </si>
  <si>
    <t>Egyéb szociális pénzbeli ell-</t>
  </si>
  <si>
    <t>103010</t>
  </si>
  <si>
    <t>Elhunyt személyek hátramaradottainak pénzbeli ellátása</t>
  </si>
  <si>
    <t>105010</t>
  </si>
  <si>
    <t>Munkanélküli aktív korúak ellátásai</t>
  </si>
  <si>
    <t>106020</t>
  </si>
  <si>
    <t>101150</t>
  </si>
  <si>
    <t>018030</t>
  </si>
  <si>
    <t>Támogatási célú finanszírozási műveletek</t>
  </si>
  <si>
    <t>011220</t>
  </si>
  <si>
    <t>013360</t>
  </si>
  <si>
    <t>Más szerv részére végzett pénzügyi-gazdálkodási, üzemeltetési, egyéb szolgáltatások</t>
  </si>
  <si>
    <t>091110</t>
  </si>
  <si>
    <t>Óvodai nevelés, ellátás szakmai feladatai</t>
  </si>
  <si>
    <t>091140</t>
  </si>
  <si>
    <t xml:space="preserve">             Óvodai nevelés, ellátás működtetési feladati</t>
  </si>
  <si>
    <t>041232</t>
  </si>
  <si>
    <t xml:space="preserve">Start-munka program - Téli közfoglalkoztatás </t>
  </si>
  <si>
    <t>041236</t>
  </si>
  <si>
    <t>Országos közfoglalkoztatási program</t>
  </si>
  <si>
    <t>041237</t>
  </si>
  <si>
    <t>Közfoglalkoztatási mintaprogram</t>
  </si>
  <si>
    <t xml:space="preserve">Város-, községgazdálkodási egyéb szolgáltatások </t>
  </si>
  <si>
    <t>Háziorvosi alapellátás</t>
  </si>
  <si>
    <t>Ifjúság-egészségügyi gondozás</t>
  </si>
  <si>
    <t>Időskorúak, demens betegek tartós bentlakásos ellátása</t>
  </si>
  <si>
    <t xml:space="preserve">013360 </t>
  </si>
  <si>
    <t>072111</t>
  </si>
  <si>
    <t>074031</t>
  </si>
  <si>
    <t>074032</t>
  </si>
  <si>
    <t>096010</t>
  </si>
  <si>
    <t>Óvodai intézményi étkeztetés</t>
  </si>
  <si>
    <t xml:space="preserve">096020 </t>
  </si>
  <si>
    <t>Iskolai intézményi étkeztetés</t>
  </si>
  <si>
    <t xml:space="preserve">102021 </t>
  </si>
  <si>
    <t>102030</t>
  </si>
  <si>
    <t>Idősek, demens betegek nappali ellátása</t>
  </si>
  <si>
    <t xml:space="preserve">104042 </t>
  </si>
  <si>
    <t>Gyermekjóléti szolgáltatások</t>
  </si>
  <si>
    <t>107051</t>
  </si>
  <si>
    <t>Szociális étkeztetés</t>
  </si>
  <si>
    <t xml:space="preserve">107052 </t>
  </si>
  <si>
    <t>Házi segítségnyújtás</t>
  </si>
  <si>
    <t>107054</t>
  </si>
  <si>
    <t>Családsegítés</t>
  </si>
  <si>
    <t xml:space="preserve">107055 </t>
  </si>
  <si>
    <t xml:space="preserve">Falugondnoki, tanyagondnoki szolgáltatás </t>
  </si>
  <si>
    <t>Sportlétesítmények, edzőtáborok működtetése és fejlesztése</t>
  </si>
  <si>
    <t>Könyvtári állomány gyarapítása, nyilvántartása</t>
  </si>
  <si>
    <t>Múzeumi kiállítási tevékenység</t>
  </si>
  <si>
    <t>Közművelődés - közösségi és társadalmi részvétel fejlesztése</t>
  </si>
  <si>
    <t>Közművelődés - egész életre kiterjedő tanulás, amatőr művészetek</t>
  </si>
  <si>
    <t>081030</t>
  </si>
  <si>
    <t>082042</t>
  </si>
  <si>
    <t>082044</t>
  </si>
  <si>
    <t>082063</t>
  </si>
  <si>
    <t>082091</t>
  </si>
  <si>
    <t>082093</t>
  </si>
  <si>
    <t>2015. után</t>
  </si>
  <si>
    <t>TÁMOP-2.4.A/11-1/2012-0058 Tudásdepo express II.</t>
  </si>
  <si>
    <t>Önkormányzaton kívüli EU-s projektekhez történő hozzájárulás 2014. évi előirányzat</t>
  </si>
  <si>
    <t>Mélykút Város  Önkormányzat saját bevételeinek részletezése az adósságot keletkeztető ügyletből származó tárgyévi fizetési kötelezettség megállapításához</t>
  </si>
  <si>
    <t>Homokhátásgi Regionális Önkormányzati Társulás</t>
  </si>
  <si>
    <t xml:space="preserve"> Finanszírozási bevételek (8,1-8,6)</t>
  </si>
  <si>
    <t>KEOP 4.10.0/C/12-2013-0055 megújuló energia forrás hasznosítása naperőmű rendszer telepítésével Mélykútom</t>
  </si>
  <si>
    <t xml:space="preserve">Mélykút Város Önkormányzatot megillető 2014. évi  támogatásokról </t>
  </si>
  <si>
    <t>Mélykút Város Önkormányzat beruházási kiadásai feladatonként</t>
  </si>
  <si>
    <t>Mélykút Város Önkormányzat felújítási  kiadásai  célonként</t>
  </si>
  <si>
    <t>az önkormányzat 2013. évi bevételi és kiadási előirányzatairól, valamint engedélyezett létszámkeretéről</t>
  </si>
  <si>
    <t>Korm.funkció kód</t>
  </si>
  <si>
    <t>Ezer forintban !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</si>
  <si>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</si>
  <si>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</si>
  <si>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</si>
  <si>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</si>
  <si>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</si>
  <si>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</si>
  <si>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</si>
  <si>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Mélykút Város Önkormányzat adósságot keletkeztető ügyletekből és kezességvállalásokból fennálló kötelezettségei</t>
  </si>
  <si>
    <t xml:space="preserve">BEVÉTELEK </t>
  </si>
  <si>
    <t>KIADÁSOK</t>
  </si>
  <si>
    <t>Mélykút Város Önkormányzat  működési  és felhalmotási  célú bevéteeleinek és kiadásainak  2014. évi mérlege kötelező, önként vállalt és állami fekadat szerinti bontásban</t>
  </si>
  <si>
    <t>Mélykúti Polgármesteri hivatal  működési  és felhalmotási  célú bevéteeleinek és kiadásainak  2014. évi mérlegekötelező, önként vállalt és állami fekadat szerinti bontásban</t>
  </si>
  <si>
    <t>Mélykút Város Önkormányzat Óvodája  működési  és felhalmotási  célú bevéteeleinek és kiadásainak  2014. évi mérlege kötelező, önként vállalt és állami fekadat szerinti bontásban</t>
  </si>
  <si>
    <t>Mélykút Város Önkormányzat GAMESZ  működési  és felhalmotási  célú bevéteeleinek és kiadásainak  2014. évi mérlegekötelező, önként vállalt és állami fekadat szerinti bontásban</t>
  </si>
  <si>
    <t>Mélykút Város Önkormányzat Gondozási központja  működési  és felhalmotási  célú bevéteeleinek és kiadásainak  2014. évi mérlegekötelező, önként vállalt és állami fekadat szerinti bontásban</t>
  </si>
  <si>
    <t>állandó jelleggel végzett iparűzési tevékenység után fizetett helyi ip adó</t>
  </si>
  <si>
    <t>Kiszámlázott általános forgalmi adó értékesített termékek és nyújtott szolg</t>
  </si>
  <si>
    <t xml:space="preserve">Kiszámlázott általános forgalmi adó értékesített termékek és nyújtott szolg </t>
  </si>
  <si>
    <t>Általános forgalmi adó visszatérítése értékesített termékek, nyújtott szolg.</t>
  </si>
  <si>
    <t>állandó jelleggel végzett iparűzési tevékenység után fizetett helyi ipi adó</t>
  </si>
  <si>
    <t> Felhalmozási célú támogatások ÁHBelülről</t>
  </si>
  <si>
    <t>ezer Ft</t>
  </si>
  <si>
    <t>Rákóczi u. 5/a önkormányati tulajdonú lakás felújítása</t>
  </si>
  <si>
    <t>az óvoda 2014. évi bevételi és kiadási előirányzatairól, valamint engedélyezett létszámkeretéről</t>
  </si>
  <si>
    <t>a Polgrmesteri hivatal 2014. évi bevételi és kiadási előirányzatairól, valamint engedélyezett létszámkeretéről</t>
  </si>
  <si>
    <t>BEVÉTEL</t>
  </si>
  <si>
    <t>a Gondozási Központ 2014. évi bevételi és kiadási előirányzatairól, valamint engedélyezett létszámkeretéről</t>
  </si>
  <si>
    <t>a Művelőfési Ház és Fenyő Miksa Könyvtár  2014. évi bevételi és kiadási előirányzatairól, valamint engedélyezett létszámkeretéről</t>
  </si>
  <si>
    <t>a GAMESZ 2014. évi bevételi és kiadási előirányzatairól, valamint engedélyezett létszámkeretéről</t>
  </si>
  <si>
    <t>GAMESZ bevételei és kiadásai feladatonként (ezer Ft)</t>
  </si>
  <si>
    <t>Óvoda bevételei és kiadásai feladatonkénti  (ezer Ft)</t>
  </si>
  <si>
    <t>Mélykúti Polgármesterihivatalt bevételei és kiadásai feladatonkénti (ezer Ft)</t>
  </si>
  <si>
    <t>Mélykút Város Önkormányzat bevételei és kiadásai feladatonkénti  (ezer Ft)</t>
  </si>
  <si>
    <t>Művelődési Ház és Fenyő Miksa Könyvtár  bevételei és kiadásai fekadatonként  (ezer Ft)</t>
  </si>
  <si>
    <t>Működési célú támogatások államháztartáson belülre  (ezer Ft)</t>
  </si>
  <si>
    <t>Felvett, átvállalt hitel és annak tőketartozása</t>
  </si>
  <si>
    <t>57700</t>
  </si>
  <si>
    <t>KÖLTSÉGVETÉSI, FINANSZÍROZÁSI BEVÉTELEK ÉS KIADÁSOK EGYENLEGE</t>
  </si>
  <si>
    <t>Ezer forintban</t>
  </si>
  <si>
    <t>Költségvetési hiány, többlet ( költségvetési bevételek - költségvetési kiadások  (+/-)</t>
  </si>
  <si>
    <t>Finanszírozási bevételek, kiadások egyenlege (finanszírozási bevételek  - finanszírozási kiadások(+/-)</t>
  </si>
  <si>
    <t>"Európa a polgárokért" Program 2007-20013-Testvérvárosok polgárainak találkozói</t>
  </si>
  <si>
    <t xml:space="preserve">Egyéb működési célú kiadások   </t>
  </si>
  <si>
    <t>084031</t>
  </si>
  <si>
    <t>tartalékok</t>
  </si>
  <si>
    <t>900070</t>
  </si>
  <si>
    <t>Térfigyelő kamera rendszer kiépítése Mélykút településen</t>
  </si>
  <si>
    <t>IX.</t>
  </si>
  <si>
    <t>X.</t>
  </si>
  <si>
    <t>XI.</t>
  </si>
  <si>
    <t xml:space="preserve">1. </t>
  </si>
  <si>
    <t>Általános tartalék</t>
  </si>
  <si>
    <t>Általános tartalék összesen</t>
  </si>
  <si>
    <t xml:space="preserve">2. </t>
  </si>
  <si>
    <t xml:space="preserve">3. </t>
  </si>
  <si>
    <t xml:space="preserve">4. </t>
  </si>
  <si>
    <t xml:space="preserve">5. </t>
  </si>
  <si>
    <t>Céltartalék összesen</t>
  </si>
  <si>
    <t>Közművelődési érdekletségnövelő támogatás pályázati önrész</t>
  </si>
  <si>
    <t>Tartalék mindösszesen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</si>
  <si>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</si>
  <si>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</si>
  <si>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</si>
  <si>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</si>
  <si>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</si>
  <si>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</si>
  <si>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</si>
  <si>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</si>
  <si>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</si>
  <si>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Rovat</t>
  </si>
  <si>
    <t>9,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</si>
  <si>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</si>
  <si>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</si>
  <si>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</si>
  <si>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</si>
  <si>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</si>
  <si>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</si>
  <si>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</si>
  <si>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</si>
  <si>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</si>
  <si>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Céltartalék</t>
  </si>
  <si>
    <t>Szvetnik Joachim Általános Iskola tornaterem felújítása</t>
  </si>
  <si>
    <t>Költségvetési kiadások összesen (1+...+6)</t>
  </si>
  <si>
    <t>2014. június 1-től 2014. december 31-ig</t>
  </si>
  <si>
    <t>2014. szeptember 1-től 2014. december 31-ig</t>
  </si>
  <si>
    <t xml:space="preserve">2014. szeptember 1-től 2014. október 31-ig </t>
  </si>
  <si>
    <t xml:space="preserve">2014. március 1-től </t>
  </si>
  <si>
    <t>Mélykút Város Önkormányzat összesített költségvetési mérlege</t>
  </si>
  <si>
    <t>Leader Bácska kulturális fesztivál</t>
  </si>
  <si>
    <t>Leader kamera rendszer telepítése Mélykút városában</t>
  </si>
  <si>
    <t>Egyéb felh.célú tám.ÁHTB</t>
  </si>
  <si>
    <t>ezer Ft-ban</t>
  </si>
  <si>
    <t xml:space="preserve">Eredeti előirányzat </t>
  </si>
  <si>
    <t>Módosított előirányzat</t>
  </si>
  <si>
    <t>Módosítás</t>
  </si>
  <si>
    <t>Új Módosított előirányzat</t>
  </si>
  <si>
    <t>Egyéb felhalmozási célú támogatások ÁHT belülre</t>
  </si>
  <si>
    <t> Egyéb felhalmozási célú támogatások ÁHT  kívülre</t>
  </si>
  <si>
    <t xml:space="preserve">Kiszámlázott általános forgalmi adó értékesített termékek és nyújtott szolgált </t>
  </si>
  <si>
    <t xml:space="preserve">         Készletértékesítés</t>
  </si>
  <si>
    <t xml:space="preserve">Költségvetési bevételek összesen </t>
  </si>
  <si>
    <t xml:space="preserve">KIADÁSOK ÖSSZESEN </t>
  </si>
  <si>
    <t>Likvid  hitelek felvétele</t>
  </si>
  <si>
    <t>Likvid  hitelek törlesztése</t>
  </si>
  <si>
    <r>
      <t xml:space="preserve">Mélykút Város szennyvízcsatornázási és szennyvíztisztítási beruházása (KEOP-1.2.0/09-11-2011-0039)  </t>
    </r>
    <r>
      <rPr>
        <b/>
        <sz val="8"/>
        <rFont val="Times New Roman"/>
        <family val="1"/>
      </rPr>
      <t>(nettó ktg)</t>
    </r>
  </si>
  <si>
    <r>
      <t xml:space="preserve">Mélykút Város szennyvízcsatornázási és szennyvíztisztítási beruházása (KEOP-1.2.0/09-11-2011-0039) </t>
    </r>
    <r>
      <rPr>
        <b/>
        <sz val="8"/>
        <rFont val="Times New Roman"/>
        <family val="1"/>
      </rPr>
      <t>áfa</t>
    </r>
  </si>
  <si>
    <r>
      <t xml:space="preserve">Jánoshalma-Mélykút Ivóvízminőségjavító Projekt KEOP-1.3.0/09-11-0008   </t>
    </r>
    <r>
      <rPr>
        <b/>
        <sz val="8"/>
        <rFont val="Times New Roman"/>
        <family val="1"/>
      </rPr>
      <t>(nettó ktg)</t>
    </r>
  </si>
  <si>
    <r>
      <t xml:space="preserve">Jánoshalma-Mélykút Ivóvízminőségjavító Projekt KEOP-1.3.0/09-11-0008  </t>
    </r>
    <r>
      <rPr>
        <b/>
        <sz val="8"/>
        <rFont val="Times New Roman"/>
        <family val="1"/>
      </rPr>
      <t xml:space="preserve"> áfa</t>
    </r>
  </si>
  <si>
    <t>Rendezési terv</t>
  </si>
  <si>
    <t>nyomtatók</t>
  </si>
  <si>
    <t>Belterületi út terv</t>
  </si>
  <si>
    <t>200/9 hrsz-ú ingatlan vásárlása</t>
  </si>
  <si>
    <t>10123 hrsz-ú földterület vásárlás</t>
  </si>
  <si>
    <t>10124 hrsz-ú földterület vásárlás</t>
  </si>
  <si>
    <t>porszívó</t>
  </si>
  <si>
    <t>3654/2 hrsz ingatla</t>
  </si>
  <si>
    <t>bojler iskola+ rendőrség</t>
  </si>
  <si>
    <t>Felvonulási szekrény</t>
  </si>
  <si>
    <t>5 db sátor</t>
  </si>
  <si>
    <t>programok</t>
  </si>
  <si>
    <t>scenell, nyomtaó</t>
  </si>
  <si>
    <t>aprómagvetőgép</t>
  </si>
  <si>
    <t>kultivátor</t>
  </si>
  <si>
    <t>szeletelőgép</t>
  </si>
  <si>
    <t>hűtőszekrény</t>
  </si>
  <si>
    <t>Művelődési Ház és Fenyő Miksa Könyvtár</t>
  </si>
  <si>
    <t>III. számú óvoda mennyezet felújítás</t>
  </si>
  <si>
    <t>Óvoda összesen</t>
  </si>
  <si>
    <t>Módosíított előirányzat</t>
  </si>
  <si>
    <t>Új Módosíított előirányzat</t>
  </si>
  <si>
    <t xml:space="preserve">Felhalmozási költségvetés kiadásai </t>
  </si>
  <si>
    <t>Város,községgazdálk.egyéb szolgáltatások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</si>
</sst>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E"/>
      <family val="0"/>
    </font>
    <font>
      <sz val="8"/>
      <name val="Times New Roman CE"/>
      <family val="1"/>
    </font>
    <font>
      <sz val="12"/>
      <name val="Times New Roman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i/>
      <sz val="7"/>
      <name val="Arial CE"/>
      <family val="0"/>
    </font>
    <font>
      <sz val="7"/>
      <name val="Times New Roman"/>
      <family val="1"/>
    </font>
    <font>
      <b/>
      <sz val="9"/>
      <name val="Times New Roman CE"/>
      <family val="0"/>
    </font>
    <font>
      <sz val="9"/>
      <name val="Times New Roman"/>
      <family val="1"/>
    </font>
    <font>
      <b/>
      <i/>
      <sz val="9"/>
      <name val="Times New Roman CE"/>
      <family val="1"/>
    </font>
    <font>
      <sz val="10"/>
      <color indexed="63"/>
      <name val="Tahoma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 CE"/>
      <family val="1"/>
    </font>
    <font>
      <b/>
      <i/>
      <sz val="8"/>
      <name val="Arial CE"/>
      <family val="0"/>
    </font>
    <font>
      <b/>
      <i/>
      <sz val="9"/>
      <name val="Times New Roman"/>
      <family val="1"/>
    </font>
    <font>
      <sz val="9"/>
      <name val="Times New Roman CE"/>
      <family val="0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9"/>
      <name val="Arial CE"/>
      <family val="0"/>
    </font>
    <font>
      <i/>
      <sz val="9"/>
      <name val="Times New Roman"/>
      <family val="1"/>
    </font>
    <font>
      <sz val="9"/>
      <name val="Arial"/>
      <family val="2"/>
    </font>
    <font>
      <sz val="8"/>
      <color indexed="8"/>
      <name val="Times New Roman"/>
      <family val="1"/>
    </font>
    <font>
      <b/>
      <sz val="9"/>
      <name val="Arial CE"/>
      <family val="0"/>
    </font>
    <font>
      <u val="single"/>
      <sz val="8"/>
      <name val="Times New Roman CE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Garamond"/>
      <family val="1"/>
    </font>
    <font>
      <sz val="8"/>
      <color indexed="63"/>
      <name val="Tahoma"/>
      <family val="2"/>
    </font>
    <font>
      <sz val="7.5"/>
      <name val="Arial CE"/>
      <family val="0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"/>
      <family val="1"/>
    </font>
    <font>
      <sz val="7.5"/>
      <name val="Times New Roman CE"/>
      <family val="0"/>
    </font>
    <font>
      <b/>
      <sz val="7.5"/>
      <name val="Arial CE"/>
      <family val="0"/>
    </font>
    <font>
      <b/>
      <sz val="7"/>
      <name val="Times New Roman"/>
      <family val="1"/>
    </font>
    <font>
      <sz val="7"/>
      <name val="Times New Roman CE"/>
      <family val="0"/>
    </font>
    <font>
      <b/>
      <i/>
      <sz val="7"/>
      <color indexed="10"/>
      <name val="Arial"/>
      <family val="2"/>
    </font>
    <font>
      <b/>
      <i/>
      <sz val="7"/>
      <name val="Times New Roman"/>
      <family val="1"/>
    </font>
    <font>
      <sz val="7"/>
      <color indexed="63"/>
      <name val="Tahoma"/>
      <family val="2"/>
    </font>
    <font>
      <b/>
      <sz val="7"/>
      <name val="Arial"/>
      <family val="2"/>
    </font>
    <font>
      <i/>
      <sz val="7.5"/>
      <name val="Arial CE"/>
      <family val="0"/>
    </font>
    <font>
      <b/>
      <i/>
      <sz val="7.5"/>
      <name val="Times New Roman CE"/>
      <family val="1"/>
    </font>
    <font>
      <b/>
      <sz val="7.5"/>
      <name val="Times New Roman CE"/>
      <family val="0"/>
    </font>
    <font>
      <b/>
      <i/>
      <sz val="8"/>
      <name val="Times New Roman CE"/>
      <family val="1"/>
    </font>
    <font>
      <sz val="8"/>
      <color indexed="63"/>
      <name val="Arial"/>
      <family val="2"/>
    </font>
    <font>
      <b/>
      <sz val="7"/>
      <name val="Times New Roman CE"/>
      <family val="0"/>
    </font>
    <font>
      <b/>
      <i/>
      <sz val="7"/>
      <name val="Times New Roman CE"/>
      <family val="1"/>
    </font>
    <font>
      <i/>
      <sz val="8"/>
      <name val="Arial CE"/>
      <family val="0"/>
    </font>
    <font>
      <b/>
      <i/>
      <sz val="7.5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49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5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17" borderId="7" applyNumberFormat="0" applyFont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46" fillId="4" borderId="0" applyNumberFormat="0" applyBorder="0" applyAlignment="0" applyProtection="0"/>
    <xf numFmtId="0" fontId="50" fillId="22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51" fillId="22" borderId="1" applyNumberFormat="0" applyAlignment="0" applyProtection="0"/>
    <xf numFmtId="9" fontId="0" fillId="0" borderId="0" applyFont="0" applyFill="0" applyBorder="0" applyAlignment="0" applyProtection="0"/>
  </cellStyleXfs>
  <cellXfs count="1092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/>
    </xf>
    <xf numFmtId="49" fontId="24" fillId="0" borderId="19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49" fontId="3" fillId="0" borderId="23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26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5" fillId="0" borderId="0" xfId="0" applyFont="1" applyAlignment="1">
      <alignment/>
    </xf>
    <xf numFmtId="0" fontId="18" fillId="0" borderId="10" xfId="0" applyFont="1" applyBorder="1" applyAlignment="1">
      <alignment horizontal="justify"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28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/>
    </xf>
    <xf numFmtId="0" fontId="4" fillId="0" borderId="28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/>
      <protection/>
    </xf>
    <xf numFmtId="0" fontId="26" fillId="0" borderId="23" xfId="54" applyFont="1" applyFill="1" applyBorder="1" applyAlignment="1">
      <alignment horizontal="center" vertical="center"/>
      <protection/>
    </xf>
    <xf numFmtId="0" fontId="26" fillId="0" borderId="24" xfId="54" applyFont="1" applyFill="1" applyBorder="1" applyAlignment="1">
      <alignment horizontal="center" vertical="center"/>
      <protection/>
    </xf>
    <xf numFmtId="0" fontId="26" fillId="0" borderId="25" xfId="54" applyFont="1" applyFill="1" applyBorder="1" applyAlignment="1">
      <alignment horizontal="center" vertical="center"/>
      <protection/>
    </xf>
    <xf numFmtId="166" fontId="26" fillId="0" borderId="11" xfId="40" applyNumberFormat="1" applyFont="1" applyFill="1" applyBorder="1" applyAlignment="1" applyProtection="1">
      <alignment/>
      <protection locked="0"/>
    </xf>
    <xf numFmtId="0" fontId="26" fillId="0" borderId="19" xfId="54" applyFont="1" applyFill="1" applyBorder="1" applyAlignment="1">
      <alignment horizontal="center" vertical="center"/>
      <protection/>
    </xf>
    <xf numFmtId="0" fontId="26" fillId="0" borderId="10" xfId="54" applyFont="1" applyFill="1" applyBorder="1" applyProtection="1">
      <alignment/>
      <protection locked="0"/>
    </xf>
    <xf numFmtId="166" fontId="26" fillId="0" borderId="10" xfId="40" applyNumberFormat="1" applyFont="1" applyFill="1" applyBorder="1" applyAlignment="1" applyProtection="1">
      <alignment/>
      <protection locked="0"/>
    </xf>
    <xf numFmtId="166" fontId="26" fillId="0" borderId="20" xfId="40" applyNumberFormat="1" applyFont="1" applyFill="1" applyBorder="1" applyAlignment="1">
      <alignment/>
    </xf>
    <xf numFmtId="0" fontId="26" fillId="0" borderId="21" xfId="54" applyFont="1" applyFill="1" applyBorder="1" applyAlignment="1">
      <alignment horizontal="center" vertical="center"/>
      <protection/>
    </xf>
    <xf numFmtId="0" fontId="26" fillId="0" borderId="22" xfId="54" applyFont="1" applyFill="1" applyBorder="1" applyProtection="1">
      <alignment/>
      <protection locked="0"/>
    </xf>
    <xf numFmtId="166" fontId="26" fillId="0" borderId="22" xfId="40" applyNumberFormat="1" applyFont="1" applyFill="1" applyBorder="1" applyAlignment="1" applyProtection="1">
      <alignment/>
      <protection locked="0"/>
    </xf>
    <xf numFmtId="164" fontId="33" fillId="0" borderId="0" xfId="54" applyNumberFormat="1" applyFont="1" applyFill="1" applyBorder="1" applyAlignment="1" applyProtection="1">
      <alignment horizontal="centerContinuous" vertical="center"/>
      <protection/>
    </xf>
    <xf numFmtId="0" fontId="33" fillId="0" borderId="22" xfId="54" applyFont="1" applyFill="1" applyBorder="1" applyAlignment="1">
      <alignment horizontal="center" vertical="center" wrapText="1"/>
      <protection/>
    </xf>
    <xf numFmtId="0" fontId="33" fillId="0" borderId="23" xfId="54" applyFont="1" applyFill="1" applyBorder="1" applyAlignment="1">
      <alignment horizontal="center" vertical="center"/>
      <protection/>
    </xf>
    <xf numFmtId="0" fontId="33" fillId="0" borderId="24" xfId="54" applyFont="1" applyFill="1" applyBorder="1">
      <alignment/>
      <protection/>
    </xf>
    <xf numFmtId="166" fontId="33" fillId="0" borderId="24" xfId="54" applyNumberFormat="1" applyFont="1" applyFill="1" applyBorder="1">
      <alignment/>
      <protection/>
    </xf>
    <xf numFmtId="166" fontId="33" fillId="0" borderId="25" xfId="54" applyNumberFormat="1" applyFont="1" applyFill="1" applyBorder="1">
      <alignment/>
      <protection/>
    </xf>
    <xf numFmtId="0" fontId="7" fillId="0" borderId="10" xfId="54" applyFont="1" applyFill="1" applyBorder="1" applyAlignment="1" applyProtection="1">
      <alignment horizontal="left" vertical="center" textRotation="90" wrapText="1"/>
      <protection/>
    </xf>
    <xf numFmtId="164" fontId="36" fillId="0" borderId="0" xfId="0" applyNumberFormat="1" applyFont="1" applyFill="1" applyAlignment="1">
      <alignment horizontal="center" vertical="center" wrapText="1"/>
    </xf>
    <xf numFmtId="164" fontId="36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right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center" wrapText="1" indent="1"/>
      <protection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 applyProtection="1">
      <alignment horizontal="left" vertical="center" wrapText="1" indent="4"/>
      <protection/>
    </xf>
    <xf numFmtId="0" fontId="18" fillId="0" borderId="2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 applyProtection="1">
      <alignment horizontal="left" vertical="center" wrapText="1" indent="1"/>
      <protection/>
    </xf>
    <xf numFmtId="164" fontId="18" fillId="0" borderId="33" xfId="0" applyNumberFormat="1" applyFont="1" applyFill="1" applyBorder="1" applyAlignment="1" applyProtection="1">
      <alignment vertical="center" wrapText="1"/>
      <protection locked="0"/>
    </xf>
    <xf numFmtId="0" fontId="18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vertical="center" wrapText="1"/>
      <protection/>
    </xf>
    <xf numFmtId="164" fontId="22" fillId="0" borderId="25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4" fontId="4" fillId="25" borderId="10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10" xfId="0" applyNumberFormat="1" applyFont="1" applyFill="1" applyBorder="1" applyAlignment="1">
      <alignment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34" xfId="54" applyFont="1" applyFill="1" applyBorder="1" applyAlignment="1" applyProtection="1">
      <alignment horizontal="center" vertical="center" wrapText="1"/>
      <protection/>
    </xf>
    <xf numFmtId="0" fontId="6" fillId="0" borderId="25" xfId="54" applyFont="1" applyFill="1" applyBorder="1" applyAlignment="1" applyProtection="1">
      <alignment horizontal="center" vertical="center" wrapText="1"/>
      <protection/>
    </xf>
    <xf numFmtId="0" fontId="7" fillId="0" borderId="23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 horizontal="center" vertical="center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7" fillId="0" borderId="14" xfId="54" applyFont="1" applyFill="1" applyBorder="1" applyProtection="1">
      <alignment/>
      <protection/>
    </xf>
    <xf numFmtId="166" fontId="7" fillId="0" borderId="36" xfId="4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19" xfId="54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wrapText="1"/>
    </xf>
    <xf numFmtId="166" fontId="7" fillId="0" borderId="37" xfId="4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justify"/>
    </xf>
    <xf numFmtId="0" fontId="7" fillId="0" borderId="29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Protection="1">
      <alignment/>
      <protection/>
    </xf>
    <xf numFmtId="166" fontId="7" fillId="0" borderId="38" xfId="4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66" fontId="6" fillId="0" borderId="35" xfId="40" applyNumberFormat="1" applyFont="1" applyFill="1" applyBorder="1" applyAlignment="1" applyProtection="1">
      <alignment/>
      <protection/>
    </xf>
    <xf numFmtId="166" fontId="6" fillId="0" borderId="35" xfId="40" applyNumberFormat="1" applyFont="1" applyFill="1" applyBorder="1" applyAlignment="1" applyProtection="1">
      <alignment horizontal="right"/>
      <protection/>
    </xf>
    <xf numFmtId="166" fontId="6" fillId="0" borderId="25" xfId="4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164" fontId="17" fillId="0" borderId="0" xfId="54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7" fillId="0" borderId="10" xfId="54" applyFont="1" applyFill="1" applyBorder="1" applyAlignment="1" applyProtection="1">
      <alignment horizontal="center" vertical="center" wrapText="1"/>
      <protection/>
    </xf>
    <xf numFmtId="0" fontId="17" fillId="0" borderId="10" xfId="54" applyFont="1" applyFill="1" applyBorder="1" applyAlignment="1" applyProtection="1">
      <alignment horizontal="left" vertical="center" wrapText="1"/>
      <protection/>
    </xf>
    <xf numFmtId="3" fontId="17" fillId="0" borderId="10" xfId="0" applyNumberFormat="1" applyFont="1" applyFill="1" applyBorder="1" applyAlignment="1" applyProtection="1">
      <alignment horizontal="left" vertical="center" wrapText="1" indent="12"/>
      <protection locked="0"/>
    </xf>
    <xf numFmtId="0" fontId="17" fillId="0" borderId="10" xfId="54" applyFont="1" applyFill="1" applyBorder="1" applyAlignment="1" applyProtection="1">
      <alignment horizontal="left" vertical="center" wrapText="1" indent="12"/>
      <protection/>
    </xf>
    <xf numFmtId="166" fontId="17" fillId="0" borderId="10" xfId="40" applyNumberFormat="1" applyFont="1" applyFill="1" applyBorder="1" applyAlignment="1" applyProtection="1">
      <alignment horizontal="left" indent="12"/>
      <protection locked="0"/>
    </xf>
    <xf numFmtId="166" fontId="17" fillId="0" borderId="10" xfId="40" applyNumberFormat="1" applyFont="1" applyFill="1" applyBorder="1" applyAlignment="1" applyProtection="1">
      <alignment horizontal="left" indent="12"/>
      <protection/>
    </xf>
    <xf numFmtId="166" fontId="38" fillId="0" borderId="18" xfId="40" applyNumberFormat="1" applyFont="1" applyBorder="1" applyAlignment="1" applyProtection="1">
      <alignment horizontal="right" vertical="center" wrapText="1"/>
      <protection locked="0"/>
    </xf>
    <xf numFmtId="0" fontId="26" fillId="0" borderId="13" xfId="54" applyFont="1" applyFill="1" applyBorder="1" applyAlignment="1">
      <alignment horizontal="center" vertical="center"/>
      <protection/>
    </xf>
    <xf numFmtId="0" fontId="38" fillId="0" borderId="13" xfId="0" applyFont="1" applyBorder="1" applyAlignment="1">
      <alignment horizontal="left" vertical="center" wrapText="1"/>
    </xf>
    <xf numFmtId="166" fontId="38" fillId="0" borderId="14" xfId="40" applyNumberFormat="1" applyFont="1" applyBorder="1" applyAlignment="1" applyProtection="1">
      <alignment horizontal="right" vertical="center" wrapText="1"/>
      <protection locked="0"/>
    </xf>
    <xf numFmtId="49" fontId="38" fillId="0" borderId="14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 textRotation="90" wrapText="1"/>
      <protection/>
    </xf>
    <xf numFmtId="0" fontId="0" fillId="0" borderId="37" xfId="0" applyFill="1" applyBorder="1" applyAlignment="1">
      <alignment/>
    </xf>
    <xf numFmtId="0" fontId="0" fillId="0" borderId="31" xfId="0" applyFill="1" applyBorder="1" applyAlignment="1">
      <alignment/>
    </xf>
    <xf numFmtId="3" fontId="22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3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4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 vertical="center" wrapText="1"/>
    </xf>
    <xf numFmtId="16" fontId="13" fillId="0" borderId="11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wrapText="1"/>
    </xf>
    <xf numFmtId="3" fontId="13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0" fontId="0" fillId="0" borderId="39" xfId="0" applyFill="1" applyBorder="1" applyAlignment="1">
      <alignment wrapText="1"/>
    </xf>
    <xf numFmtId="0" fontId="0" fillId="0" borderId="39" xfId="0" applyFill="1" applyBorder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/>
    </xf>
    <xf numFmtId="0" fontId="58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/>
    </xf>
    <xf numFmtId="0" fontId="4" fillId="0" borderId="40" xfId="0" applyFont="1" applyBorder="1" applyAlignment="1">
      <alignment horizontal="justify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6" borderId="10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horizontal="justify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>
      <alignment horizontal="right"/>
    </xf>
    <xf numFmtId="164" fontId="3" fillId="25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 wrapText="1"/>
    </xf>
    <xf numFmtId="164" fontId="4" fillId="26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left" vertical="center" wrapText="1"/>
    </xf>
    <xf numFmtId="164" fontId="4" fillId="0" borderId="41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>
      <alignment horizontal="right"/>
    </xf>
    <xf numFmtId="0" fontId="12" fillId="25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9" fillId="25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59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49" fontId="4" fillId="0" borderId="10" xfId="0" applyNumberFormat="1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5" fillId="0" borderId="42" xfId="0" applyFont="1" applyFill="1" applyBorder="1" applyAlignment="1">
      <alignment textRotation="90" wrapText="1"/>
    </xf>
    <xf numFmtId="0" fontId="4" fillId="0" borderId="43" xfId="0" applyFont="1" applyFill="1" applyBorder="1" applyAlignment="1">
      <alignment textRotation="90" wrapText="1"/>
    </xf>
    <xf numFmtId="0" fontId="7" fillId="0" borderId="40" xfId="54" applyFont="1" applyFill="1" applyBorder="1" applyAlignment="1" applyProtection="1">
      <alignment horizontal="left" vertical="center" textRotation="90" wrapText="1"/>
      <protection/>
    </xf>
    <xf numFmtId="0" fontId="4" fillId="0" borderId="42" xfId="0" applyFont="1" applyFill="1" applyBorder="1" applyAlignment="1" applyProtection="1">
      <alignment horizontal="left" vertical="center" textRotation="90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7" fillId="0" borderId="40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>
      <alignment/>
    </xf>
    <xf numFmtId="49" fontId="5" fillId="25" borderId="10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49" fontId="31" fillId="0" borderId="44" xfId="0" applyNumberFormat="1" applyFont="1" applyFill="1" applyBorder="1" applyAlignment="1">
      <alignment horizontal="left"/>
    </xf>
    <xf numFmtId="0" fontId="9" fillId="0" borderId="44" xfId="0" applyFont="1" applyFill="1" applyBorder="1" applyAlignment="1">
      <alignment wrapText="1"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49" fontId="3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/>
    </xf>
    <xf numFmtId="0" fontId="0" fillId="25" borderId="10" xfId="0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18" fillId="0" borderId="47" xfId="0" applyFont="1" applyBorder="1" applyAlignment="1">
      <alignment wrapText="1"/>
    </xf>
    <xf numFmtId="0" fontId="18" fillId="0" borderId="44" xfId="0" applyFont="1" applyBorder="1" applyAlignment="1">
      <alignment horizontal="left" vertic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0" fontId="0" fillId="0" borderId="48" xfId="0" applyBorder="1" applyAlignment="1">
      <alignment wrapText="1"/>
    </xf>
    <xf numFmtId="0" fontId="21" fillId="0" borderId="4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1" fillId="0" borderId="49" xfId="0" applyFont="1" applyBorder="1" applyAlignment="1">
      <alignment horizontal="left"/>
    </xf>
    <xf numFmtId="0" fontId="17" fillId="0" borderId="50" xfId="55" applyFont="1" applyFill="1" applyBorder="1" applyAlignment="1" applyProtection="1">
      <alignment horizontal="center" vertical="center" wrapText="1"/>
      <protection/>
    </xf>
    <xf numFmtId="0" fontId="17" fillId="0" borderId="51" xfId="55" applyFont="1" applyFill="1" applyBorder="1" applyAlignment="1" applyProtection="1">
      <alignment horizontal="center" vertical="center" wrapText="1"/>
      <protection/>
    </xf>
    <xf numFmtId="0" fontId="17" fillId="0" borderId="51" xfId="55" applyFont="1" applyFill="1" applyBorder="1" applyAlignment="1" applyProtection="1">
      <alignment horizontal="center" vertical="center"/>
      <protection/>
    </xf>
    <xf numFmtId="0" fontId="17" fillId="0" borderId="52" xfId="55" applyFont="1" applyFill="1" applyBorder="1" applyAlignment="1" applyProtection="1">
      <alignment horizontal="center" vertical="center"/>
      <protection/>
    </xf>
    <xf numFmtId="0" fontId="7" fillId="0" borderId="23" xfId="55" applyFont="1" applyFill="1" applyBorder="1" applyAlignment="1" applyProtection="1">
      <alignment horizontal="left" vertical="center" indent="1"/>
      <protection/>
    </xf>
    <xf numFmtId="0" fontId="7" fillId="0" borderId="53" xfId="55" applyFont="1" applyFill="1" applyBorder="1" applyAlignment="1" applyProtection="1">
      <alignment horizontal="left" vertical="center" indent="1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164" fontId="7" fillId="0" borderId="54" xfId="55" applyNumberFormat="1" applyFont="1" applyFill="1" applyBorder="1" applyAlignment="1" applyProtection="1">
      <alignment vertical="center"/>
      <protection locked="0"/>
    </xf>
    <xf numFmtId="164" fontId="7" fillId="0" borderId="51" xfId="55" applyNumberFormat="1" applyFont="1" applyFill="1" applyBorder="1" applyAlignment="1" applyProtection="1">
      <alignment vertical="center"/>
      <protection locked="0"/>
    </xf>
    <xf numFmtId="164" fontId="7" fillId="0" borderId="18" xfId="55" applyNumberFormat="1" applyFont="1" applyFill="1" applyBorder="1" applyAlignment="1" applyProtection="1">
      <alignment vertical="center"/>
      <protection/>
    </xf>
    <xf numFmtId="0" fontId="7" fillId="0" borderId="19" xfId="55" applyFont="1" applyFill="1" applyBorder="1" applyAlignment="1" applyProtection="1">
      <alignment horizontal="left" vertical="center" indent="1"/>
      <protection/>
    </xf>
    <xf numFmtId="0" fontId="4" fillId="0" borderId="10" xfId="0" applyFont="1" applyBorder="1" applyAlignment="1">
      <alignment horizontal="left" wrapText="1"/>
    </xf>
    <xf numFmtId="164" fontId="7" fillId="0" borderId="40" xfId="55" applyNumberFormat="1" applyFont="1" applyFill="1" applyBorder="1" applyAlignment="1" applyProtection="1">
      <alignment vertical="center"/>
      <protection locked="0"/>
    </xf>
    <xf numFmtId="164" fontId="7" fillId="0" borderId="10" xfId="55" applyNumberFormat="1" applyFont="1" applyFill="1" applyBorder="1" applyAlignment="1" applyProtection="1">
      <alignment vertical="center"/>
      <protection locked="0"/>
    </xf>
    <xf numFmtId="164" fontId="7" fillId="0" borderId="55" xfId="55" applyNumberFormat="1" applyFont="1" applyFill="1" applyBorder="1" applyAlignment="1" applyProtection="1">
      <alignment vertical="center"/>
      <protection/>
    </xf>
    <xf numFmtId="164" fontId="7" fillId="0" borderId="56" xfId="55" applyNumberFormat="1" applyFont="1" applyFill="1" applyBorder="1" applyAlignment="1" applyProtection="1">
      <alignment vertical="center"/>
      <protection locked="0"/>
    </xf>
    <xf numFmtId="164" fontId="7" fillId="0" borderId="41" xfId="55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wrapText="1"/>
    </xf>
    <xf numFmtId="0" fontId="17" fillId="0" borderId="24" xfId="55" applyFont="1" applyFill="1" applyBorder="1" applyAlignment="1" applyProtection="1">
      <alignment horizontal="left" vertical="center" wrapText="1"/>
      <protection/>
    </xf>
    <xf numFmtId="164" fontId="6" fillId="0" borderId="24" xfId="55" applyNumberFormat="1" applyFont="1" applyFill="1" applyBorder="1" applyAlignment="1" applyProtection="1">
      <alignment vertical="center"/>
      <protection/>
    </xf>
    <xf numFmtId="164" fontId="6" fillId="0" borderId="25" xfId="55" applyNumberFormat="1" applyFont="1" applyFill="1" applyBorder="1" applyAlignment="1" applyProtection="1">
      <alignment vertical="center"/>
      <protection/>
    </xf>
    <xf numFmtId="0" fontId="7" fillId="0" borderId="57" xfId="55" applyFont="1" applyFill="1" applyBorder="1" applyAlignment="1" applyProtection="1">
      <alignment horizontal="left" vertical="center" indent="1"/>
      <protection/>
    </xf>
    <xf numFmtId="0" fontId="7" fillId="0" borderId="41" xfId="55" applyFont="1" applyFill="1" applyBorder="1" applyAlignment="1" applyProtection="1">
      <alignment horizontal="left" vertical="center" wrapText="1"/>
      <protection/>
    </xf>
    <xf numFmtId="164" fontId="40" fillId="0" borderId="41" xfId="55" applyNumberFormat="1" applyFont="1" applyFill="1" applyBorder="1" applyAlignment="1" applyProtection="1">
      <alignment vertical="center"/>
      <protection locked="0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44" xfId="54" applyFont="1" applyFill="1" applyBorder="1" applyAlignment="1" applyProtection="1">
      <alignment horizontal="left" vertical="center" wrapText="1"/>
      <protection/>
    </xf>
    <xf numFmtId="0" fontId="6" fillId="0" borderId="23" xfId="55" applyFont="1" applyFill="1" applyBorder="1" applyAlignment="1" applyProtection="1">
      <alignment horizontal="left" vertical="center" indent="1"/>
      <protection/>
    </xf>
    <xf numFmtId="0" fontId="11" fillId="0" borderId="24" xfId="0" applyFont="1" applyBorder="1" applyAlignment="1">
      <alignment wrapText="1"/>
    </xf>
    <xf numFmtId="164" fontId="9" fillId="0" borderId="24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65" fillId="0" borderId="58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 wrapText="1"/>
    </xf>
    <xf numFmtId="0" fontId="13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42" xfId="0" applyFont="1" applyBorder="1" applyAlignment="1">
      <alignment horizontal="center" vertical="center" textRotation="90" wrapText="1"/>
    </xf>
    <xf numFmtId="0" fontId="66" fillId="24" borderId="43" xfId="0" applyFont="1" applyFill="1" applyBorder="1" applyAlignment="1">
      <alignment horizontal="center" vertical="center" textRotation="90" wrapText="1"/>
    </xf>
    <xf numFmtId="0" fontId="67" fillId="0" borderId="40" xfId="54" applyFont="1" applyFill="1" applyBorder="1" applyAlignment="1" applyProtection="1">
      <alignment horizontal="center" vertical="center" textRotation="90" wrapText="1"/>
      <protection/>
    </xf>
    <xf numFmtId="0" fontId="67" fillId="0" borderId="10" xfId="54" applyFont="1" applyFill="1" applyBorder="1" applyAlignment="1" applyProtection="1">
      <alignment horizontal="center" vertical="center" textRotation="90" wrapText="1"/>
      <protection/>
    </xf>
    <xf numFmtId="0" fontId="16" fillId="0" borderId="10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66" fillId="24" borderId="59" xfId="0" applyFont="1" applyFill="1" applyBorder="1" applyAlignment="1">
      <alignment horizontal="center" vertical="center" textRotation="90" wrapText="1"/>
    </xf>
    <xf numFmtId="49" fontId="6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66" fillId="24" borderId="43" xfId="0" applyFont="1" applyFill="1" applyBorder="1" applyAlignment="1">
      <alignment/>
    </xf>
    <xf numFmtId="0" fontId="16" fillId="0" borderId="40" xfId="0" applyFont="1" applyBorder="1" applyAlignment="1">
      <alignment/>
    </xf>
    <xf numFmtId="0" fontId="16" fillId="0" borderId="10" xfId="0" applyFont="1" applyBorder="1" applyAlignment="1">
      <alignment/>
    </xf>
    <xf numFmtId="0" fontId="66" fillId="24" borderId="43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69" fillId="24" borderId="43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/>
    </xf>
    <xf numFmtId="49" fontId="68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wrapText="1"/>
    </xf>
    <xf numFmtId="0" fontId="70" fillId="0" borderId="0" xfId="0" applyFont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/>
    </xf>
    <xf numFmtId="49" fontId="71" fillId="25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66" fillId="0" borderId="0" xfId="0" applyFont="1" applyAlignment="1">
      <alignment wrapText="1"/>
    </xf>
    <xf numFmtId="49" fontId="6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61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 horizontal="center"/>
    </xf>
    <xf numFmtId="0" fontId="61" fillId="0" borderId="0" xfId="0" applyFont="1" applyBorder="1" applyAlignment="1">
      <alignment/>
    </xf>
    <xf numFmtId="164" fontId="65" fillId="0" borderId="10" xfId="0" applyNumberFormat="1" applyFont="1" applyBorder="1" applyAlignment="1">
      <alignment/>
    </xf>
    <xf numFmtId="0" fontId="64" fillId="0" borderId="10" xfId="54" applyFont="1" applyFill="1" applyBorder="1" applyAlignment="1" applyProtection="1">
      <alignment horizontal="left" vertical="center" wrapText="1"/>
      <protection/>
    </xf>
    <xf numFmtId="164" fontId="60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0" fontId="60" fillId="0" borderId="6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28" xfId="0" applyFont="1" applyBorder="1" applyAlignment="1">
      <alignment/>
    </xf>
    <xf numFmtId="0" fontId="62" fillId="0" borderId="10" xfId="0" applyFont="1" applyFill="1" applyBorder="1" applyAlignment="1">
      <alignment wrapText="1"/>
    </xf>
    <xf numFmtId="0" fontId="63" fillId="0" borderId="58" xfId="0" applyFont="1" applyBorder="1" applyAlignment="1">
      <alignment horizontal="center"/>
    </xf>
    <xf numFmtId="49" fontId="61" fillId="0" borderId="0" xfId="0" applyNumberFormat="1" applyFont="1" applyAlignment="1">
      <alignment horizontal="center"/>
    </xf>
    <xf numFmtId="0" fontId="63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vertical="center" wrapText="1"/>
      <protection/>
    </xf>
    <xf numFmtId="49" fontId="61" fillId="0" borderId="0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3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61" xfId="0" applyFont="1" applyBorder="1" applyAlignment="1">
      <alignment/>
    </xf>
    <xf numFmtId="0" fontId="61" fillId="0" borderId="62" xfId="0" applyFont="1" applyBorder="1" applyAlignment="1">
      <alignment/>
    </xf>
    <xf numFmtId="0" fontId="61" fillId="0" borderId="58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63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64" xfId="0" applyFont="1" applyFill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4" xfId="0" applyFont="1" applyBorder="1" applyAlignment="1">
      <alignment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164" fontId="3" fillId="0" borderId="63" xfId="0" applyNumberFormat="1" applyFont="1" applyFill="1" applyBorder="1" applyAlignment="1" applyProtection="1">
      <alignment horizontal="right"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41" xfId="0" applyFont="1" applyBorder="1" applyAlignment="1">
      <alignment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wrapText="1"/>
    </xf>
    <xf numFmtId="164" fontId="3" fillId="0" borderId="65" xfId="0" applyNumberFormat="1" applyFont="1" applyFill="1" applyBorder="1" applyAlignment="1" applyProtection="1">
      <alignment horizontal="right" vertical="center" wrapText="1"/>
      <protection/>
    </xf>
    <xf numFmtId="164" fontId="3" fillId="0" borderId="55" xfId="0" applyNumberFormat="1" applyFont="1" applyFill="1" applyBorder="1" applyAlignment="1" applyProtection="1">
      <alignment horizontal="right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wrapText="1" indent="2"/>
    </xf>
    <xf numFmtId="164" fontId="3" fillId="0" borderId="42" xfId="0" applyNumberFormat="1" applyFont="1" applyFill="1" applyBorder="1" applyAlignment="1" applyProtection="1">
      <alignment horizontal="right" vertical="center" wrapText="1"/>
      <protection/>
    </xf>
    <xf numFmtId="164" fontId="3" fillId="0" borderId="42" xfId="0" applyNumberFormat="1" applyFont="1" applyFill="1" applyBorder="1" applyAlignment="1" applyProtection="1">
      <alignment horizontal="right" vertical="center" wrapText="1"/>
      <protection/>
    </xf>
    <xf numFmtId="164" fontId="9" fillId="0" borderId="20" xfId="0" applyNumberFormat="1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44" xfId="0" applyFont="1" applyBorder="1" applyAlignment="1">
      <alignment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wrapText="1"/>
    </xf>
    <xf numFmtId="164" fontId="3" fillId="0" borderId="45" xfId="0" applyNumberFormat="1" applyFont="1" applyFill="1" applyBorder="1" applyAlignment="1" applyProtection="1">
      <alignment horizontal="right" vertical="center" wrapText="1"/>
      <protection/>
    </xf>
    <xf numFmtId="164" fontId="3" fillId="0" borderId="45" xfId="0" applyNumberFormat="1" applyFont="1" applyFill="1" applyBorder="1" applyAlignment="1" applyProtection="1">
      <alignment horizontal="right" vertical="center" wrapText="1"/>
      <protection/>
    </xf>
    <xf numFmtId="49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wrapText="1"/>
    </xf>
    <xf numFmtId="0" fontId="9" fillId="0" borderId="14" xfId="0" applyFont="1" applyBorder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left" wrapText="1" indent="2"/>
    </xf>
    <xf numFmtId="164" fontId="3" fillId="0" borderId="67" xfId="0" applyNumberFormat="1" applyFont="1" applyFill="1" applyBorder="1" applyAlignment="1" applyProtection="1">
      <alignment horizontal="right" vertical="center" wrapText="1"/>
      <protection/>
    </xf>
    <xf numFmtId="164" fontId="3" fillId="0" borderId="65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wrapText="1" indent="2"/>
    </xf>
    <xf numFmtId="164" fontId="3" fillId="0" borderId="68" xfId="0" applyNumberFormat="1" applyFont="1" applyFill="1" applyBorder="1" applyAlignment="1" applyProtection="1">
      <alignment horizontal="right" vertical="center" wrapText="1"/>
      <protection/>
    </xf>
    <xf numFmtId="0" fontId="3" fillId="0" borderId="24" xfId="0" applyFont="1" applyBorder="1" applyAlignment="1">
      <alignment/>
    </xf>
    <xf numFmtId="0" fontId="9" fillId="0" borderId="69" xfId="0" applyFont="1" applyBorder="1" applyAlignment="1">
      <alignment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 indent="2"/>
    </xf>
    <xf numFmtId="164" fontId="3" fillId="0" borderId="71" xfId="0" applyNumberFormat="1" applyFont="1" applyFill="1" applyBorder="1" applyAlignment="1" applyProtection="1">
      <alignment horizontal="right" vertical="center" wrapText="1"/>
      <protection/>
    </xf>
    <xf numFmtId="164" fontId="3" fillId="0" borderId="71" xfId="0" applyNumberFormat="1" applyFont="1" applyFill="1" applyBorder="1" applyAlignment="1" applyProtection="1">
      <alignment horizontal="right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7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>
      <alignment horizontal="left" indent="2"/>
    </xf>
    <xf numFmtId="49" fontId="4" fillId="0" borderId="73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75" fillId="0" borderId="70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Border="1" applyAlignment="1">
      <alignment wrapText="1"/>
    </xf>
    <xf numFmtId="164" fontId="6" fillId="0" borderId="67" xfId="0" applyNumberFormat="1" applyFont="1" applyFill="1" applyBorder="1" applyAlignment="1" applyProtection="1">
      <alignment horizontal="right" vertical="center" wrapText="1"/>
      <protection/>
    </xf>
    <xf numFmtId="164" fontId="6" fillId="0" borderId="65" xfId="0" applyNumberFormat="1" applyFont="1" applyFill="1" applyBorder="1" applyAlignment="1" applyProtection="1">
      <alignment horizontal="right" vertical="center" wrapText="1"/>
      <protection/>
    </xf>
    <xf numFmtId="0" fontId="9" fillId="0" borderId="20" xfId="0" applyFont="1" applyBorder="1" applyAlignment="1">
      <alignment/>
    </xf>
    <xf numFmtId="49" fontId="7" fillId="0" borderId="40" xfId="54" applyNumberFormat="1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>
      <alignment wrapText="1"/>
    </xf>
    <xf numFmtId="16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7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46" xfId="54" applyNumberFormat="1" applyFont="1" applyFill="1" applyBorder="1" applyAlignment="1" applyProtection="1">
      <alignment horizontal="center" vertical="center" wrapText="1"/>
      <protection/>
    </xf>
    <xf numFmtId="0" fontId="5" fillId="0" borderId="68" xfId="0" applyFont="1" applyBorder="1" applyAlignment="1">
      <alignment wrapText="1"/>
    </xf>
    <xf numFmtId="16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4" xfId="54" applyNumberFormat="1" applyFont="1" applyFill="1" applyBorder="1" applyAlignment="1" applyProtection="1">
      <alignment horizontal="center" vertical="center" wrapText="1"/>
      <protection/>
    </xf>
    <xf numFmtId="49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10" fillId="0" borderId="63" xfId="0" applyFont="1" applyBorder="1" applyAlignment="1">
      <alignment/>
    </xf>
    <xf numFmtId="164" fontId="7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2" xfId="54" applyNumberFormat="1" applyFont="1" applyFill="1" applyBorder="1" applyAlignment="1" applyProtection="1">
      <alignment horizontal="center" vertical="center" wrapText="1"/>
      <protection/>
    </xf>
    <xf numFmtId="49" fontId="7" fillId="0" borderId="75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wrapText="1"/>
    </xf>
    <xf numFmtId="164" fontId="7" fillId="0" borderId="6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0" xfId="54" applyNumberFormat="1" applyFont="1" applyFill="1" applyBorder="1" applyAlignment="1" applyProtection="1">
      <alignment horizontal="center" vertical="center" wrapText="1"/>
      <protection/>
    </xf>
    <xf numFmtId="49" fontId="7" fillId="0" borderId="0" xfId="54" applyNumberFormat="1" applyFont="1" applyFill="1" applyBorder="1" applyAlignment="1" applyProtection="1">
      <alignment horizontal="center" vertical="center" wrapText="1"/>
      <protection/>
    </xf>
    <xf numFmtId="0" fontId="5" fillId="0" borderId="76" xfId="0" applyFont="1" applyBorder="1" applyAlignment="1">
      <alignment wrapText="1"/>
    </xf>
    <xf numFmtId="164" fontId="7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64" xfId="54" applyNumberFormat="1" applyFont="1" applyFill="1" applyBorder="1" applyAlignment="1" applyProtection="1">
      <alignment horizontal="center" vertical="center" wrapText="1"/>
      <protection/>
    </xf>
    <xf numFmtId="49" fontId="7" fillId="0" borderId="66" xfId="54" applyNumberFormat="1" applyFont="1" applyFill="1" applyBorder="1" applyAlignment="1" applyProtection="1">
      <alignment horizontal="center" vertical="center" wrapText="1"/>
      <protection/>
    </xf>
    <xf numFmtId="49" fontId="7" fillId="0" borderId="14" xfId="54" applyNumberFormat="1" applyFont="1" applyFill="1" applyBorder="1" applyAlignment="1" applyProtection="1">
      <alignment horizontal="center" vertical="center" wrapText="1"/>
      <protection/>
    </xf>
    <xf numFmtId="49" fontId="7" fillId="0" borderId="14" xfId="54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75" fillId="0" borderId="64" xfId="0" applyFont="1" applyFill="1" applyBorder="1" applyAlignment="1" applyProtection="1">
      <alignment horizontal="center" vertical="center" wrapText="1"/>
      <protection/>
    </xf>
    <xf numFmtId="49" fontId="75" fillId="0" borderId="66" xfId="0" applyNumberFormat="1" applyFont="1" applyFill="1" applyBorder="1" applyAlignment="1" applyProtection="1">
      <alignment horizontal="center" vertical="center" wrapText="1"/>
      <protection/>
    </xf>
    <xf numFmtId="164" fontId="75" fillId="0" borderId="63" xfId="0" applyNumberFormat="1" applyFont="1" applyFill="1" applyBorder="1" applyAlignment="1" applyProtection="1">
      <alignment horizontal="right" vertical="center" wrapText="1"/>
      <protection/>
    </xf>
    <xf numFmtId="164" fontId="75" fillId="0" borderId="25" xfId="0" applyNumberFormat="1" applyFont="1" applyFill="1" applyBorder="1" applyAlignment="1" applyProtection="1">
      <alignment horizontal="right" vertical="center" wrapText="1"/>
      <protection/>
    </xf>
    <xf numFmtId="49" fontId="6" fillId="0" borderId="64" xfId="54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164" fontId="6" fillId="0" borderId="63" xfId="0" applyNumberFormat="1" applyFont="1" applyFill="1" applyBorder="1" applyAlignment="1" applyProtection="1">
      <alignment horizontal="right" vertical="center" wrapText="1"/>
      <protection/>
    </xf>
    <xf numFmtId="164" fontId="6" fillId="0" borderId="25" xfId="0" applyNumberFormat="1" applyFont="1" applyFill="1" applyBorder="1" applyAlignment="1" applyProtection="1">
      <alignment horizontal="right" vertical="center" wrapText="1"/>
      <protection/>
    </xf>
    <xf numFmtId="49" fontId="7" fillId="0" borderId="56" xfId="54" applyNumberFormat="1" applyFont="1" applyFill="1" applyBorder="1" applyAlignment="1" applyProtection="1">
      <alignment horizontal="center" vertical="center" wrapText="1"/>
      <protection/>
    </xf>
    <xf numFmtId="49" fontId="7" fillId="0" borderId="56" xfId="54" applyNumberFormat="1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wrapText="1"/>
    </xf>
    <xf numFmtId="164" fontId="7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wrapText="1"/>
    </xf>
    <xf numFmtId="16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/>
    </xf>
    <xf numFmtId="0" fontId="5" fillId="0" borderId="44" xfId="0" applyFont="1" applyBorder="1" applyAlignment="1">
      <alignment wrapText="1"/>
    </xf>
    <xf numFmtId="164" fontId="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4" xfId="0" applyFont="1" applyBorder="1" applyAlignment="1">
      <alignment/>
    </xf>
    <xf numFmtId="0" fontId="2" fillId="0" borderId="64" xfId="0" applyFont="1" applyBorder="1" applyAlignment="1" applyProtection="1">
      <alignment horizontal="center" wrapText="1"/>
      <protection/>
    </xf>
    <xf numFmtId="49" fontId="2" fillId="0" borderId="66" xfId="0" applyNumberFormat="1" applyFont="1" applyBorder="1" applyAlignment="1" applyProtection="1">
      <alignment horizontal="center" wrapText="1"/>
      <protection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77" xfId="0" applyFont="1" applyFill="1" applyBorder="1" applyAlignment="1">
      <alignment/>
    </xf>
    <xf numFmtId="0" fontId="9" fillId="0" borderId="77" xfId="0" applyFont="1" applyBorder="1" applyAlignment="1">
      <alignment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49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79" xfId="0" applyFont="1" applyFill="1" applyBorder="1" applyAlignment="1">
      <alignment/>
    </xf>
    <xf numFmtId="0" fontId="9" fillId="0" borderId="79" xfId="0" applyFont="1" applyBorder="1" applyAlignment="1">
      <alignment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164" fontId="6" fillId="0" borderId="63" xfId="0" applyNumberFormat="1" applyFont="1" applyFill="1" applyBorder="1" applyAlignment="1" applyProtection="1">
      <alignment horizontal="right" vertical="center" wrapText="1"/>
      <protection/>
    </xf>
    <xf numFmtId="164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49" fontId="6" fillId="0" borderId="41" xfId="54" applyNumberFormat="1" applyFont="1" applyFill="1" applyBorder="1" applyAlignment="1" applyProtection="1">
      <alignment horizontal="left" vertical="center" wrapText="1"/>
      <protection/>
    </xf>
    <xf numFmtId="0" fontId="6" fillId="0" borderId="41" xfId="54" applyFont="1" applyFill="1" applyBorder="1" applyAlignment="1" applyProtection="1">
      <alignment horizontal="left" vertical="center" wrapText="1"/>
      <protection/>
    </xf>
    <xf numFmtId="164" fontId="6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164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4" xfId="54" applyFont="1" applyFill="1" applyBorder="1" applyAlignment="1" applyProtection="1">
      <alignment horizontal="left" vertical="center" wrapText="1"/>
      <protection/>
    </xf>
    <xf numFmtId="164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8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54" applyNumberFormat="1" applyFont="1" applyFill="1" applyBorder="1" applyAlignment="1" applyProtection="1">
      <alignment horizontal="left" vertical="center" wrapText="1"/>
      <protection/>
    </xf>
    <xf numFmtId="49" fontId="7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69" xfId="0" applyFont="1" applyBorder="1" applyAlignment="1">
      <alignment wrapText="1"/>
    </xf>
    <xf numFmtId="0" fontId="5" fillId="0" borderId="69" xfId="0" applyFont="1" applyBorder="1" applyAlignment="1">
      <alignment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49" fontId="7" fillId="0" borderId="44" xfId="54" applyNumberFormat="1" applyFont="1" applyFill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left" wrapText="1" indent="2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left" vertical="center" wrapText="1"/>
      <protection/>
    </xf>
    <xf numFmtId="49" fontId="6" fillId="0" borderId="24" xfId="54" applyNumberFormat="1" applyFont="1" applyFill="1" applyBorder="1" applyAlignment="1" applyProtection="1">
      <alignment horizontal="left" vertical="center" wrapText="1"/>
      <protection/>
    </xf>
    <xf numFmtId="0" fontId="6" fillId="0" borderId="24" xfId="54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Fill="1" applyBorder="1" applyAlignment="1" applyProtection="1">
      <alignment horizontal="left" vertical="center" wrapText="1"/>
      <protection/>
    </xf>
    <xf numFmtId="49" fontId="7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164" fontId="7" fillId="0" borderId="7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41" xfId="54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wrapText="1" indent="2"/>
    </xf>
    <xf numFmtId="164" fontId="7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 indent="2"/>
    </xf>
    <xf numFmtId="49" fontId="6" fillId="0" borderId="10" xfId="54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54" applyNumberFormat="1" applyFont="1" applyFill="1" applyBorder="1" applyAlignment="1" applyProtection="1">
      <alignment horizontal="left" vertical="center" wrapText="1"/>
      <protection/>
    </xf>
    <xf numFmtId="49" fontId="7" fillId="0" borderId="44" xfId="54" applyNumberFormat="1" applyFont="1" applyFill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wrapText="1" indent="2"/>
    </xf>
    <xf numFmtId="16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80" xfId="0" applyFont="1" applyBorder="1" applyAlignment="1">
      <alignment/>
    </xf>
    <xf numFmtId="164" fontId="75" fillId="0" borderId="63" xfId="0" applyNumberFormat="1" applyFont="1" applyFill="1" applyBorder="1" applyAlignment="1" applyProtection="1">
      <alignment horizontal="right" vertical="center" wrapText="1"/>
      <protection/>
    </xf>
    <xf numFmtId="164" fontId="75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9" xfId="54" applyFont="1" applyFill="1" applyBorder="1" applyAlignment="1" applyProtection="1">
      <alignment horizontal="left" vertical="center" wrapText="1"/>
      <protection/>
    </xf>
    <xf numFmtId="49" fontId="6" fillId="0" borderId="69" xfId="54" applyNumberFormat="1" applyFont="1" applyFill="1" applyBorder="1" applyAlignment="1" applyProtection="1">
      <alignment horizontal="left" vertical="center" wrapText="1"/>
      <protection/>
    </xf>
    <xf numFmtId="0" fontId="3" fillId="0" borderId="69" xfId="0" applyFont="1" applyBorder="1" applyAlignment="1">
      <alignment/>
    </xf>
    <xf numFmtId="164" fontId="75" fillId="0" borderId="71" xfId="0" applyNumberFormat="1" applyFont="1" applyFill="1" applyBorder="1" applyAlignment="1" applyProtection="1">
      <alignment horizontal="right" vertical="center" wrapText="1"/>
      <protection/>
    </xf>
    <xf numFmtId="164" fontId="75" fillId="0" borderId="71" xfId="0" applyNumberFormat="1" applyFont="1" applyFill="1" applyBorder="1" applyAlignment="1" applyProtection="1">
      <alignment horizontal="right" vertical="center" wrapText="1"/>
      <protection/>
    </xf>
    <xf numFmtId="0" fontId="9" fillId="0" borderId="41" xfId="0" applyFont="1" applyFill="1" applyBorder="1" applyAlignment="1">
      <alignment/>
    </xf>
    <xf numFmtId="164" fontId="9" fillId="0" borderId="55" xfId="0" applyNumberFormat="1" applyFont="1" applyBorder="1" applyAlignment="1">
      <alignment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164" fontId="6" fillId="0" borderId="42" xfId="0" applyNumberFormat="1" applyFont="1" applyFill="1" applyBorder="1" applyAlignment="1" applyProtection="1">
      <alignment horizontal="right" vertical="center" wrapText="1"/>
      <protection/>
    </xf>
    <xf numFmtId="164" fontId="6" fillId="0" borderId="42" xfId="0" applyNumberFormat="1" applyFont="1" applyFill="1" applyBorder="1" applyAlignment="1" applyProtection="1">
      <alignment horizontal="right" vertical="center" wrapText="1"/>
      <protection/>
    </xf>
    <xf numFmtId="0" fontId="6" fillId="0" borderId="44" xfId="54" applyFont="1" applyFill="1" applyBorder="1" applyAlignment="1" applyProtection="1">
      <alignment horizontal="left" vertical="center" wrapText="1"/>
      <protection/>
    </xf>
    <xf numFmtId="164" fontId="6" fillId="0" borderId="45" xfId="0" applyNumberFormat="1" applyFont="1" applyFill="1" applyBorder="1" applyAlignment="1" applyProtection="1">
      <alignment horizontal="right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48" xfId="0" applyFont="1" applyFill="1" applyBorder="1" applyAlignment="1">
      <alignment/>
    </xf>
    <xf numFmtId="0" fontId="9" fillId="0" borderId="48" xfId="0" applyFont="1" applyBorder="1" applyAlignment="1">
      <alignment/>
    </xf>
    <xf numFmtId="164" fontId="75" fillId="0" borderId="0" xfId="54" applyNumberFormat="1" applyFont="1" applyFill="1" applyBorder="1" applyAlignment="1" applyProtection="1">
      <alignment horizontal="left" vertical="center"/>
      <protection/>
    </xf>
    <xf numFmtId="164" fontId="75" fillId="0" borderId="78" xfId="54" applyNumberFormat="1" applyFont="1" applyFill="1" applyBorder="1" applyAlignment="1" applyProtection="1">
      <alignment horizontal="left" vertical="center"/>
      <protection/>
    </xf>
    <xf numFmtId="0" fontId="75" fillId="0" borderId="78" xfId="0" applyFont="1" applyFill="1" applyBorder="1" applyAlignment="1" applyProtection="1">
      <alignment horizontal="right" vertical="center"/>
      <protection/>
    </xf>
    <xf numFmtId="0" fontId="6" fillId="0" borderId="81" xfId="54" applyFont="1" applyFill="1" applyBorder="1" applyAlignment="1" applyProtection="1">
      <alignment horizontal="center" vertical="center" wrapText="1"/>
      <protection/>
    </xf>
    <xf numFmtId="0" fontId="6" fillId="0" borderId="66" xfId="54" applyFont="1" applyFill="1" applyBorder="1" applyAlignment="1" applyProtection="1">
      <alignment horizontal="center" vertical="center" wrapText="1"/>
      <protection/>
    </xf>
    <xf numFmtId="0" fontId="6" fillId="0" borderId="82" xfId="54" applyFont="1" applyFill="1" applyBorder="1" applyAlignment="1" applyProtection="1">
      <alignment horizontal="center" vertical="center" wrapText="1"/>
      <protection/>
    </xf>
    <xf numFmtId="0" fontId="6" fillId="0" borderId="64" xfId="54" applyFont="1" applyFill="1" applyBorder="1" applyAlignment="1" applyProtection="1">
      <alignment vertical="center" wrapText="1"/>
      <protection/>
    </xf>
    <xf numFmtId="164" fontId="6" fillId="0" borderId="63" xfId="54" applyNumberFormat="1" applyFont="1" applyFill="1" applyBorder="1" applyAlignment="1" applyProtection="1">
      <alignment horizontal="right" vertical="center" wrapText="1" indent="1"/>
      <protection/>
    </xf>
    <xf numFmtId="164" fontId="6" fillId="0" borderId="25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wrapText="1"/>
    </xf>
    <xf numFmtId="16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75" fillId="0" borderId="10" xfId="0" applyNumberFormat="1" applyFont="1" applyFill="1" applyBorder="1" applyAlignment="1" applyProtection="1">
      <alignment horizontal="right" vertical="center" wrapText="1"/>
      <protection/>
    </xf>
    <xf numFmtId="164" fontId="6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4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10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2" xfId="0" applyFont="1" applyBorder="1" applyAlignment="1">
      <alignment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left" wrapText="1" indent="2"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44" xfId="0" applyNumberFormat="1" applyFont="1" applyFill="1" applyBorder="1" applyAlignment="1" applyProtection="1">
      <alignment horizontal="right" vertical="center" wrapText="1"/>
      <protection/>
    </xf>
    <xf numFmtId="0" fontId="4" fillId="0" borderId="40" xfId="0" applyFont="1" applyBorder="1" applyAlignment="1">
      <alignment horizontal="left" wrapText="1" indent="2"/>
    </xf>
    <xf numFmtId="0" fontId="4" fillId="0" borderId="40" xfId="0" applyFont="1" applyBorder="1" applyAlignment="1" applyProtection="1">
      <alignment horizontal="left" vertical="center" wrapText="1" indent="2"/>
      <protection/>
    </xf>
    <xf numFmtId="0" fontId="4" fillId="0" borderId="40" xfId="0" applyFont="1" applyBorder="1" applyAlignment="1">
      <alignment horizontal="left" indent="2"/>
    </xf>
    <xf numFmtId="0" fontId="4" fillId="0" borderId="73" xfId="0" applyFont="1" applyBorder="1" applyAlignment="1">
      <alignment horizontal="left" wrapText="1" indent="2"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82" xfId="0" applyFont="1" applyBorder="1" applyAlignment="1" applyProtection="1">
      <alignment horizontal="left" vertical="center" wrapText="1"/>
      <protection/>
    </xf>
    <xf numFmtId="0" fontId="4" fillId="0" borderId="75" xfId="0" applyFont="1" applyBorder="1" applyAlignment="1">
      <alignment wrapText="1"/>
    </xf>
    <xf numFmtId="0" fontId="4" fillId="0" borderId="20" xfId="0" applyFont="1" applyBorder="1" applyAlignment="1">
      <alignment/>
    </xf>
    <xf numFmtId="49" fontId="4" fillId="0" borderId="40" xfId="54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wrapText="1"/>
    </xf>
    <xf numFmtId="16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46" xfId="54" applyNumberFormat="1" applyFont="1" applyFill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wrapText="1"/>
    </xf>
    <xf numFmtId="16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4" xfId="54" applyNumberFormat="1" applyFont="1" applyFill="1" applyBorder="1" applyAlignment="1" applyProtection="1">
      <alignment horizontal="center" vertical="center" wrapText="1"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/>
    </xf>
    <xf numFmtId="16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54" applyNumberFormat="1" applyFont="1" applyFill="1" applyBorder="1" applyAlignment="1" applyProtection="1">
      <alignment horizontal="center" vertical="center" wrapText="1"/>
      <protection/>
    </xf>
    <xf numFmtId="49" fontId="4" fillId="0" borderId="14" xfId="54" applyNumberFormat="1" applyFont="1" applyFill="1" applyBorder="1" applyAlignment="1" applyProtection="1">
      <alignment horizontal="center" vertical="center" wrapText="1"/>
      <protection/>
    </xf>
    <xf numFmtId="0" fontId="4" fillId="0" borderId="72" xfId="0" applyFont="1" applyBorder="1" applyAlignment="1">
      <alignment wrapText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21" fillId="0" borderId="69" xfId="0" applyFont="1" applyBorder="1" applyAlignment="1">
      <alignment/>
    </xf>
    <xf numFmtId="49" fontId="4" fillId="0" borderId="70" xfId="54" applyNumberFormat="1" applyFont="1" applyFill="1" applyBorder="1" applyAlignment="1" applyProtection="1">
      <alignment horizontal="center" vertical="center" wrapText="1"/>
      <protection/>
    </xf>
    <xf numFmtId="49" fontId="4" fillId="0" borderId="69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16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>
      <alignment/>
    </xf>
    <xf numFmtId="164" fontId="4" fillId="0" borderId="84" xfId="0" applyNumberFormat="1" applyFont="1" applyBorder="1" applyAlignment="1">
      <alignment/>
    </xf>
    <xf numFmtId="49" fontId="4" fillId="0" borderId="24" xfId="54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left" vertical="center" wrapText="1"/>
      <protection/>
    </xf>
    <xf numFmtId="164" fontId="2" fillId="0" borderId="63" xfId="0" applyNumberFormat="1" applyFont="1" applyFill="1" applyBorder="1" applyAlignment="1" applyProtection="1">
      <alignment horizontal="right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49" fontId="4" fillId="0" borderId="56" xfId="54" applyNumberFormat="1" applyFont="1" applyFill="1" applyBorder="1" applyAlignment="1" applyProtection="1">
      <alignment horizontal="center" vertical="center" wrapText="1"/>
      <protection/>
    </xf>
    <xf numFmtId="49" fontId="4" fillId="0" borderId="41" xfId="54" applyNumberFormat="1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/>
    </xf>
    <xf numFmtId="49" fontId="4" fillId="0" borderId="56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4" fillId="0" borderId="77" xfId="0" applyFont="1" applyBorder="1" applyAlignment="1">
      <alignment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164" fontId="3" fillId="0" borderId="78" xfId="0" applyNumberFormat="1" applyFont="1" applyFill="1" applyBorder="1" applyAlignment="1" applyProtection="1">
      <alignment horizontal="right" vertical="center" wrapText="1"/>
      <protection/>
    </xf>
    <xf numFmtId="164" fontId="3" fillId="0" borderId="78" xfId="0" applyNumberFormat="1" applyFont="1" applyFill="1" applyBorder="1" applyAlignment="1" applyProtection="1">
      <alignment horizontal="right" vertical="center" wrapText="1"/>
      <protection/>
    </xf>
    <xf numFmtId="0" fontId="4" fillId="0" borderId="78" xfId="0" applyFont="1" applyBorder="1" applyAlignment="1">
      <alignment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49" fontId="3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41" xfId="54" applyFont="1" applyFill="1" applyBorder="1" applyAlignment="1" applyProtection="1">
      <alignment horizontal="left" vertical="center" wrapText="1"/>
      <protection/>
    </xf>
    <xf numFmtId="164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54" applyNumberFormat="1" applyFont="1" applyFill="1" applyBorder="1" applyAlignment="1" applyProtection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164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54" applyFont="1" applyFill="1" applyBorder="1" applyAlignment="1" applyProtection="1">
      <alignment horizontal="left" vertical="center" wrapText="1"/>
      <protection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wrapText="1"/>
    </xf>
    <xf numFmtId="0" fontId="4" fillId="0" borderId="69" xfId="0" applyFont="1" applyBorder="1" applyAlignment="1">
      <alignment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49" fontId="4" fillId="0" borderId="44" xfId="54" applyNumberFormat="1" applyFont="1" applyFill="1" applyBorder="1" applyAlignment="1" applyProtection="1">
      <alignment horizontal="left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49" fontId="3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54" applyNumberFormat="1" applyFont="1" applyFill="1" applyBorder="1" applyAlignment="1" applyProtection="1">
      <alignment horizontal="left" vertical="center" wrapText="1"/>
      <protection/>
    </xf>
    <xf numFmtId="49" fontId="4" fillId="0" borderId="41" xfId="54" applyNumberFormat="1" applyFont="1" applyFill="1" applyBorder="1" applyAlignment="1" applyProtection="1">
      <alignment horizontal="left" vertical="center" wrapText="1"/>
      <protection/>
    </xf>
    <xf numFmtId="16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41" xfId="54" applyNumberFormat="1" applyFont="1" applyFill="1" applyBorder="1" applyAlignment="1" applyProtection="1">
      <alignment horizontal="left" vertical="center" wrapText="1"/>
      <protection/>
    </xf>
    <xf numFmtId="164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49" fontId="4" fillId="0" borderId="44" xfId="54" applyNumberFormat="1" applyFont="1" applyFill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/>
    </xf>
    <xf numFmtId="164" fontId="4" fillId="0" borderId="80" xfId="0" applyNumberFormat="1" applyFont="1" applyBorder="1" applyAlignment="1">
      <alignment/>
    </xf>
    <xf numFmtId="0" fontId="3" fillId="0" borderId="69" xfId="54" applyFont="1" applyFill="1" applyBorder="1" applyAlignment="1" applyProtection="1">
      <alignment horizontal="left" vertical="center" wrapText="1"/>
      <protection/>
    </xf>
    <xf numFmtId="49" fontId="3" fillId="0" borderId="69" xfId="54" applyNumberFormat="1" applyFont="1" applyFill="1" applyBorder="1" applyAlignment="1" applyProtection="1">
      <alignment horizontal="left" vertical="center" wrapText="1"/>
      <protection/>
    </xf>
    <xf numFmtId="164" fontId="2" fillId="0" borderId="71" xfId="0" applyNumberFormat="1" applyFont="1" applyFill="1" applyBorder="1" applyAlignment="1" applyProtection="1">
      <alignment horizontal="right" vertical="center" wrapText="1"/>
      <protection/>
    </xf>
    <xf numFmtId="164" fontId="2" fillId="0" borderId="85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3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8" xfId="0" applyNumberFormat="1" applyFont="1" applyFill="1" applyBorder="1" applyAlignment="1" applyProtection="1">
      <alignment horizontal="right" vertical="center" wrapText="1"/>
      <protection/>
    </xf>
    <xf numFmtId="164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67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68" xfId="0" applyFont="1" applyBorder="1" applyAlignment="1">
      <alignment wrapText="1"/>
    </xf>
    <xf numFmtId="49" fontId="3" fillId="0" borderId="66" xfId="54" applyNumberFormat="1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>
      <alignment/>
    </xf>
    <xf numFmtId="49" fontId="4" fillId="0" borderId="72" xfId="54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76" xfId="54" applyNumberFormat="1" applyFont="1" applyFill="1" applyBorder="1" applyAlignment="1" applyProtection="1">
      <alignment horizontal="center" vertical="center" wrapText="1"/>
      <protection/>
    </xf>
    <xf numFmtId="49" fontId="4" fillId="0" borderId="66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wrapText="1"/>
    </xf>
    <xf numFmtId="49" fontId="4" fillId="0" borderId="12" xfId="54" applyNumberFormat="1" applyFont="1" applyFill="1" applyBorder="1" applyAlignment="1" applyProtection="1">
      <alignment horizontal="center" vertical="center" wrapText="1"/>
      <protection/>
    </xf>
    <xf numFmtId="49" fontId="2" fillId="0" borderId="66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right" vertical="center" wrapText="1"/>
      <protection/>
    </xf>
    <xf numFmtId="164" fontId="2" fillId="0" borderId="45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0" xfId="0" applyFont="1" applyBorder="1" applyAlignment="1">
      <alignment/>
    </xf>
    <xf numFmtId="0" fontId="4" fillId="0" borderId="55" xfId="0" applyFont="1" applyBorder="1" applyAlignment="1">
      <alignment/>
    </xf>
    <xf numFmtId="164" fontId="3" fillId="0" borderId="63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2" fillId="0" borderId="83" xfId="0" applyNumberFormat="1" applyFont="1" applyFill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horizontal="left" wrapText="1" indent="2"/>
    </xf>
    <xf numFmtId="164" fontId="3" fillId="0" borderId="25" xfId="0" applyNumberFormat="1" applyFont="1" applyFill="1" applyBorder="1" applyAlignment="1" applyProtection="1">
      <alignment horizontal="right" vertical="center" wrapText="1"/>
      <protection/>
    </xf>
    <xf numFmtId="164" fontId="3" fillId="0" borderId="24" xfId="0" applyNumberFormat="1" applyFont="1" applyFill="1" applyBorder="1" applyAlignment="1" applyProtection="1">
      <alignment horizontal="right" vertical="center" wrapText="1"/>
      <protection/>
    </xf>
    <xf numFmtId="16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75" xfId="54" applyNumberFormat="1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54" applyNumberFormat="1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>
      <alignment wrapText="1"/>
    </xf>
    <xf numFmtId="164" fontId="4" fillId="0" borderId="55" xfId="0" applyNumberFormat="1" applyFont="1" applyBorder="1" applyAlignment="1">
      <alignment/>
    </xf>
    <xf numFmtId="0" fontId="23" fillId="0" borderId="24" xfId="0" applyFont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79" xfId="0" applyFont="1" applyBorder="1" applyAlignment="1">
      <alignment/>
    </xf>
    <xf numFmtId="4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/>
    </xf>
    <xf numFmtId="49" fontId="4" fillId="0" borderId="64" xfId="54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/>
    </xf>
    <xf numFmtId="49" fontId="3" fillId="0" borderId="69" xfId="54" applyNumberFormat="1" applyFont="1" applyFill="1" applyBorder="1" applyAlignment="1" applyProtection="1">
      <alignment horizontal="left" vertical="center" wrapText="1"/>
      <protection/>
    </xf>
    <xf numFmtId="0" fontId="3" fillId="0" borderId="69" xfId="0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67" xfId="54" applyNumberFormat="1" applyFont="1" applyFill="1" applyBorder="1" applyAlignment="1" applyProtection="1">
      <alignment horizontal="center" vertical="center" wrapText="1"/>
      <protection/>
    </xf>
    <xf numFmtId="49" fontId="4" fillId="0" borderId="68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/>
    </xf>
    <xf numFmtId="164" fontId="3" fillId="0" borderId="84" xfId="0" applyNumberFormat="1" applyFont="1" applyFill="1" applyBorder="1" applyAlignment="1" applyProtection="1">
      <alignment horizontal="right" vertical="center" wrapText="1"/>
      <protection/>
    </xf>
    <xf numFmtId="0" fontId="7" fillId="0" borderId="40" xfId="54" applyFont="1" applyFill="1" applyBorder="1" applyAlignment="1" applyProtection="1">
      <alignment horizontal="right" vertical="center" wrapText="1"/>
      <protection/>
    </xf>
    <xf numFmtId="0" fontId="76" fillId="0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164" fontId="14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67" fillId="0" borderId="10" xfId="54" applyFont="1" applyFill="1" applyBorder="1" applyAlignment="1" applyProtection="1">
      <alignment horizontal="left" vertical="center" wrapText="1"/>
      <protection/>
    </xf>
    <xf numFmtId="164" fontId="6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66" fillId="0" borderId="10" xfId="0" applyFont="1" applyBorder="1" applyAlignment="1">
      <alignment/>
    </xf>
    <xf numFmtId="164" fontId="66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wrapText="1" indent="2"/>
    </xf>
    <xf numFmtId="16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 applyProtection="1">
      <alignment horizontal="left" vertical="center" wrapText="1" indent="2"/>
      <protection/>
    </xf>
    <xf numFmtId="0" fontId="71" fillId="0" borderId="10" xfId="0" applyFont="1" applyBorder="1" applyAlignment="1">
      <alignment/>
    </xf>
    <xf numFmtId="164" fontId="6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0" xfId="0" applyFont="1" applyBorder="1" applyAlignment="1">
      <alignment wrapText="1"/>
    </xf>
    <xf numFmtId="164" fontId="13" fillId="0" borderId="0" xfId="0" applyNumberFormat="1" applyFont="1" applyAlignment="1">
      <alignment/>
    </xf>
    <xf numFmtId="0" fontId="71" fillId="0" borderId="10" xfId="0" applyFont="1" applyBorder="1" applyAlignment="1">
      <alignment wrapText="1"/>
    </xf>
    <xf numFmtId="164" fontId="7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66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/>
    </xf>
    <xf numFmtId="0" fontId="16" fillId="0" borderId="44" xfId="0" applyFont="1" applyBorder="1" applyAlignment="1">
      <alignment wrapText="1"/>
    </xf>
    <xf numFmtId="164" fontId="78" fillId="0" borderId="10" xfId="0" applyNumberFormat="1" applyFont="1" applyFill="1" applyBorder="1" applyAlignment="1" applyProtection="1">
      <alignment horizontal="right" vertical="center" wrapText="1"/>
      <protection/>
    </xf>
    <xf numFmtId="164" fontId="77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/>
    </xf>
    <xf numFmtId="0" fontId="13" fillId="0" borderId="60" xfId="0" applyFont="1" applyBorder="1" applyAlignment="1">
      <alignment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3" fontId="13" fillId="0" borderId="0" xfId="0" applyNumberFormat="1" applyFont="1" applyFill="1" applyAlignment="1" applyProtection="1">
      <alignment horizontal="righ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3" fontId="78" fillId="0" borderId="0" xfId="0" applyNumberFormat="1" applyFont="1" applyFill="1" applyAlignment="1" applyProtection="1">
      <alignment horizontal="right" vertical="center"/>
      <protection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164" fontId="79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center" vertical="center"/>
    </xf>
    <xf numFmtId="164" fontId="74" fillId="0" borderId="10" xfId="0" applyNumberFormat="1" applyFont="1" applyFill="1" applyBorder="1" applyAlignment="1" applyProtection="1">
      <alignment horizontal="centerContinuous" vertical="center" wrapText="1"/>
      <protection/>
    </xf>
    <xf numFmtId="3" fontId="74" fillId="0" borderId="10" xfId="0" applyNumberFormat="1" applyFont="1" applyFill="1" applyBorder="1" applyAlignment="1" applyProtection="1">
      <alignment horizontal="right" vertical="center" wrapText="1"/>
      <protection/>
    </xf>
    <xf numFmtId="164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/>
    </xf>
    <xf numFmtId="3" fontId="60" fillId="0" borderId="10" xfId="0" applyNumberFormat="1" applyFont="1" applyBorder="1" applyAlignment="1">
      <alignment horizontal="right"/>
    </xf>
    <xf numFmtId="0" fontId="65" fillId="0" borderId="10" xfId="0" applyFont="1" applyBorder="1" applyAlignment="1">
      <alignment horizontal="center"/>
    </xf>
    <xf numFmtId="164" fontId="74" fillId="0" borderId="10" xfId="0" applyNumberFormat="1" applyFont="1" applyFill="1" applyBorder="1" applyAlignment="1" applyProtection="1">
      <alignment vertical="center" wrapText="1"/>
      <protection/>
    </xf>
    <xf numFmtId="3" fontId="74" fillId="0" borderId="10" xfId="0" applyNumberFormat="1" applyFont="1" applyFill="1" applyBorder="1" applyAlignment="1" applyProtection="1">
      <alignment horizontal="right" vertical="center" wrapText="1"/>
      <protection/>
    </xf>
    <xf numFmtId="3" fontId="65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/>
    </xf>
    <xf numFmtId="164" fontId="74" fillId="0" borderId="10" xfId="0" applyNumberFormat="1" applyFont="1" applyFill="1" applyBorder="1" applyAlignment="1" applyProtection="1">
      <alignment horizontal="left" vertical="center" wrapText="1"/>
      <protection/>
    </xf>
    <xf numFmtId="3" fontId="60" fillId="0" borderId="0" xfId="0" applyNumberFormat="1" applyFont="1" applyAlignment="1">
      <alignment horizontal="right"/>
    </xf>
    <xf numFmtId="164" fontId="60" fillId="0" borderId="0" xfId="0" applyNumberFormat="1" applyFont="1" applyFill="1" applyAlignment="1" applyProtection="1">
      <alignment horizontal="center" vertical="center" wrapText="1"/>
      <protection/>
    </xf>
    <xf numFmtId="3" fontId="60" fillId="0" borderId="0" xfId="0" applyNumberFormat="1" applyFont="1" applyFill="1" applyAlignment="1" applyProtection="1">
      <alignment horizontal="right" vertical="center" wrapText="1"/>
      <protection/>
    </xf>
    <xf numFmtId="164" fontId="60" fillId="0" borderId="0" xfId="0" applyNumberFormat="1" applyFont="1" applyFill="1" applyAlignment="1" applyProtection="1">
      <alignment vertical="center" wrapText="1"/>
      <protection/>
    </xf>
    <xf numFmtId="3" fontId="73" fillId="0" borderId="0" xfId="0" applyNumberFormat="1" applyFont="1" applyFill="1" applyAlignment="1" applyProtection="1">
      <alignment horizontal="right" vertical="center"/>
      <protection/>
    </xf>
    <xf numFmtId="0" fontId="61" fillId="0" borderId="10" xfId="0" applyFont="1" applyBorder="1" applyAlignment="1" applyProtection="1">
      <alignment horizontal="left" vertical="center" wrapText="1"/>
      <protection/>
    </xf>
    <xf numFmtId="3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10" xfId="0" applyFont="1" applyBorder="1" applyAlignment="1">
      <alignment horizontal="left" wrapText="1" indent="2"/>
    </xf>
    <xf numFmtId="164" fontId="7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0" xfId="0" applyNumberFormat="1" applyFont="1" applyFill="1" applyBorder="1" applyAlignment="1" applyProtection="1">
      <alignment vertical="center" wrapText="1"/>
      <protection locked="0"/>
    </xf>
    <xf numFmtId="0" fontId="2" fillId="26" borderId="49" xfId="0" applyFont="1" applyFill="1" applyBorder="1" applyAlignment="1">
      <alignment horizontal="right"/>
    </xf>
    <xf numFmtId="164" fontId="3" fillId="26" borderId="49" xfId="0" applyNumberFormat="1" applyFont="1" applyFill="1" applyBorder="1" applyAlignment="1" applyProtection="1">
      <alignment vertical="center" wrapText="1"/>
      <protection locked="0"/>
    </xf>
    <xf numFmtId="164" fontId="3" fillId="2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26" borderId="49" xfId="0" applyNumberFormat="1" applyFont="1" applyFill="1" applyBorder="1" applyAlignment="1" applyProtection="1">
      <alignment vertical="center" wrapText="1"/>
      <protection locked="0"/>
    </xf>
    <xf numFmtId="16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42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7" fillId="0" borderId="40" xfId="54" applyFont="1" applyFill="1" applyBorder="1" applyAlignment="1" applyProtection="1">
      <alignment horizontal="center" vertical="center" textRotation="90" wrapText="1"/>
      <protection/>
    </xf>
    <xf numFmtId="0" fontId="7" fillId="0" borderId="10" xfId="54" applyFont="1" applyFill="1" applyBorder="1" applyAlignment="1" applyProtection="1">
      <alignment horizontal="center" vertical="center" textRotation="90" wrapText="1"/>
      <protection/>
    </xf>
    <xf numFmtId="0" fontId="4" fillId="0" borderId="42" xfId="0" applyFont="1" applyFill="1" applyBorder="1" applyAlignment="1" applyProtection="1">
      <alignment horizontal="center" vertical="center" textRotation="90" wrapText="1"/>
      <protection/>
    </xf>
    <xf numFmtId="0" fontId="3" fillId="0" borderId="4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7" fillId="0" borderId="10" xfId="54" applyFont="1" applyFill="1" applyBorder="1" applyAlignment="1" applyProtection="1">
      <alignment horizontal="right" vertical="center" wrapText="1"/>
      <protection/>
    </xf>
    <xf numFmtId="49" fontId="31" fillId="0" borderId="44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62" fillId="24" borderId="44" xfId="0" applyFont="1" applyFill="1" applyBorder="1" applyAlignment="1">
      <alignment wrapText="1"/>
    </xf>
    <xf numFmtId="0" fontId="80" fillId="0" borderId="10" xfId="0" applyFont="1" applyBorder="1" applyAlignment="1">
      <alignment horizontal="right" wrapText="1"/>
    </xf>
    <xf numFmtId="0" fontId="65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28" xfId="0" applyFont="1" applyBorder="1" applyAlignment="1">
      <alignment horizontal="center" wrapText="1"/>
    </xf>
    <xf numFmtId="164" fontId="74" fillId="0" borderId="10" xfId="0" applyNumberFormat="1" applyFont="1" applyFill="1" applyBorder="1" applyAlignment="1" applyProtection="1">
      <alignment horizontal="center" vertical="center" wrapText="1"/>
      <protection/>
    </xf>
    <xf numFmtId="164" fontId="74" fillId="0" borderId="0" xfId="0" applyNumberFormat="1" applyFont="1" applyFill="1" applyAlignment="1" applyProtection="1">
      <alignment horizontal="center" vertical="center" wrapText="1"/>
      <protection/>
    </xf>
    <xf numFmtId="164" fontId="77" fillId="0" borderId="0" xfId="0" applyNumberFormat="1" applyFont="1" applyFill="1" applyAlignment="1" applyProtection="1">
      <alignment horizontal="center" vertical="center" wrapText="1"/>
      <protection/>
    </xf>
    <xf numFmtId="0" fontId="18" fillId="0" borderId="42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2"/>
    </xf>
    <xf numFmtId="49" fontId="75" fillId="0" borderId="14" xfId="0" applyNumberFormat="1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49" fontId="75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4" applyNumberFormat="1" applyFont="1" applyFill="1" applyBorder="1" applyAlignment="1" applyProtection="1">
      <alignment horizontal="center" vertical="center" wrapText="1"/>
      <protection/>
    </xf>
    <xf numFmtId="49" fontId="7" fillId="0" borderId="12" xfId="54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42" xfId="0" applyFont="1" applyFill="1" applyBorder="1" applyAlignment="1">
      <alignment wrapText="1"/>
    </xf>
    <xf numFmtId="0" fontId="66" fillId="0" borderId="43" xfId="0" applyFont="1" applyFill="1" applyBorder="1" applyAlignment="1">
      <alignment wrapText="1"/>
    </xf>
    <xf numFmtId="0" fontId="41" fillId="0" borderId="44" xfId="0" applyFont="1" applyFill="1" applyBorder="1" applyAlignment="1">
      <alignment wrapText="1"/>
    </xf>
    <xf numFmtId="0" fontId="41" fillId="0" borderId="44" xfId="0" applyFont="1" applyFill="1" applyBorder="1" applyAlignment="1">
      <alignment wrapText="1"/>
    </xf>
    <xf numFmtId="0" fontId="6" fillId="0" borderId="0" xfId="54" applyFont="1" applyFill="1" applyAlignment="1" applyProtection="1">
      <alignment horizontal="center" wrapText="1"/>
      <protection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 applyProtection="1">
      <alignment horizontal="center" vertical="top"/>
      <protection locked="0"/>
    </xf>
    <xf numFmtId="0" fontId="63" fillId="0" borderId="58" xfId="0" applyFont="1" applyBorder="1" applyAlignment="1">
      <alignment horizontal="center"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65" fillId="0" borderId="58" xfId="0" applyFont="1" applyBorder="1" applyAlignment="1">
      <alignment horizontal="center"/>
    </xf>
    <xf numFmtId="0" fontId="3" fillId="0" borderId="63" xfId="0" applyFont="1" applyFill="1" applyBorder="1" applyAlignment="1" applyProtection="1">
      <alignment horizontal="left" vertical="center"/>
      <protection/>
    </xf>
    <xf numFmtId="0" fontId="3" fillId="0" borderId="66" xfId="0" applyFont="1" applyFill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41" fillId="0" borderId="2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2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8" fillId="0" borderId="37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87" xfId="0" applyFont="1" applyBorder="1" applyAlignment="1">
      <alignment wrapText="1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0" fontId="18" fillId="0" borderId="42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0" fontId="18" fillId="0" borderId="42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90" xfId="0" applyBorder="1" applyAlignment="1">
      <alignment/>
    </xf>
    <xf numFmtId="0" fontId="18" fillId="0" borderId="42" xfId="0" applyFont="1" applyBorder="1" applyAlignment="1">
      <alignment wrapText="1"/>
    </xf>
    <xf numFmtId="0" fontId="22" fillId="0" borderId="42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0" fontId="21" fillId="0" borderId="37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31" xfId="0" applyFont="1" applyBorder="1" applyAlignment="1">
      <alignment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47" xfId="0" applyBorder="1" applyAlignment="1">
      <alignment wrapText="1"/>
    </xf>
    <xf numFmtId="0" fontId="18" fillId="0" borderId="47" xfId="0" applyFont="1" applyBorder="1" applyAlignment="1">
      <alignment wrapText="1"/>
    </xf>
    <xf numFmtId="0" fontId="18" fillId="0" borderId="42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0" xfId="0" applyFont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 vertical="center" wrapText="1" indent="2"/>
    </xf>
    <xf numFmtId="0" fontId="4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49" fontId="4" fillId="0" borderId="28" xfId="0" applyNumberFormat="1" applyFont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84" xfId="0" applyFont="1" applyFill="1" applyBorder="1" applyAlignment="1" applyProtection="1">
      <alignment horizontal="right"/>
      <protection/>
    </xf>
    <xf numFmtId="0" fontId="3" fillId="0" borderId="93" xfId="0" applyFont="1" applyFill="1" applyBorder="1" applyAlignment="1" applyProtection="1">
      <alignment horizontal="left" indent="1"/>
      <protection/>
    </xf>
    <xf numFmtId="0" fontId="3" fillId="0" borderId="94" xfId="0" applyFont="1" applyFill="1" applyBorder="1" applyAlignment="1" applyProtection="1">
      <alignment horizontal="left" indent="1"/>
      <protection/>
    </xf>
    <xf numFmtId="0" fontId="3" fillId="0" borderId="95" xfId="0" applyFont="1" applyFill="1" applyBorder="1" applyAlignment="1" applyProtection="1">
      <alignment horizontal="left" indent="1"/>
      <protection/>
    </xf>
    <xf numFmtId="0" fontId="3" fillId="0" borderId="24" xfId="0" applyFont="1" applyFill="1" applyBorder="1" applyAlignment="1" applyProtection="1">
      <alignment horizontal="right" indent="1"/>
      <protection/>
    </xf>
    <xf numFmtId="0" fontId="3" fillId="0" borderId="25" xfId="0" applyFont="1" applyFill="1" applyBorder="1" applyAlignment="1" applyProtection="1">
      <alignment horizontal="right" inden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97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4" fillId="0" borderId="98" xfId="0" applyFont="1" applyFill="1" applyBorder="1" applyAlignment="1" applyProtection="1">
      <alignment horizontal="left" indent="1"/>
      <protection locked="0"/>
    </xf>
    <xf numFmtId="0" fontId="4" fillId="0" borderId="99" xfId="0" applyFont="1" applyFill="1" applyBorder="1" applyAlignment="1" applyProtection="1">
      <alignment horizontal="left" indent="1"/>
      <protection locked="0"/>
    </xf>
    <xf numFmtId="0" fontId="4" fillId="0" borderId="100" xfId="0" applyFont="1" applyFill="1" applyBorder="1" applyAlignment="1" applyProtection="1">
      <alignment horizontal="left" indent="1"/>
      <protection locked="0"/>
    </xf>
    <xf numFmtId="0" fontId="4" fillId="0" borderId="14" xfId="0" applyFont="1" applyFill="1" applyBorder="1" applyAlignment="1" applyProtection="1">
      <alignment horizontal="right" indent="1"/>
      <protection locked="0"/>
    </xf>
    <xf numFmtId="0" fontId="4" fillId="0" borderId="18" xfId="0" applyFont="1" applyFill="1" applyBorder="1" applyAlignment="1" applyProtection="1">
      <alignment horizontal="right" indent="1"/>
      <protection locked="0"/>
    </xf>
    <xf numFmtId="49" fontId="4" fillId="0" borderId="28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63" xfId="55" applyFont="1" applyFill="1" applyBorder="1" applyAlignment="1" applyProtection="1">
      <alignment horizontal="left" vertical="center" indent="1"/>
      <protection/>
    </xf>
    <xf numFmtId="0" fontId="19" fillId="0" borderId="66" xfId="55" applyFont="1" applyFill="1" applyBorder="1" applyAlignment="1" applyProtection="1">
      <alignment horizontal="left" vertical="center" indent="1"/>
      <protection/>
    </xf>
    <xf numFmtId="0" fontId="19" fillId="0" borderId="82" xfId="55" applyFont="1" applyFill="1" applyBorder="1" applyAlignment="1" applyProtection="1">
      <alignment horizontal="left" vertical="center" indent="1"/>
      <protection/>
    </xf>
    <xf numFmtId="0" fontId="18" fillId="0" borderId="0" xfId="0" applyFont="1" applyAlignment="1">
      <alignment horizontal="center"/>
    </xf>
    <xf numFmtId="0" fontId="18" fillId="0" borderId="58" xfId="55" applyFont="1" applyFill="1" applyBorder="1" applyAlignment="1" applyProtection="1">
      <alignment horizontal="center" wrapText="1"/>
      <protection/>
    </xf>
    <xf numFmtId="0" fontId="18" fillId="0" borderId="58" xfId="55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64" fontId="29" fillId="0" borderId="0" xfId="54" applyNumberFormat="1" applyFont="1" applyFill="1" applyBorder="1" applyAlignment="1" applyProtection="1">
      <alignment horizontal="center" vertical="center" wrapText="1"/>
      <protection/>
    </xf>
    <xf numFmtId="0" fontId="17" fillId="0" borderId="23" xfId="54" applyFont="1" applyFill="1" applyBorder="1" applyAlignment="1" applyProtection="1">
      <alignment horizontal="left"/>
      <protection/>
    </xf>
    <xf numFmtId="0" fontId="17" fillId="0" borderId="24" xfId="54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164" fontId="29" fillId="0" borderId="0" xfId="54" applyNumberFormat="1" applyFont="1" applyFill="1" applyBorder="1" applyAlignment="1" applyProtection="1">
      <alignment horizontal="center" vertical="center" wrapText="1"/>
      <protection/>
    </xf>
    <xf numFmtId="164" fontId="33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33" fillId="0" borderId="13" xfId="54" applyFont="1" applyFill="1" applyBorder="1" applyAlignment="1">
      <alignment horizontal="center" vertical="center" wrapText="1"/>
      <protection/>
    </xf>
    <xf numFmtId="0" fontId="33" fillId="0" borderId="21" xfId="54" applyFont="1" applyFill="1" applyBorder="1" applyAlignment="1">
      <alignment horizontal="center" vertical="center" wrapText="1"/>
      <protection/>
    </xf>
    <xf numFmtId="0" fontId="33" fillId="0" borderId="14" xfId="54" applyFont="1" applyFill="1" applyBorder="1" applyAlignment="1">
      <alignment horizontal="center" vertical="center" wrapText="1"/>
      <protection/>
    </xf>
    <xf numFmtId="0" fontId="33" fillId="0" borderId="22" xfId="54" applyFont="1" applyFill="1" applyBorder="1" applyAlignment="1">
      <alignment horizontal="center" vertical="center" wrapText="1"/>
      <protection/>
    </xf>
    <xf numFmtId="0" fontId="33" fillId="0" borderId="18" xfId="54" applyFont="1" applyFill="1" applyBorder="1" applyAlignment="1">
      <alignment horizontal="center" vertical="center" wrapText="1"/>
      <protection/>
    </xf>
    <xf numFmtId="0" fontId="33" fillId="0" borderId="33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18" fillId="0" borderId="90" xfId="0" applyFont="1" applyBorder="1" applyAlignment="1">
      <alignment horizontal="left" wrapText="1"/>
    </xf>
    <xf numFmtId="0" fontId="18" fillId="0" borderId="88" xfId="0" applyFont="1" applyBorder="1" applyAlignment="1">
      <alignment wrapText="1"/>
    </xf>
    <xf numFmtId="0" fontId="18" fillId="0" borderId="89" xfId="0" applyFont="1" applyBorder="1" applyAlignment="1">
      <alignment wrapText="1"/>
    </xf>
    <xf numFmtId="0" fontId="18" fillId="0" borderId="44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SEGED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%202014.12.%20&#233;v%20v&#233;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"/>
      <sheetName val="kvi mérleg"/>
      <sheetName val="önk.köt."/>
      <sheetName val="ph köt."/>
      <sheetName val="óvoda köt"/>
      <sheetName val="gamesz köt"/>
      <sheetName val="Gondoz köt"/>
      <sheetName val="műv.köt."/>
      <sheetName val="műk-felh"/>
      <sheetName val="norma"/>
      <sheetName val="beruh."/>
      <sheetName val="rend"/>
      <sheetName val="önk.kia-bev"/>
      <sheetName val="Ph bev-kia"/>
      <sheetName val="óvoda bev-kia"/>
      <sheetName val="gamesz bev.-kia"/>
      <sheetName val="Gond.bev-kia"/>
      <sheetName val="műv.bev-kia"/>
      <sheetName val="tám"/>
      <sheetName val="ei"/>
      <sheetName val="tart"/>
    </sheetNames>
    <sheetDataSet>
      <sheetData sheetId="2">
        <row r="37">
          <cell r="H37">
            <v>190498</v>
          </cell>
        </row>
        <row r="49">
          <cell r="H49">
            <v>209755</v>
          </cell>
        </row>
      </sheetData>
      <sheetData sheetId="3">
        <row r="6">
          <cell r="B6">
            <v>443302</v>
          </cell>
          <cell r="G6">
            <v>34676</v>
          </cell>
        </row>
        <row r="7">
          <cell r="G7">
            <v>12175</v>
          </cell>
        </row>
        <row r="8">
          <cell r="G8">
            <v>93316</v>
          </cell>
        </row>
        <row r="9">
          <cell r="B9">
            <v>145584</v>
          </cell>
          <cell r="G9">
            <v>9174</v>
          </cell>
        </row>
        <row r="10">
          <cell r="G10">
            <v>39807</v>
          </cell>
        </row>
        <row r="25">
          <cell r="B25">
            <v>1854910</v>
          </cell>
        </row>
        <row r="27">
          <cell r="G27">
            <v>8822</v>
          </cell>
        </row>
        <row r="28">
          <cell r="G28">
            <v>6701</v>
          </cell>
        </row>
        <row r="29">
          <cell r="B29">
            <v>621</v>
          </cell>
        </row>
      </sheetData>
      <sheetData sheetId="4">
        <row r="4">
          <cell r="B4">
            <v>3270</v>
          </cell>
          <cell r="G4">
            <v>51665</v>
          </cell>
        </row>
        <row r="5">
          <cell r="G5">
            <v>13808</v>
          </cell>
        </row>
        <row r="6">
          <cell r="G6">
            <v>10637</v>
          </cell>
        </row>
        <row r="7">
          <cell r="G7">
            <v>79810</v>
          </cell>
        </row>
        <row r="8">
          <cell r="G8">
            <v>1823</v>
          </cell>
        </row>
      </sheetData>
      <sheetData sheetId="5">
        <row r="4">
          <cell r="B4">
            <v>0</v>
          </cell>
          <cell r="G4">
            <v>63298</v>
          </cell>
        </row>
        <row r="5">
          <cell r="G5">
            <v>16028</v>
          </cell>
        </row>
        <row r="6">
          <cell r="G6">
            <v>6734</v>
          </cell>
        </row>
        <row r="8">
          <cell r="G8">
            <v>1299</v>
          </cell>
        </row>
      </sheetData>
      <sheetData sheetId="6">
        <row r="4">
          <cell r="B4">
            <v>213787</v>
          </cell>
          <cell r="G4">
            <v>198852</v>
          </cell>
        </row>
        <row r="5">
          <cell r="G5">
            <v>30702</v>
          </cell>
        </row>
        <row r="6">
          <cell r="G6">
            <v>66531</v>
          </cell>
        </row>
        <row r="8">
          <cell r="G8">
            <v>5288</v>
          </cell>
        </row>
        <row r="23">
          <cell r="B23">
            <v>9216</v>
          </cell>
        </row>
      </sheetData>
      <sheetData sheetId="7">
        <row r="4">
          <cell r="B4">
            <v>0</v>
          </cell>
          <cell r="G4">
            <v>63054</v>
          </cell>
        </row>
        <row r="5">
          <cell r="G5">
            <v>16265</v>
          </cell>
        </row>
        <row r="6">
          <cell r="G6">
            <v>87986</v>
          </cell>
        </row>
        <row r="8">
          <cell r="G8">
            <v>2653</v>
          </cell>
        </row>
      </sheetData>
      <sheetData sheetId="8">
        <row r="4">
          <cell r="B4">
            <v>0</v>
          </cell>
          <cell r="G4">
            <v>18878</v>
          </cell>
        </row>
        <row r="5">
          <cell r="G5">
            <v>4665</v>
          </cell>
        </row>
        <row r="6">
          <cell r="G6">
            <v>15935</v>
          </cell>
        </row>
        <row r="8">
          <cell r="G8">
            <v>651</v>
          </cell>
        </row>
      </sheetData>
      <sheetData sheetId="12">
        <row r="58">
          <cell r="H58">
            <v>99064</v>
          </cell>
        </row>
        <row r="168">
          <cell r="H168">
            <v>605</v>
          </cell>
        </row>
        <row r="280">
          <cell r="H280">
            <v>508</v>
          </cell>
        </row>
        <row r="391">
          <cell r="H391">
            <v>4382</v>
          </cell>
        </row>
        <row r="502">
          <cell r="H502">
            <v>1063</v>
          </cell>
        </row>
        <row r="613">
          <cell r="H613">
            <v>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91">
      <selection activeCell="A115" sqref="A115:F115"/>
    </sheetView>
  </sheetViews>
  <sheetFormatPr defaultColWidth="9.00390625" defaultRowHeight="19.5" customHeight="1"/>
  <cols>
    <col min="1" max="1" width="3.125" style="348" customWidth="1"/>
    <col min="2" max="3" width="4.25390625" style="348" customWidth="1"/>
    <col min="4" max="4" width="42.375" style="348" customWidth="1"/>
    <col min="5" max="6" width="8.75390625" style="348" customWidth="1"/>
    <col min="7" max="7" width="9.125" style="348" customWidth="1"/>
    <col min="8" max="8" width="8.625" style="348" customWidth="1"/>
    <col min="9" max="16384" width="9.125" style="348" customWidth="1"/>
  </cols>
  <sheetData>
    <row r="1" spans="1:8" ht="19.5" customHeight="1">
      <c r="A1" s="967" t="s">
        <v>260</v>
      </c>
      <c r="B1" s="967"/>
      <c r="C1" s="967"/>
      <c r="D1" s="967"/>
      <c r="E1" s="967"/>
      <c r="F1" s="967"/>
      <c r="G1" s="967"/>
      <c r="H1" s="967"/>
    </row>
    <row r="2" spans="1:8" ht="19.5" customHeight="1">
      <c r="A2" s="967" t="s">
        <v>983</v>
      </c>
      <c r="B2" s="967"/>
      <c r="C2" s="967"/>
      <c r="D2" s="967"/>
      <c r="E2" s="967"/>
      <c r="F2" s="967"/>
      <c r="G2" s="967"/>
      <c r="H2" s="967"/>
    </row>
    <row r="3" spans="3:8" ht="19.5" customHeight="1" thickBot="1">
      <c r="C3" s="347"/>
      <c r="D3" s="347"/>
      <c r="E3" s="395"/>
      <c r="F3" s="395"/>
      <c r="H3" s="396" t="s">
        <v>987</v>
      </c>
    </row>
    <row r="4" spans="1:8" ht="27" customHeight="1" thickBot="1">
      <c r="A4" s="425"/>
      <c r="B4" s="426" t="s">
        <v>321</v>
      </c>
      <c r="C4" s="427"/>
      <c r="D4" s="426" t="s">
        <v>323</v>
      </c>
      <c r="E4" s="428" t="s">
        <v>988</v>
      </c>
      <c r="F4" s="429" t="s">
        <v>989</v>
      </c>
      <c r="G4" s="430" t="s">
        <v>990</v>
      </c>
      <c r="H4" s="431" t="s">
        <v>991</v>
      </c>
    </row>
    <row r="5" spans="1:8" ht="25.5" customHeight="1" thickBot="1">
      <c r="A5" s="432" t="s">
        <v>324</v>
      </c>
      <c r="B5" s="433" t="s">
        <v>266</v>
      </c>
      <c r="C5" s="434" t="s">
        <v>390</v>
      </c>
      <c r="D5" s="435" t="s">
        <v>486</v>
      </c>
      <c r="E5" s="436">
        <f>E6+E13+E14+E15+E16</f>
        <v>500629</v>
      </c>
      <c r="F5" s="436">
        <f>F6+F13+F14+F15+F16</f>
        <v>678873</v>
      </c>
      <c r="G5" s="436">
        <f>G6+G13+G14+G15+G16</f>
        <v>-14994</v>
      </c>
      <c r="H5" s="437">
        <f>H6+H13+H14+H15+H16</f>
        <v>663879</v>
      </c>
    </row>
    <row r="6" spans="1:8" ht="19.5" customHeight="1">
      <c r="A6" s="438"/>
      <c r="B6" s="439"/>
      <c r="C6" s="440" t="s">
        <v>391</v>
      </c>
      <c r="D6" s="441" t="s">
        <v>487</v>
      </c>
      <c r="E6" s="442">
        <f>E7+E8+E9+E10+E11+E12</f>
        <v>325804</v>
      </c>
      <c r="F6" s="442">
        <f>F7+F8+F9+F10+F11+F12</f>
        <v>399779</v>
      </c>
      <c r="G6" s="442">
        <f>G7+G8+G9+G10+G11+G12</f>
        <v>8664</v>
      </c>
      <c r="H6" s="443">
        <f>H7+H8+H9+H10+H11+H12</f>
        <v>408443</v>
      </c>
    </row>
    <row r="7" spans="1:8" ht="19.5" customHeight="1">
      <c r="A7" s="223"/>
      <c r="B7" s="444"/>
      <c r="C7" s="445" t="s">
        <v>480</v>
      </c>
      <c r="D7" s="446" t="s">
        <v>267</v>
      </c>
      <c r="E7" s="447">
        <v>156304</v>
      </c>
      <c r="F7" s="448">
        <v>156304</v>
      </c>
      <c r="G7" s="224"/>
      <c r="H7" s="449">
        <f>F7+G7</f>
        <v>156304</v>
      </c>
    </row>
    <row r="8" spans="1:8" ht="19.5" customHeight="1">
      <c r="A8" s="223"/>
      <c r="B8" s="444"/>
      <c r="C8" s="445" t="s">
        <v>481</v>
      </c>
      <c r="D8" s="446" t="s">
        <v>268</v>
      </c>
      <c r="E8" s="447">
        <v>73224</v>
      </c>
      <c r="F8" s="448">
        <v>73536</v>
      </c>
      <c r="G8" s="224"/>
      <c r="H8" s="449">
        <f aca="true" t="shared" si="0" ref="H8:H16">F8+G8</f>
        <v>73536</v>
      </c>
    </row>
    <row r="9" spans="1:8" ht="19.5" customHeight="1">
      <c r="A9" s="223"/>
      <c r="B9" s="444"/>
      <c r="C9" s="445" t="s">
        <v>482</v>
      </c>
      <c r="D9" s="446" t="s">
        <v>269</v>
      </c>
      <c r="E9" s="447">
        <v>88066</v>
      </c>
      <c r="F9" s="448">
        <v>144494</v>
      </c>
      <c r="G9" s="224">
        <v>5178</v>
      </c>
      <c r="H9" s="449">
        <f t="shared" si="0"/>
        <v>149672</v>
      </c>
    </row>
    <row r="10" spans="1:8" ht="19.5" customHeight="1">
      <c r="A10" s="223"/>
      <c r="B10" s="444"/>
      <c r="C10" s="445" t="s">
        <v>483</v>
      </c>
      <c r="D10" s="446" t="s">
        <v>270</v>
      </c>
      <c r="E10" s="447">
        <v>6150</v>
      </c>
      <c r="F10" s="448">
        <v>6150</v>
      </c>
      <c r="G10" s="450"/>
      <c r="H10" s="449">
        <f t="shared" si="0"/>
        <v>6150</v>
      </c>
    </row>
    <row r="11" spans="1:8" ht="19.5" customHeight="1">
      <c r="A11" s="223"/>
      <c r="B11" s="444"/>
      <c r="C11" s="445" t="s">
        <v>484</v>
      </c>
      <c r="D11" s="446" t="s">
        <v>271</v>
      </c>
      <c r="E11" s="447">
        <f>1600+460</f>
        <v>2060</v>
      </c>
      <c r="F11" s="448">
        <v>9146</v>
      </c>
      <c r="G11" s="224">
        <v>-3175</v>
      </c>
      <c r="H11" s="449">
        <f t="shared" si="0"/>
        <v>5971</v>
      </c>
    </row>
    <row r="12" spans="1:8" ht="19.5" customHeight="1">
      <c r="A12" s="223"/>
      <c r="B12" s="444"/>
      <c r="C12" s="445" t="s">
        <v>485</v>
      </c>
      <c r="D12" s="446" t="s">
        <v>272</v>
      </c>
      <c r="E12" s="447"/>
      <c r="F12" s="448">
        <v>10149</v>
      </c>
      <c r="G12" s="224">
        <v>6661</v>
      </c>
      <c r="H12" s="449">
        <f t="shared" si="0"/>
        <v>16810</v>
      </c>
    </row>
    <row r="13" spans="1:8" ht="19.5" customHeight="1">
      <c r="A13" s="223"/>
      <c r="B13" s="444"/>
      <c r="C13" s="445" t="s">
        <v>392</v>
      </c>
      <c r="D13" s="451" t="s">
        <v>273</v>
      </c>
      <c r="E13" s="447"/>
      <c r="F13" s="448"/>
      <c r="G13" s="450"/>
      <c r="H13" s="449">
        <f t="shared" si="0"/>
        <v>0</v>
      </c>
    </row>
    <row r="14" spans="1:8" ht="19.5" customHeight="1">
      <c r="A14" s="223"/>
      <c r="B14" s="444"/>
      <c r="C14" s="445" t="s">
        <v>393</v>
      </c>
      <c r="D14" s="451" t="s">
        <v>274</v>
      </c>
      <c r="E14" s="447"/>
      <c r="F14" s="448">
        <v>1229</v>
      </c>
      <c r="G14" s="224">
        <v>3520</v>
      </c>
      <c r="H14" s="449">
        <f t="shared" si="0"/>
        <v>4749</v>
      </c>
    </row>
    <row r="15" spans="1:8" ht="19.5" customHeight="1">
      <c r="A15" s="223"/>
      <c r="B15" s="444"/>
      <c r="C15" s="445" t="s">
        <v>394</v>
      </c>
      <c r="D15" s="451" t="s">
        <v>275</v>
      </c>
      <c r="E15" s="447"/>
      <c r="F15" s="448"/>
      <c r="G15" s="224"/>
      <c r="H15" s="449">
        <f t="shared" si="0"/>
        <v>0</v>
      </c>
    </row>
    <row r="16" spans="1:8" ht="19.5" customHeight="1" thickBot="1">
      <c r="A16" s="452"/>
      <c r="B16" s="453"/>
      <c r="C16" s="445" t="s">
        <v>395</v>
      </c>
      <c r="D16" s="454" t="s">
        <v>276</v>
      </c>
      <c r="E16" s="455">
        <f>6600+92090+76135</f>
        <v>174825</v>
      </c>
      <c r="F16" s="456">
        <v>277865</v>
      </c>
      <c r="G16" s="224">
        <v>-27178</v>
      </c>
      <c r="H16" s="449">
        <f t="shared" si="0"/>
        <v>250687</v>
      </c>
    </row>
    <row r="17" spans="1:8" ht="24" customHeight="1" thickBot="1">
      <c r="A17" s="432" t="s">
        <v>322</v>
      </c>
      <c r="B17" s="433" t="s">
        <v>277</v>
      </c>
      <c r="C17" s="457" t="s">
        <v>350</v>
      </c>
      <c r="D17" s="458" t="s">
        <v>402</v>
      </c>
      <c r="E17" s="436">
        <f>E18+E19+E20+E21</f>
        <v>3385002</v>
      </c>
      <c r="F17" s="436">
        <f>F18+F19+F20+F21</f>
        <v>3078747</v>
      </c>
      <c r="G17" s="436">
        <f>G18+G19+G20+G21</f>
        <v>-1218141</v>
      </c>
      <c r="H17" s="437">
        <f>H18+H19+H20+H21</f>
        <v>1860606</v>
      </c>
    </row>
    <row r="18" spans="1:8" ht="19.5" customHeight="1">
      <c r="A18" s="459"/>
      <c r="B18" s="460"/>
      <c r="C18" s="461" t="s">
        <v>398</v>
      </c>
      <c r="D18" s="462" t="s">
        <v>278</v>
      </c>
      <c r="E18" s="463"/>
      <c r="F18" s="464">
        <v>7685</v>
      </c>
      <c r="G18" s="224"/>
      <c r="H18" s="449">
        <f>F18+G18</f>
        <v>7685</v>
      </c>
    </row>
    <row r="19" spans="1:8" ht="19.5" customHeight="1">
      <c r="A19" s="223"/>
      <c r="B19" s="465"/>
      <c r="C19" s="466" t="s">
        <v>399</v>
      </c>
      <c r="D19" s="446" t="s">
        <v>279</v>
      </c>
      <c r="E19" s="447"/>
      <c r="F19" s="448">
        <v>2160</v>
      </c>
      <c r="G19" s="224"/>
      <c r="H19" s="449">
        <f>F19+G19</f>
        <v>2160</v>
      </c>
    </row>
    <row r="20" spans="1:8" ht="19.5" customHeight="1">
      <c r="A20" s="223"/>
      <c r="B20" s="465"/>
      <c r="C20" s="466" t="s">
        <v>400</v>
      </c>
      <c r="D20" s="446" t="s">
        <v>280</v>
      </c>
      <c r="E20" s="447"/>
      <c r="F20" s="448">
        <v>1897</v>
      </c>
      <c r="G20" s="224"/>
      <c r="H20" s="449">
        <f>F20+G20</f>
        <v>1897</v>
      </c>
    </row>
    <row r="21" spans="1:8" ht="21.75" customHeight="1" thickBot="1">
      <c r="A21" s="467"/>
      <c r="B21" s="468"/>
      <c r="C21" s="469" t="s">
        <v>401</v>
      </c>
      <c r="D21" s="470" t="s">
        <v>281</v>
      </c>
      <c r="E21" s="471">
        <f>7772+3377230</f>
        <v>3385002</v>
      </c>
      <c r="F21" s="456">
        <v>3067005</v>
      </c>
      <c r="G21" s="224">
        <v>-1218141</v>
      </c>
      <c r="H21" s="449">
        <f>F21+G21</f>
        <v>1848864</v>
      </c>
    </row>
    <row r="22" spans="1:8" ht="19.5" customHeight="1" thickBot="1">
      <c r="A22" s="432" t="s">
        <v>325</v>
      </c>
      <c r="B22" s="433" t="s">
        <v>282</v>
      </c>
      <c r="C22" s="434" t="s">
        <v>396</v>
      </c>
      <c r="D22" s="472" t="s">
        <v>408</v>
      </c>
      <c r="E22" s="436">
        <f>E24+E25+E26+E27</f>
        <v>128539</v>
      </c>
      <c r="F22" s="436">
        <f>F24+F25+F26+F27+F23</f>
        <v>128584</v>
      </c>
      <c r="G22" s="436">
        <f>G24+G25+G26+G27+G23</f>
        <v>17000</v>
      </c>
      <c r="H22" s="437">
        <f>H24+H25+H26+H27+H23</f>
        <v>145584</v>
      </c>
    </row>
    <row r="23" spans="1:8" ht="19.5" customHeight="1">
      <c r="A23" s="459"/>
      <c r="B23" s="460"/>
      <c r="C23" s="461" t="s">
        <v>403</v>
      </c>
      <c r="D23" s="462" t="s">
        <v>283</v>
      </c>
      <c r="E23" s="463"/>
      <c r="F23" s="464">
        <v>45</v>
      </c>
      <c r="G23" s="224"/>
      <c r="H23" s="449">
        <f>F23+G23</f>
        <v>45</v>
      </c>
    </row>
    <row r="24" spans="1:8" ht="19.5" customHeight="1">
      <c r="A24" s="223"/>
      <c r="B24" s="465"/>
      <c r="C24" s="466" t="s">
        <v>404</v>
      </c>
      <c r="D24" s="446" t="s">
        <v>284</v>
      </c>
      <c r="E24" s="447">
        <v>20000</v>
      </c>
      <c r="F24" s="448">
        <v>20000</v>
      </c>
      <c r="G24" s="224"/>
      <c r="H24" s="449">
        <f>F24+G24</f>
        <v>20000</v>
      </c>
    </row>
    <row r="25" spans="1:8" ht="19.5" customHeight="1">
      <c r="A25" s="223"/>
      <c r="B25" s="465"/>
      <c r="C25" s="466" t="s">
        <v>405</v>
      </c>
      <c r="D25" s="446" t="s">
        <v>285</v>
      </c>
      <c r="E25" s="447">
        <v>93000</v>
      </c>
      <c r="F25" s="448">
        <v>93000</v>
      </c>
      <c r="G25" s="224">
        <v>17000</v>
      </c>
      <c r="H25" s="449">
        <f>F25+G25</f>
        <v>110000</v>
      </c>
    </row>
    <row r="26" spans="1:8" ht="19.5" customHeight="1">
      <c r="A26" s="223"/>
      <c r="B26" s="465"/>
      <c r="C26" s="466" t="s">
        <v>406</v>
      </c>
      <c r="D26" s="446" t="s">
        <v>286</v>
      </c>
      <c r="E26" s="447">
        <v>12000</v>
      </c>
      <c r="F26" s="448">
        <v>12000</v>
      </c>
      <c r="G26" s="224"/>
      <c r="H26" s="449">
        <f>F26+G26</f>
        <v>12000</v>
      </c>
    </row>
    <row r="27" spans="1:8" ht="19.5" customHeight="1" thickBot="1">
      <c r="A27" s="473"/>
      <c r="B27" s="474"/>
      <c r="C27" s="475" t="s">
        <v>407</v>
      </c>
      <c r="D27" s="953" t="s">
        <v>287</v>
      </c>
      <c r="E27" s="477">
        <v>3539</v>
      </c>
      <c r="F27" s="478">
        <v>3539</v>
      </c>
      <c r="G27" s="224"/>
      <c r="H27" s="449">
        <f>F27+G27</f>
        <v>3539</v>
      </c>
    </row>
    <row r="28" spans="1:8" ht="19.5" customHeight="1" thickBot="1">
      <c r="A28" s="432" t="s">
        <v>326</v>
      </c>
      <c r="B28" s="479" t="s">
        <v>288</v>
      </c>
      <c r="C28" s="480" t="s">
        <v>397</v>
      </c>
      <c r="D28" s="472" t="s">
        <v>421</v>
      </c>
      <c r="E28" s="436">
        <f>SUM(E29:E40)</f>
        <v>962442</v>
      </c>
      <c r="F28" s="436">
        <f>SUM(F29:F40)</f>
        <v>950355</v>
      </c>
      <c r="G28" s="436">
        <f>SUM(G29:G40)</f>
        <v>-662616</v>
      </c>
      <c r="H28" s="437">
        <f>SUM(H29:H40)</f>
        <v>287739</v>
      </c>
    </row>
    <row r="29" spans="1:8" ht="19.5" customHeight="1">
      <c r="A29" s="438"/>
      <c r="B29" s="481"/>
      <c r="C29" s="482" t="s">
        <v>409</v>
      </c>
      <c r="D29" s="462" t="s">
        <v>289</v>
      </c>
      <c r="E29" s="483"/>
      <c r="F29" s="484">
        <v>5875</v>
      </c>
      <c r="G29" s="224">
        <v>-181</v>
      </c>
      <c r="H29" s="449">
        <f>F29+G29</f>
        <v>5694</v>
      </c>
    </row>
    <row r="30" spans="1:8" ht="19.5" customHeight="1">
      <c r="A30" s="223"/>
      <c r="B30" s="485"/>
      <c r="C30" s="486" t="s">
        <v>410</v>
      </c>
      <c r="D30" s="446" t="s">
        <v>290</v>
      </c>
      <c r="E30" s="487">
        <v>8862</v>
      </c>
      <c r="F30" s="488">
        <v>14130</v>
      </c>
      <c r="G30" s="224">
        <f>594-271</f>
        <v>323</v>
      </c>
      <c r="H30" s="449">
        <f aca="true" t="shared" si="1" ref="H30:H40">F30+G30</f>
        <v>14453</v>
      </c>
    </row>
    <row r="31" spans="1:8" ht="19.5" customHeight="1">
      <c r="A31" s="223"/>
      <c r="B31" s="485"/>
      <c r="C31" s="486" t="s">
        <v>411</v>
      </c>
      <c r="D31" s="446" t="s">
        <v>291</v>
      </c>
      <c r="E31" s="487">
        <f>700+600+800</f>
        <v>2100</v>
      </c>
      <c r="F31" s="488">
        <v>3218</v>
      </c>
      <c r="G31" s="224">
        <v>-797</v>
      </c>
      <c r="H31" s="449">
        <f t="shared" si="1"/>
        <v>2421</v>
      </c>
    </row>
    <row r="32" spans="1:8" ht="19.5" customHeight="1">
      <c r="A32" s="223"/>
      <c r="B32" s="485"/>
      <c r="C32" s="486" t="s">
        <v>412</v>
      </c>
      <c r="D32" s="446" t="s">
        <v>292</v>
      </c>
      <c r="E32" s="487">
        <v>7079</v>
      </c>
      <c r="F32" s="488">
        <v>7079</v>
      </c>
      <c r="G32" s="224"/>
      <c r="H32" s="449">
        <f t="shared" si="1"/>
        <v>7079</v>
      </c>
    </row>
    <row r="33" spans="1:8" ht="19.5" customHeight="1">
      <c r="A33" s="223"/>
      <c r="B33" s="485"/>
      <c r="C33" s="486" t="s">
        <v>413</v>
      </c>
      <c r="D33" s="446" t="s">
        <v>293</v>
      </c>
      <c r="E33" s="487">
        <v>46292</v>
      </c>
      <c r="F33" s="488">
        <v>40657</v>
      </c>
      <c r="G33" s="224">
        <v>-1079</v>
      </c>
      <c r="H33" s="449">
        <f t="shared" si="1"/>
        <v>39578</v>
      </c>
    </row>
    <row r="34" spans="1:8" ht="19.5" customHeight="1">
      <c r="A34" s="223"/>
      <c r="B34" s="485"/>
      <c r="C34" s="486" t="s">
        <v>414</v>
      </c>
      <c r="D34" s="446" t="s">
        <v>294</v>
      </c>
      <c r="E34" s="487">
        <f>2181+189+324+5179+573-213</f>
        <v>8233</v>
      </c>
      <c r="F34" s="488">
        <v>10027</v>
      </c>
      <c r="G34" s="224"/>
      <c r="H34" s="449">
        <f t="shared" si="1"/>
        <v>10027</v>
      </c>
    </row>
    <row r="35" spans="1:8" ht="19.5" customHeight="1">
      <c r="A35" s="223"/>
      <c r="B35" s="485"/>
      <c r="C35" s="486" t="s">
        <v>415</v>
      </c>
      <c r="D35" s="446" t="s">
        <v>295</v>
      </c>
      <c r="E35" s="487"/>
      <c r="F35" s="488">
        <v>97</v>
      </c>
      <c r="G35" s="224"/>
      <c r="H35" s="449">
        <f t="shared" si="1"/>
        <v>97</v>
      </c>
    </row>
    <row r="36" spans="1:8" ht="19.5" customHeight="1">
      <c r="A36" s="223"/>
      <c r="B36" s="485"/>
      <c r="C36" s="486" t="s">
        <v>416</v>
      </c>
      <c r="D36" s="446" t="s">
        <v>296</v>
      </c>
      <c r="E36" s="487">
        <v>847</v>
      </c>
      <c r="F36" s="488">
        <v>847</v>
      </c>
      <c r="G36" s="224">
        <v>-847</v>
      </c>
      <c r="H36" s="449">
        <f t="shared" si="1"/>
        <v>0</v>
      </c>
    </row>
    <row r="37" spans="1:8" ht="16.5" customHeight="1">
      <c r="A37" s="223"/>
      <c r="B37" s="485"/>
      <c r="C37" s="486" t="s">
        <v>417</v>
      </c>
      <c r="D37" s="446" t="s">
        <v>297</v>
      </c>
      <c r="E37" s="487">
        <v>881301</v>
      </c>
      <c r="F37" s="488">
        <v>850126</v>
      </c>
      <c r="G37" s="450">
        <v>-659628</v>
      </c>
      <c r="H37" s="449">
        <f t="shared" si="1"/>
        <v>190498</v>
      </c>
    </row>
    <row r="38" spans="1:8" ht="19.5" customHeight="1">
      <c r="A38" s="223"/>
      <c r="B38" s="485"/>
      <c r="C38" s="486" t="s">
        <v>418</v>
      </c>
      <c r="D38" s="489" t="s">
        <v>298</v>
      </c>
      <c r="E38" s="487">
        <f>400+1000</f>
        <v>1400</v>
      </c>
      <c r="F38" s="488">
        <v>1312</v>
      </c>
      <c r="G38" s="224">
        <v>-95</v>
      </c>
      <c r="H38" s="449">
        <f t="shared" si="1"/>
        <v>1217</v>
      </c>
    </row>
    <row r="39" spans="1:8" ht="19.5" customHeight="1">
      <c r="A39" s="223"/>
      <c r="B39" s="485"/>
      <c r="C39" s="486" t="s">
        <v>419</v>
      </c>
      <c r="D39" s="490" t="s">
        <v>299</v>
      </c>
      <c r="E39" s="487"/>
      <c r="F39" s="488"/>
      <c r="G39" s="224"/>
      <c r="H39" s="449">
        <f t="shared" si="1"/>
        <v>0</v>
      </c>
    </row>
    <row r="40" spans="1:8" ht="19.5" customHeight="1" thickBot="1">
      <c r="A40" s="452"/>
      <c r="B40" s="491"/>
      <c r="C40" s="492" t="s">
        <v>420</v>
      </c>
      <c r="D40" s="470" t="s">
        <v>300</v>
      </c>
      <c r="E40" s="493">
        <f>213+6115</f>
        <v>6328</v>
      </c>
      <c r="F40" s="494">
        <v>16987</v>
      </c>
      <c r="G40" s="224">
        <v>-312</v>
      </c>
      <c r="H40" s="449">
        <f t="shared" si="1"/>
        <v>16675</v>
      </c>
    </row>
    <row r="41" spans="1:8" ht="19.5" customHeight="1" thickBot="1">
      <c r="A41" s="432" t="s">
        <v>327</v>
      </c>
      <c r="B41" s="495" t="s">
        <v>301</v>
      </c>
      <c r="C41" s="496" t="s">
        <v>372</v>
      </c>
      <c r="D41" s="497" t="s">
        <v>427</v>
      </c>
      <c r="E41" s="436">
        <f>+E43+E44+E45</f>
        <v>0</v>
      </c>
      <c r="F41" s="436">
        <f>F43</f>
        <v>621</v>
      </c>
      <c r="G41" s="436">
        <f>+G43+G44+G45</f>
        <v>0</v>
      </c>
      <c r="H41" s="437">
        <f>+H43+H44+H45</f>
        <v>621</v>
      </c>
    </row>
    <row r="42" spans="1:8" ht="19.5" customHeight="1">
      <c r="A42" s="438"/>
      <c r="B42" s="498"/>
      <c r="C42" s="954" t="s">
        <v>423</v>
      </c>
      <c r="D42" s="499" t="s">
        <v>302</v>
      </c>
      <c r="E42" s="500"/>
      <c r="F42" s="501"/>
      <c r="G42" s="224"/>
      <c r="H42" s="502"/>
    </row>
    <row r="43" spans="1:8" ht="19.5" customHeight="1">
      <c r="A43" s="223"/>
      <c r="B43" s="503"/>
      <c r="C43" s="955" t="s">
        <v>424</v>
      </c>
      <c r="D43" s="504" t="s">
        <v>303</v>
      </c>
      <c r="E43" s="505"/>
      <c r="F43" s="506">
        <v>621</v>
      </c>
      <c r="G43" s="224"/>
      <c r="H43" s="449">
        <f>F43+G43</f>
        <v>621</v>
      </c>
    </row>
    <row r="44" spans="1:8" ht="19.5" customHeight="1">
      <c r="A44" s="223"/>
      <c r="B44" s="503"/>
      <c r="C44" s="955" t="s">
        <v>425</v>
      </c>
      <c r="D44" s="504" t="s">
        <v>304</v>
      </c>
      <c r="E44" s="507"/>
      <c r="F44" s="508"/>
      <c r="G44" s="224"/>
      <c r="H44" s="502"/>
    </row>
    <row r="45" spans="1:8" ht="19.5" customHeight="1" thickBot="1">
      <c r="A45" s="452"/>
      <c r="B45" s="509"/>
      <c r="C45" s="956" t="s">
        <v>426</v>
      </c>
      <c r="D45" s="510" t="s">
        <v>305</v>
      </c>
      <c r="E45" s="511"/>
      <c r="F45" s="512"/>
      <c r="G45" s="224"/>
      <c r="H45" s="502"/>
    </row>
    <row r="46" spans="1:8" ht="19.5" customHeight="1" thickBot="1">
      <c r="A46" s="432" t="s">
        <v>328</v>
      </c>
      <c r="B46" s="513" t="s">
        <v>306</v>
      </c>
      <c r="C46" s="514" t="s">
        <v>428</v>
      </c>
      <c r="D46" s="515" t="s">
        <v>431</v>
      </c>
      <c r="E46" s="516">
        <f>E47+E48</f>
        <v>1900</v>
      </c>
      <c r="F46" s="516">
        <f>F47+F48</f>
        <v>9902</v>
      </c>
      <c r="G46" s="516">
        <f>G47+G48</f>
        <v>561</v>
      </c>
      <c r="H46" s="517">
        <f>H47+H48</f>
        <v>10463</v>
      </c>
    </row>
    <row r="47" spans="1:8" ht="19.5" customHeight="1">
      <c r="A47" s="459"/>
      <c r="B47" s="518"/>
      <c r="C47" s="519" t="s">
        <v>429</v>
      </c>
      <c r="D47" s="520" t="s">
        <v>308</v>
      </c>
      <c r="E47" s="521">
        <v>1500</v>
      </c>
      <c r="F47" s="508">
        <v>9502</v>
      </c>
      <c r="G47" s="224">
        <v>561</v>
      </c>
      <c r="H47" s="449">
        <f>F47+G47</f>
        <v>10063</v>
      </c>
    </row>
    <row r="48" spans="1:8" ht="19.5" customHeight="1" thickBot="1">
      <c r="A48" s="473"/>
      <c r="B48" s="522"/>
      <c r="C48" s="523" t="s">
        <v>430</v>
      </c>
      <c r="D48" s="524" t="s">
        <v>309</v>
      </c>
      <c r="E48" s="525">
        <v>400</v>
      </c>
      <c r="F48" s="526">
        <v>400</v>
      </c>
      <c r="G48" s="224"/>
      <c r="H48" s="449">
        <f>F48+G48</f>
        <v>400</v>
      </c>
    </row>
    <row r="49" spans="1:8" ht="19.5" customHeight="1" thickBot="1">
      <c r="A49" s="432" t="s">
        <v>329</v>
      </c>
      <c r="B49" s="527" t="s">
        <v>310</v>
      </c>
      <c r="C49" s="528" t="s">
        <v>384</v>
      </c>
      <c r="D49" s="515" t="s">
        <v>434</v>
      </c>
      <c r="E49" s="516">
        <f>E50+E51</f>
        <v>203480</v>
      </c>
      <c r="F49" s="516">
        <f>F50+F51</f>
        <v>209755</v>
      </c>
      <c r="G49" s="516">
        <f>G50+G51</f>
        <v>0</v>
      </c>
      <c r="H49" s="517">
        <f>H50+H51</f>
        <v>209755</v>
      </c>
    </row>
    <row r="50" spans="1:8" ht="19.5" customHeight="1">
      <c r="A50" s="459"/>
      <c r="B50" s="529"/>
      <c r="C50" s="530" t="s">
        <v>432</v>
      </c>
      <c r="D50" s="520" t="s">
        <v>311</v>
      </c>
      <c r="E50" s="521">
        <v>3480</v>
      </c>
      <c r="F50" s="508">
        <v>9755</v>
      </c>
      <c r="G50" s="224"/>
      <c r="H50" s="449">
        <f>F50+G50</f>
        <v>9755</v>
      </c>
    </row>
    <row r="51" spans="1:8" ht="19.5" customHeight="1" thickBot="1">
      <c r="A51" s="473"/>
      <c r="B51" s="522"/>
      <c r="C51" s="523" t="s">
        <v>433</v>
      </c>
      <c r="D51" s="531" t="s">
        <v>312</v>
      </c>
      <c r="E51" s="525">
        <v>200000</v>
      </c>
      <c r="F51" s="526">
        <v>200000</v>
      </c>
      <c r="G51" s="224"/>
      <c r="H51" s="449">
        <f>F51+G51</f>
        <v>200000</v>
      </c>
    </row>
    <row r="52" spans="1:8" ht="19.5" customHeight="1" thickBot="1">
      <c r="A52" s="432"/>
      <c r="B52" s="532"/>
      <c r="C52" s="533"/>
      <c r="D52" s="497" t="s">
        <v>313</v>
      </c>
      <c r="E52" s="534">
        <f>E5+E17+E22+E28+E41+E46+E49</f>
        <v>5181992</v>
      </c>
      <c r="F52" s="534">
        <f>F5+F17+F22+F28+F41+F46+F49</f>
        <v>5056837</v>
      </c>
      <c r="G52" s="534">
        <f>G5+G17+G22+G28+G41+G46+G49</f>
        <v>-1878190</v>
      </c>
      <c r="H52" s="535">
        <f>H5+H17+H22+H28+H41+H46+H49</f>
        <v>3178647</v>
      </c>
    </row>
    <row r="53" spans="1:8" ht="19.5" customHeight="1" thickBot="1">
      <c r="A53" s="432" t="s">
        <v>330</v>
      </c>
      <c r="B53" s="536" t="s">
        <v>314</v>
      </c>
      <c r="C53" s="536" t="s">
        <v>435</v>
      </c>
      <c r="D53" s="537" t="s">
        <v>442</v>
      </c>
      <c r="E53" s="538">
        <f>+E54+E55+E56+E57+E58+E59</f>
        <v>295010</v>
      </c>
      <c r="F53" s="538">
        <f>+F54+F55+F56+F57+F58+F59</f>
        <v>319707</v>
      </c>
      <c r="G53" s="538">
        <f>+G54+G55+G56+G57+G58+G59</f>
        <v>-213734</v>
      </c>
      <c r="H53" s="539">
        <f>+H54+H55+H56+H57+H58+H59</f>
        <v>105973</v>
      </c>
    </row>
    <row r="54" spans="1:8" ht="19.5" customHeight="1">
      <c r="A54" s="438"/>
      <c r="B54" s="540"/>
      <c r="C54" s="541" t="s">
        <v>436</v>
      </c>
      <c r="D54" s="542" t="s">
        <v>315</v>
      </c>
      <c r="E54" s="543">
        <f>2392+254894+1000</f>
        <v>258286</v>
      </c>
      <c r="F54" s="543">
        <v>211645</v>
      </c>
      <c r="G54" s="224">
        <v>-211645</v>
      </c>
      <c r="H54" s="449">
        <f aca="true" t="shared" si="2" ref="H54:H59">F54+G54</f>
        <v>0</v>
      </c>
    </row>
    <row r="55" spans="1:8" ht="19.5" customHeight="1">
      <c r="A55" s="223"/>
      <c r="B55" s="503"/>
      <c r="C55" s="957" t="s">
        <v>437</v>
      </c>
      <c r="D55" s="544" t="s">
        <v>316</v>
      </c>
      <c r="E55" s="545"/>
      <c r="F55" s="546">
        <v>0</v>
      </c>
      <c r="G55" s="224"/>
      <c r="H55" s="449">
        <f t="shared" si="2"/>
        <v>0</v>
      </c>
    </row>
    <row r="56" spans="1:8" ht="19.5" customHeight="1">
      <c r="A56" s="223"/>
      <c r="B56" s="503"/>
      <c r="C56" s="957" t="s">
        <v>438</v>
      </c>
      <c r="D56" s="544" t="s">
        <v>317</v>
      </c>
      <c r="E56" s="545"/>
      <c r="F56" s="546"/>
      <c r="G56" s="224"/>
      <c r="H56" s="449">
        <f t="shared" si="2"/>
        <v>0</v>
      </c>
    </row>
    <row r="57" spans="1:8" ht="19.5" customHeight="1">
      <c r="A57" s="223"/>
      <c r="B57" s="503"/>
      <c r="C57" s="957" t="s">
        <v>439</v>
      </c>
      <c r="D57" s="547" t="s">
        <v>318</v>
      </c>
      <c r="E57" s="545"/>
      <c r="F57" s="546"/>
      <c r="G57" s="224"/>
      <c r="H57" s="449">
        <f t="shared" si="2"/>
        <v>0</v>
      </c>
    </row>
    <row r="58" spans="1:8" ht="19.5" customHeight="1">
      <c r="A58" s="223"/>
      <c r="B58" s="503"/>
      <c r="C58" s="957" t="s">
        <v>440</v>
      </c>
      <c r="D58" s="544" t="s">
        <v>319</v>
      </c>
      <c r="E58" s="545">
        <v>36724</v>
      </c>
      <c r="F58" s="546">
        <v>108062</v>
      </c>
      <c r="G58" s="450">
        <v>-2089</v>
      </c>
      <c r="H58" s="449">
        <f t="shared" si="2"/>
        <v>105973</v>
      </c>
    </row>
    <row r="59" spans="1:8" ht="19.5" customHeight="1" thickBot="1">
      <c r="A59" s="452"/>
      <c r="B59" s="509"/>
      <c r="C59" s="958" t="s">
        <v>441</v>
      </c>
      <c r="D59" s="548" t="s">
        <v>320</v>
      </c>
      <c r="E59" s="549"/>
      <c r="F59" s="550"/>
      <c r="G59" s="224"/>
      <c r="H59" s="449">
        <f t="shared" si="2"/>
        <v>0</v>
      </c>
    </row>
    <row r="60" spans="1:8" ht="19.5" customHeight="1" thickBot="1">
      <c r="A60" s="551" t="s">
        <v>943</v>
      </c>
      <c r="B60" s="552"/>
      <c r="C60" s="553"/>
      <c r="D60" s="497" t="s">
        <v>331</v>
      </c>
      <c r="E60" s="538">
        <f>+E52+E53</f>
        <v>5477002</v>
      </c>
      <c r="F60" s="538">
        <f>+F52+F53</f>
        <v>5376544</v>
      </c>
      <c r="G60" s="538">
        <f>+G52+G53</f>
        <v>-2091924</v>
      </c>
      <c r="H60" s="539">
        <f>+H52+H53</f>
        <v>3284620</v>
      </c>
    </row>
    <row r="61" spans="1:8" ht="19.5" customHeight="1">
      <c r="A61" s="28"/>
      <c r="B61" s="554"/>
      <c r="C61" s="555"/>
      <c r="D61" s="28"/>
      <c r="E61" s="28"/>
      <c r="F61" s="28"/>
      <c r="G61" s="556"/>
      <c r="H61" s="557"/>
    </row>
    <row r="62" spans="1:8" ht="19.5" customHeight="1" thickBot="1">
      <c r="A62" s="558"/>
      <c r="B62" s="558"/>
      <c r="C62" s="559"/>
      <c r="D62" s="558" t="s">
        <v>478</v>
      </c>
      <c r="E62" s="560"/>
      <c r="F62" s="561"/>
      <c r="G62" s="562"/>
      <c r="H62" s="563"/>
    </row>
    <row r="63" spans="1:8" ht="19.5" customHeight="1" thickBot="1">
      <c r="A63" s="564"/>
      <c r="B63" s="564" t="s">
        <v>965</v>
      </c>
      <c r="C63" s="565"/>
      <c r="D63" s="566" t="s">
        <v>449</v>
      </c>
      <c r="E63" s="567">
        <f>E64+E65+E66+E67+E68</f>
        <v>749759</v>
      </c>
      <c r="F63" s="567">
        <f>F64+F65+F66+F67+F68</f>
        <v>1016935</v>
      </c>
      <c r="G63" s="567">
        <f>G64+G65+G66+G67+G68</f>
        <v>-3501</v>
      </c>
      <c r="H63" s="568">
        <f>H64+H65+H66+H67+H68</f>
        <v>1013434</v>
      </c>
    </row>
    <row r="64" spans="1:8" ht="15" customHeight="1">
      <c r="A64" s="569" t="s">
        <v>324</v>
      </c>
      <c r="B64" s="570" t="s">
        <v>333</v>
      </c>
      <c r="C64" s="570" t="s">
        <v>390</v>
      </c>
      <c r="D64" s="571" t="s">
        <v>334</v>
      </c>
      <c r="E64" s="572">
        <v>305490</v>
      </c>
      <c r="F64" s="573">
        <v>436267</v>
      </c>
      <c r="G64" s="224">
        <v>-5844</v>
      </c>
      <c r="H64" s="449">
        <f>F64+G64</f>
        <v>430423</v>
      </c>
    </row>
    <row r="65" spans="1:8" ht="20.25" customHeight="1">
      <c r="A65" s="574" t="s">
        <v>322</v>
      </c>
      <c r="B65" s="575" t="s">
        <v>335</v>
      </c>
      <c r="C65" s="570" t="s">
        <v>350</v>
      </c>
      <c r="D65" s="576" t="s">
        <v>336</v>
      </c>
      <c r="E65" s="577">
        <v>74822</v>
      </c>
      <c r="F65" s="578">
        <v>90784</v>
      </c>
      <c r="G65" s="224">
        <v>2859</v>
      </c>
      <c r="H65" s="449">
        <f>F65+G65</f>
        <v>93643</v>
      </c>
    </row>
    <row r="66" spans="1:8" ht="15" customHeight="1">
      <c r="A66" s="574" t="s">
        <v>325</v>
      </c>
      <c r="B66" s="575" t="s">
        <v>337</v>
      </c>
      <c r="C66" s="570" t="s">
        <v>396</v>
      </c>
      <c r="D66" s="576" t="s">
        <v>338</v>
      </c>
      <c r="E66" s="577">
        <v>235028</v>
      </c>
      <c r="F66" s="578">
        <v>276468</v>
      </c>
      <c r="G66" s="224">
        <v>4671</v>
      </c>
      <c r="H66" s="449">
        <f>F66+G66</f>
        <v>281139</v>
      </c>
    </row>
    <row r="67" spans="1:8" ht="15" customHeight="1">
      <c r="A67" s="574" t="s">
        <v>326</v>
      </c>
      <c r="B67" s="575" t="s">
        <v>339</v>
      </c>
      <c r="C67" s="570" t="s">
        <v>397</v>
      </c>
      <c r="D67" s="576" t="s">
        <v>340</v>
      </c>
      <c r="E67" s="577">
        <f>2480+111600</f>
        <v>114080</v>
      </c>
      <c r="F67" s="578">
        <v>115689</v>
      </c>
      <c r="G67" s="224">
        <v>-26705</v>
      </c>
      <c r="H67" s="449">
        <f>F67+G67</f>
        <v>88984</v>
      </c>
    </row>
    <row r="68" spans="1:8" ht="15" customHeight="1">
      <c r="A68" s="574" t="s">
        <v>327</v>
      </c>
      <c r="B68" s="575" t="s">
        <v>341</v>
      </c>
      <c r="C68" s="570" t="s">
        <v>372</v>
      </c>
      <c r="D68" s="579" t="s">
        <v>342</v>
      </c>
      <c r="E68" s="580">
        <f>SUM(E69:E75)</f>
        <v>20339</v>
      </c>
      <c r="F68" s="580">
        <f>SUM(F69:F75)</f>
        <v>97727</v>
      </c>
      <c r="G68" s="580">
        <f>SUM(G69:G75)</f>
        <v>21518</v>
      </c>
      <c r="H68" s="581">
        <f>SUM(H69:H75)</f>
        <v>119245</v>
      </c>
    </row>
    <row r="69" spans="1:8" ht="14.25" customHeight="1">
      <c r="A69" s="574"/>
      <c r="B69" s="582"/>
      <c r="C69" s="583" t="s">
        <v>423</v>
      </c>
      <c r="D69" s="446" t="s">
        <v>343</v>
      </c>
      <c r="E69" s="505"/>
      <c r="F69" s="506">
        <v>11977</v>
      </c>
      <c r="G69" s="224">
        <v>85</v>
      </c>
      <c r="H69" s="449">
        <f>F69+G69</f>
        <v>12062</v>
      </c>
    </row>
    <row r="70" spans="1:8" ht="19.5" customHeight="1">
      <c r="A70" s="574"/>
      <c r="B70" s="582"/>
      <c r="C70" s="583" t="s">
        <v>424</v>
      </c>
      <c r="D70" s="446" t="s">
        <v>344</v>
      </c>
      <c r="E70" s="505"/>
      <c r="F70" s="506">
        <v>1229</v>
      </c>
      <c r="G70" s="224"/>
      <c r="H70" s="449">
        <f aca="true" t="shared" si="3" ref="H70:H75">F70+G70</f>
        <v>1229</v>
      </c>
    </row>
    <row r="71" spans="1:8" ht="19.5" customHeight="1">
      <c r="A71" s="584"/>
      <c r="B71" s="582"/>
      <c r="C71" s="583" t="s">
        <v>425</v>
      </c>
      <c r="D71" s="446" t="s">
        <v>345</v>
      </c>
      <c r="E71" s="505"/>
      <c r="F71" s="506"/>
      <c r="G71" s="224"/>
      <c r="H71" s="449">
        <f t="shared" si="3"/>
        <v>0</v>
      </c>
    </row>
    <row r="72" spans="1:8" ht="14.25" customHeight="1">
      <c r="A72" s="585"/>
      <c r="B72" s="582"/>
      <c r="C72" s="583" t="s">
        <v>426</v>
      </c>
      <c r="D72" s="446" t="s">
        <v>346</v>
      </c>
      <c r="E72" s="505">
        <v>750</v>
      </c>
      <c r="F72" s="506">
        <v>785</v>
      </c>
      <c r="G72" s="224"/>
      <c r="H72" s="449">
        <f t="shared" si="3"/>
        <v>785</v>
      </c>
    </row>
    <row r="73" spans="1:8" ht="19.5" customHeight="1">
      <c r="A73" s="574"/>
      <c r="B73" s="582"/>
      <c r="C73" s="583" t="s">
        <v>450</v>
      </c>
      <c r="D73" s="446" t="s">
        <v>347</v>
      </c>
      <c r="E73" s="505"/>
      <c r="F73" s="506">
        <v>8002</v>
      </c>
      <c r="G73" s="224">
        <v>5000</v>
      </c>
      <c r="H73" s="449">
        <f t="shared" si="3"/>
        <v>13002</v>
      </c>
    </row>
    <row r="74" spans="1:8" ht="20.25" customHeight="1">
      <c r="A74" s="574"/>
      <c r="B74" s="582"/>
      <c r="C74" s="583" t="s">
        <v>451</v>
      </c>
      <c r="D74" s="446" t="s">
        <v>348</v>
      </c>
      <c r="E74" s="505">
        <f>1750+16013</f>
        <v>17763</v>
      </c>
      <c r="F74" s="506">
        <v>25323</v>
      </c>
      <c r="G74" s="224">
        <v>-880</v>
      </c>
      <c r="H74" s="449">
        <f t="shared" si="3"/>
        <v>24443</v>
      </c>
    </row>
    <row r="75" spans="1:8" ht="12.75" customHeight="1" thickBot="1">
      <c r="A75" s="586"/>
      <c r="B75" s="587"/>
      <c r="C75" s="583" t="s">
        <v>452</v>
      </c>
      <c r="D75" s="588" t="s">
        <v>349</v>
      </c>
      <c r="E75" s="525">
        <v>1826</v>
      </c>
      <c r="F75" s="526">
        <v>50411</v>
      </c>
      <c r="G75" s="224">
        <v>17313</v>
      </c>
      <c r="H75" s="449">
        <f t="shared" si="3"/>
        <v>67724</v>
      </c>
    </row>
    <row r="76" spans="1:8" ht="19.5" customHeight="1" thickBot="1">
      <c r="A76" s="589" t="s">
        <v>328</v>
      </c>
      <c r="B76" s="590"/>
      <c r="C76" s="591" t="s">
        <v>375</v>
      </c>
      <c r="D76" s="592" t="s">
        <v>388</v>
      </c>
      <c r="E76" s="538">
        <f>E77+E85+E90</f>
        <v>4727243</v>
      </c>
      <c r="F76" s="538">
        <f>F77+F85+F90</f>
        <v>4359609</v>
      </c>
      <c r="G76" s="538">
        <f>G77+G85+G90</f>
        <v>-2088423</v>
      </c>
      <c r="H76" s="539">
        <f>H77+H85+H90</f>
        <v>2271186</v>
      </c>
    </row>
    <row r="77" spans="1:8" ht="14.25" customHeight="1">
      <c r="A77" s="593"/>
      <c r="B77" s="594" t="s">
        <v>351</v>
      </c>
      <c r="C77" s="595" t="s">
        <v>429</v>
      </c>
      <c r="D77" s="596" t="s">
        <v>352</v>
      </c>
      <c r="E77" s="597">
        <f>E78+E79+E80+E81+E82+E83+E84</f>
        <v>4724243</v>
      </c>
      <c r="F77" s="597">
        <f>F78+F79+F80+F81+F82+F83+F84</f>
        <v>4338506</v>
      </c>
      <c r="G77" s="597">
        <f>G78+G79+G80+G81+G82+G83+G84</f>
        <v>-2086923</v>
      </c>
      <c r="H77" s="598">
        <f>H78+H79+H80+H81+H82+H83+H84</f>
        <v>2251583</v>
      </c>
    </row>
    <row r="78" spans="1:8" ht="13.5" customHeight="1">
      <c r="A78" s="569"/>
      <c r="B78" s="595"/>
      <c r="C78" s="599" t="s">
        <v>453</v>
      </c>
      <c r="D78" s="600" t="s">
        <v>353</v>
      </c>
      <c r="E78" s="601"/>
      <c r="F78" s="543">
        <v>545</v>
      </c>
      <c r="G78" s="224"/>
      <c r="H78" s="449">
        <f>F78+G78</f>
        <v>545</v>
      </c>
    </row>
    <row r="79" spans="1:8" ht="13.5" customHeight="1">
      <c r="A79" s="569"/>
      <c r="B79" s="595"/>
      <c r="C79" s="599" t="s">
        <v>454</v>
      </c>
      <c r="D79" s="602" t="s">
        <v>354</v>
      </c>
      <c r="E79" s="601">
        <f>190+3708400</f>
        <v>3708590</v>
      </c>
      <c r="F79" s="543">
        <v>3037597</v>
      </c>
      <c r="G79" s="224">
        <v>-1350697</v>
      </c>
      <c r="H79" s="449">
        <f aca="true" t="shared" si="4" ref="H79:H84">F79+G79</f>
        <v>1686900</v>
      </c>
    </row>
    <row r="80" spans="1:8" ht="12.75" customHeight="1">
      <c r="A80" s="569"/>
      <c r="B80" s="595"/>
      <c r="C80" s="599" t="s">
        <v>455</v>
      </c>
      <c r="D80" s="600" t="s">
        <v>355</v>
      </c>
      <c r="E80" s="601">
        <v>1057</v>
      </c>
      <c r="F80" s="543">
        <v>3384</v>
      </c>
      <c r="G80" s="224"/>
      <c r="H80" s="449">
        <f t="shared" si="4"/>
        <v>3384</v>
      </c>
    </row>
    <row r="81" spans="1:8" ht="12" customHeight="1">
      <c r="A81" s="544"/>
      <c r="B81" s="595"/>
      <c r="C81" s="599" t="s">
        <v>456</v>
      </c>
      <c r="D81" s="600" t="s">
        <v>356</v>
      </c>
      <c r="E81" s="601">
        <v>10229</v>
      </c>
      <c r="F81" s="543">
        <v>375076</v>
      </c>
      <c r="G81" s="224"/>
      <c r="H81" s="449">
        <f t="shared" si="4"/>
        <v>375076</v>
      </c>
    </row>
    <row r="82" spans="1:8" ht="14.25" customHeight="1">
      <c r="A82" s="547"/>
      <c r="B82" s="595"/>
      <c r="C82" s="599" t="s">
        <v>457</v>
      </c>
      <c r="D82" s="600" t="s">
        <v>357</v>
      </c>
      <c r="E82" s="601"/>
      <c r="F82" s="543"/>
      <c r="G82" s="224"/>
      <c r="H82" s="449">
        <f t="shared" si="4"/>
        <v>0</v>
      </c>
    </row>
    <row r="83" spans="1:8" ht="10.5" customHeight="1">
      <c r="A83" s="547"/>
      <c r="B83" s="595"/>
      <c r="C83" s="599" t="s">
        <v>458</v>
      </c>
      <c r="D83" s="600" t="s">
        <v>387</v>
      </c>
      <c r="E83" s="601"/>
      <c r="F83" s="543"/>
      <c r="G83" s="224"/>
      <c r="H83" s="449">
        <f t="shared" si="4"/>
        <v>0</v>
      </c>
    </row>
    <row r="84" spans="1:8" ht="21.75" customHeight="1">
      <c r="A84" s="544"/>
      <c r="B84" s="595"/>
      <c r="C84" s="599" t="s">
        <v>459</v>
      </c>
      <c r="D84" s="600" t="s">
        <v>358</v>
      </c>
      <c r="E84" s="601">
        <v>1004367</v>
      </c>
      <c r="F84" s="543">
        <v>921904</v>
      </c>
      <c r="G84" s="224">
        <v>-736226</v>
      </c>
      <c r="H84" s="449">
        <f t="shared" si="4"/>
        <v>185678</v>
      </c>
    </row>
    <row r="85" spans="1:8" ht="13.5" customHeight="1">
      <c r="A85" s="574" t="s">
        <v>329</v>
      </c>
      <c r="B85" s="603" t="s">
        <v>359</v>
      </c>
      <c r="C85" s="603" t="s">
        <v>384</v>
      </c>
      <c r="D85" s="604" t="s">
        <v>360</v>
      </c>
      <c r="E85" s="545">
        <f>E86+E87+E88+E89</f>
        <v>3000</v>
      </c>
      <c r="F85" s="545">
        <f>F86+F87+F88+F89</f>
        <v>4100</v>
      </c>
      <c r="G85" s="545">
        <f>G86+G87+G88+G89</f>
        <v>-20</v>
      </c>
      <c r="H85" s="605">
        <f>H86+H87+H88+H89</f>
        <v>4080</v>
      </c>
    </row>
    <row r="86" spans="1:8" ht="12" customHeight="1">
      <c r="A86" s="574"/>
      <c r="B86" s="582"/>
      <c r="C86" s="583" t="s">
        <v>432</v>
      </c>
      <c r="D86" s="600" t="s">
        <v>361</v>
      </c>
      <c r="E86" s="545">
        <f>787+1575</f>
        <v>2362</v>
      </c>
      <c r="F86" s="546">
        <v>3356</v>
      </c>
      <c r="G86" s="224">
        <v>-16</v>
      </c>
      <c r="H86" s="449">
        <f>F86+G86</f>
        <v>3340</v>
      </c>
    </row>
    <row r="87" spans="1:8" ht="11.25" customHeight="1">
      <c r="A87" s="574"/>
      <c r="B87" s="582"/>
      <c r="C87" s="583" t="s">
        <v>433</v>
      </c>
      <c r="D87" s="600" t="s">
        <v>362</v>
      </c>
      <c r="E87" s="545"/>
      <c r="F87" s="546"/>
      <c r="G87" s="224"/>
      <c r="H87" s="449">
        <f>E87+G87</f>
        <v>0</v>
      </c>
    </row>
    <row r="88" spans="1:8" ht="15" customHeight="1">
      <c r="A88" s="574"/>
      <c r="B88" s="582"/>
      <c r="C88" s="583" t="s">
        <v>460</v>
      </c>
      <c r="D88" s="600" t="s">
        <v>363</v>
      </c>
      <c r="E88" s="545"/>
      <c r="F88" s="546"/>
      <c r="G88" s="224"/>
      <c r="H88" s="449">
        <f>E88+G88</f>
        <v>0</v>
      </c>
    </row>
    <row r="89" spans="1:8" ht="21.75" customHeight="1">
      <c r="A89" s="574"/>
      <c r="B89" s="582"/>
      <c r="C89" s="583" t="s">
        <v>461</v>
      </c>
      <c r="D89" s="600" t="s">
        <v>364</v>
      </c>
      <c r="E89" s="545">
        <f>213+425</f>
        <v>638</v>
      </c>
      <c r="F89" s="546">
        <v>744</v>
      </c>
      <c r="G89" s="224">
        <v>-4</v>
      </c>
      <c r="H89" s="449">
        <f>F89+G89</f>
        <v>740</v>
      </c>
    </row>
    <row r="90" spans="1:8" ht="19.5" customHeight="1">
      <c r="A90" s="574" t="s">
        <v>330</v>
      </c>
      <c r="B90" s="582" t="s">
        <v>365</v>
      </c>
      <c r="C90" s="582" t="s">
        <v>462</v>
      </c>
      <c r="D90" s="604" t="s">
        <v>366</v>
      </c>
      <c r="E90" s="545">
        <f>SUM(E91:E95)</f>
        <v>0</v>
      </c>
      <c r="F90" s="545">
        <f>SUM(F91:F95)</f>
        <v>17003</v>
      </c>
      <c r="G90" s="545">
        <f>SUM(G91:G95)</f>
        <v>-1480</v>
      </c>
      <c r="H90" s="605">
        <f>SUM(H91:H95)</f>
        <v>15523</v>
      </c>
    </row>
    <row r="91" spans="1:8" ht="19.5" customHeight="1">
      <c r="A91" s="574"/>
      <c r="B91" s="582"/>
      <c r="C91" s="606" t="s">
        <v>463</v>
      </c>
      <c r="D91" s="600" t="s">
        <v>367</v>
      </c>
      <c r="E91" s="545"/>
      <c r="F91" s="546">
        <v>6701</v>
      </c>
      <c r="G91" s="224">
        <v>3520</v>
      </c>
      <c r="H91" s="449">
        <f>F91+G91</f>
        <v>10221</v>
      </c>
    </row>
    <row r="92" spans="1:8" ht="19.5" customHeight="1">
      <c r="A92" s="574"/>
      <c r="B92" s="582"/>
      <c r="C92" s="606" t="s">
        <v>464</v>
      </c>
      <c r="D92" s="600" t="s">
        <v>368</v>
      </c>
      <c r="E92" s="545"/>
      <c r="F92" s="546"/>
      <c r="G92" s="224"/>
      <c r="H92" s="502"/>
    </row>
    <row r="93" spans="1:8" ht="15" customHeight="1">
      <c r="A93" s="574"/>
      <c r="B93" s="582"/>
      <c r="C93" s="606" t="s">
        <v>465</v>
      </c>
      <c r="D93" s="600" t="s">
        <v>992</v>
      </c>
      <c r="E93" s="545"/>
      <c r="F93" s="546">
        <v>10302</v>
      </c>
      <c r="G93" s="224"/>
      <c r="H93" s="449">
        <f>F93+G93</f>
        <v>10302</v>
      </c>
    </row>
    <row r="94" spans="1:8" ht="10.5" customHeight="1">
      <c r="A94" s="574"/>
      <c r="B94" s="582"/>
      <c r="C94" s="606" t="s">
        <v>466</v>
      </c>
      <c r="D94" s="600" t="s">
        <v>370</v>
      </c>
      <c r="E94" s="545"/>
      <c r="F94" s="546"/>
      <c r="G94" s="224"/>
      <c r="H94" s="502"/>
    </row>
    <row r="95" spans="1:8" ht="12" customHeight="1" thickBot="1">
      <c r="A95" s="586"/>
      <c r="B95" s="587"/>
      <c r="C95" s="607" t="s">
        <v>467</v>
      </c>
      <c r="D95" s="608" t="s">
        <v>993</v>
      </c>
      <c r="E95" s="609"/>
      <c r="F95" s="550"/>
      <c r="G95" s="300">
        <v>-5000</v>
      </c>
      <c r="H95" s="610">
        <f>G95</f>
        <v>-5000</v>
      </c>
    </row>
    <row r="96" spans="1:8" ht="15" customHeight="1" thickBot="1">
      <c r="A96" s="589" t="s">
        <v>943</v>
      </c>
      <c r="B96" s="590"/>
      <c r="C96" s="591"/>
      <c r="D96" s="537" t="s">
        <v>447</v>
      </c>
      <c r="E96" s="611">
        <f>E64+E65+E66+E67+E68+E76</f>
        <v>5477002</v>
      </c>
      <c r="F96" s="611">
        <f>F64+F65+F66+F67+F68+F76</f>
        <v>5376544</v>
      </c>
      <c r="G96" s="611">
        <f>G64+G65+G66+G67+G68+G76</f>
        <v>-2091924</v>
      </c>
      <c r="H96" s="612">
        <f>H64+H65+H66+H67+H68+H76</f>
        <v>3284620</v>
      </c>
    </row>
    <row r="97" spans="1:8" ht="12.75" customHeight="1">
      <c r="A97" s="613" t="s">
        <v>944</v>
      </c>
      <c r="B97" s="614" t="s">
        <v>373</v>
      </c>
      <c r="C97" s="615" t="s">
        <v>966</v>
      </c>
      <c r="D97" s="616" t="s">
        <v>374</v>
      </c>
      <c r="E97" s="617"/>
      <c r="F97" s="618"/>
      <c r="G97" s="619"/>
      <c r="H97" s="620">
        <f>F97+G97</f>
        <v>0</v>
      </c>
    </row>
    <row r="98" spans="1:8" ht="14.25" customHeight="1">
      <c r="A98" s="574"/>
      <c r="B98" s="621"/>
      <c r="C98" s="606" t="s">
        <v>967</v>
      </c>
      <c r="D98" s="600" t="s">
        <v>389</v>
      </c>
      <c r="E98" s="622">
        <f>E99+E100+E101</f>
        <v>0</v>
      </c>
      <c r="F98" s="623"/>
      <c r="G98" s="224"/>
      <c r="H98" s="449">
        <f>F98+G98</f>
        <v>0</v>
      </c>
    </row>
    <row r="99" spans="1:8" ht="14.25" customHeight="1">
      <c r="A99" s="574"/>
      <c r="B99" s="621"/>
      <c r="C99" s="606" t="s">
        <v>968</v>
      </c>
      <c r="D99" s="600" t="s">
        <v>376</v>
      </c>
      <c r="E99" s="622"/>
      <c r="F99" s="623"/>
      <c r="G99" s="224"/>
      <c r="H99" s="449">
        <f aca="true" t="shared" si="5" ref="H99:H106">F99+G99</f>
        <v>0</v>
      </c>
    </row>
    <row r="100" spans="1:8" ht="19.5" customHeight="1">
      <c r="A100" s="574"/>
      <c r="B100" s="621"/>
      <c r="C100" s="606" t="s">
        <v>969</v>
      </c>
      <c r="D100" s="600" t="s">
        <v>377</v>
      </c>
      <c r="E100" s="622"/>
      <c r="F100" s="623"/>
      <c r="G100" s="224"/>
      <c r="H100" s="449">
        <f t="shared" si="5"/>
        <v>0</v>
      </c>
    </row>
    <row r="101" spans="1:8" ht="15" customHeight="1">
      <c r="A101" s="574"/>
      <c r="B101" s="621"/>
      <c r="C101" s="606" t="s">
        <v>970</v>
      </c>
      <c r="D101" s="602" t="s">
        <v>378</v>
      </c>
      <c r="E101" s="622"/>
      <c r="F101" s="623"/>
      <c r="G101" s="224"/>
      <c r="H101" s="449">
        <f t="shared" si="5"/>
        <v>0</v>
      </c>
    </row>
    <row r="102" spans="1:8" ht="12" customHeight="1">
      <c r="A102" s="574"/>
      <c r="B102" s="621"/>
      <c r="C102" s="606" t="s">
        <v>971</v>
      </c>
      <c r="D102" s="600" t="s">
        <v>379</v>
      </c>
      <c r="E102" s="622"/>
      <c r="F102" s="623"/>
      <c r="G102" s="224"/>
      <c r="H102" s="449">
        <f t="shared" si="5"/>
        <v>0</v>
      </c>
    </row>
    <row r="103" spans="1:8" ht="11.25" customHeight="1">
      <c r="A103" s="574"/>
      <c r="B103" s="621"/>
      <c r="C103" s="606" t="s">
        <v>972</v>
      </c>
      <c r="D103" s="600" t="s">
        <v>380</v>
      </c>
      <c r="E103" s="622"/>
      <c r="F103" s="623"/>
      <c r="G103" s="224"/>
      <c r="H103" s="449">
        <f t="shared" si="5"/>
        <v>0</v>
      </c>
    </row>
    <row r="104" spans="1:8" ht="13.5" customHeight="1">
      <c r="A104" s="547"/>
      <c r="B104" s="621"/>
      <c r="C104" s="606" t="s">
        <v>973</v>
      </c>
      <c r="D104" s="600" t="s">
        <v>381</v>
      </c>
      <c r="E104" s="622"/>
      <c r="F104" s="623"/>
      <c r="G104" s="224"/>
      <c r="H104" s="449">
        <f t="shared" si="5"/>
        <v>0</v>
      </c>
    </row>
    <row r="105" spans="1:8" ht="10.5" customHeight="1">
      <c r="A105" s="574"/>
      <c r="B105" s="621"/>
      <c r="C105" s="606" t="s">
        <v>974</v>
      </c>
      <c r="D105" s="600" t="s">
        <v>382</v>
      </c>
      <c r="E105" s="622">
        <v>395626</v>
      </c>
      <c r="F105" s="623">
        <v>501191</v>
      </c>
      <c r="G105" s="224">
        <v>-30716</v>
      </c>
      <c r="H105" s="449">
        <f t="shared" si="5"/>
        <v>470475</v>
      </c>
    </row>
    <row r="106" spans="1:8" ht="15.75" customHeight="1" thickBot="1">
      <c r="A106" s="586"/>
      <c r="B106" s="624"/>
      <c r="C106" s="607" t="s">
        <v>975</v>
      </c>
      <c r="D106" s="608" t="s">
        <v>383</v>
      </c>
      <c r="E106" s="625">
        <f>E105*-1</f>
        <v>-395626</v>
      </c>
      <c r="F106" s="625">
        <f>F105*-1</f>
        <v>-501191</v>
      </c>
      <c r="G106" s="625">
        <v>30716</v>
      </c>
      <c r="H106" s="449">
        <f t="shared" si="5"/>
        <v>-470475</v>
      </c>
    </row>
    <row r="107" spans="1:8" ht="19.5" customHeight="1" thickBot="1">
      <c r="A107" s="589" t="s">
        <v>945</v>
      </c>
      <c r="B107" s="626"/>
      <c r="C107" s="627" t="s">
        <v>569</v>
      </c>
      <c r="D107" s="537" t="s">
        <v>448</v>
      </c>
      <c r="E107" s="628">
        <f>E96+E105+E106</f>
        <v>5477002</v>
      </c>
      <c r="F107" s="628">
        <f>F96+F105+F106</f>
        <v>5376544</v>
      </c>
      <c r="G107" s="628">
        <f>G96+G105+G106</f>
        <v>-2091924</v>
      </c>
      <c r="H107" s="568">
        <f>H96+H105+H106</f>
        <v>3284620</v>
      </c>
    </row>
    <row r="108" spans="1:8" ht="9.75" customHeight="1">
      <c r="A108" s="629"/>
      <c r="B108" s="630"/>
      <c r="C108" s="631"/>
      <c r="D108" s="632"/>
      <c r="E108" s="561"/>
      <c r="F108" s="561"/>
      <c r="G108" s="633"/>
      <c r="H108" s="634"/>
    </row>
    <row r="109" spans="1:8" ht="12.75" customHeight="1">
      <c r="A109" s="965" t="s">
        <v>933</v>
      </c>
      <c r="B109" s="965"/>
      <c r="C109" s="965"/>
      <c r="D109" s="965"/>
      <c r="E109" s="965"/>
      <c r="F109" s="965"/>
      <c r="G109" s="965"/>
      <c r="H109" s="965"/>
    </row>
    <row r="110" spans="1:8" ht="19.5" customHeight="1" thickBot="1">
      <c r="A110" s="28"/>
      <c r="B110" s="28"/>
      <c r="C110" s="635" t="s">
        <v>65</v>
      </c>
      <c r="D110" s="636"/>
      <c r="E110" s="637" t="s">
        <v>934</v>
      </c>
      <c r="F110" s="637"/>
      <c r="G110" s="637"/>
      <c r="H110" s="637"/>
    </row>
    <row r="111" spans="1:8" ht="27" customHeight="1" thickBot="1">
      <c r="A111" s="638">
        <v>1</v>
      </c>
      <c r="B111" s="639"/>
      <c r="C111" s="640"/>
      <c r="D111" s="641" t="s">
        <v>935</v>
      </c>
      <c r="E111" s="642">
        <f aca="true" t="shared" si="6" ref="E111:H112">E52-E96</f>
        <v>-295010</v>
      </c>
      <c r="F111" s="642">
        <f t="shared" si="6"/>
        <v>-319707</v>
      </c>
      <c r="G111" s="642">
        <f t="shared" si="6"/>
        <v>213734</v>
      </c>
      <c r="H111" s="643">
        <f t="shared" si="6"/>
        <v>-105973</v>
      </c>
    </row>
    <row r="112" spans="1:8" ht="28.5" customHeight="1" thickBot="1">
      <c r="A112" s="638" t="s">
        <v>350</v>
      </c>
      <c r="B112" s="639"/>
      <c r="C112" s="640"/>
      <c r="D112" s="641" t="s">
        <v>936</v>
      </c>
      <c r="E112" s="642">
        <f t="shared" si="6"/>
        <v>295010</v>
      </c>
      <c r="F112" s="642">
        <f t="shared" si="6"/>
        <v>319707</v>
      </c>
      <c r="G112" s="642">
        <f t="shared" si="6"/>
        <v>-213734</v>
      </c>
      <c r="H112" s="643">
        <f t="shared" si="6"/>
        <v>105973</v>
      </c>
    </row>
    <row r="113" spans="1:8" ht="19.5" customHeight="1">
      <c r="A113" s="28"/>
      <c r="B113" s="28"/>
      <c r="C113" s="28"/>
      <c r="D113" s="28"/>
      <c r="E113" s="28"/>
      <c r="F113" s="28"/>
      <c r="G113" s="644"/>
      <c r="H113" s="28"/>
    </row>
    <row r="115" spans="1:6" ht="19.5" customHeight="1">
      <c r="A115" s="966" t="s">
        <v>151</v>
      </c>
      <c r="B115" s="966"/>
      <c r="C115" s="966"/>
      <c r="D115" s="966"/>
      <c r="E115" s="966"/>
      <c r="F115" s="966"/>
    </row>
  </sheetData>
  <sheetProtection/>
  <mergeCells count="4">
    <mergeCell ref="A109:H109"/>
    <mergeCell ref="A115:F115"/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27">
      <selection activeCell="A146" sqref="A146:F146"/>
    </sheetView>
  </sheetViews>
  <sheetFormatPr defaultColWidth="9.00390625" defaultRowHeight="12.75"/>
  <cols>
    <col min="1" max="1" width="62.875" style="0" customWidth="1"/>
    <col min="2" max="2" width="11.25390625" style="0" customWidth="1"/>
    <col min="3" max="3" width="15.25390625" style="0" customWidth="1"/>
    <col min="4" max="4" width="14.375" style="0" customWidth="1"/>
    <col min="5" max="5" width="12.00390625" style="0" customWidth="1"/>
    <col min="6" max="6" width="11.125" style="0" customWidth="1"/>
  </cols>
  <sheetData>
    <row r="1" spans="1:6" ht="12.75">
      <c r="A1" s="968" t="s">
        <v>252</v>
      </c>
      <c r="B1" s="968"/>
      <c r="C1" s="968"/>
      <c r="D1" s="968"/>
      <c r="E1" s="968"/>
      <c r="F1" s="968"/>
    </row>
    <row r="2" spans="1:6" ht="12.75">
      <c r="A2" s="968" t="s">
        <v>891</v>
      </c>
      <c r="B2" s="968"/>
      <c r="C2" s="968"/>
      <c r="D2" s="968"/>
      <c r="E2" s="968"/>
      <c r="F2" s="968"/>
    </row>
    <row r="4" spans="1:6" ht="42">
      <c r="A4" s="229" t="s">
        <v>749</v>
      </c>
      <c r="B4" s="230" t="s">
        <v>750</v>
      </c>
      <c r="C4" s="230" t="s">
        <v>751</v>
      </c>
      <c r="D4" s="230" t="s">
        <v>752</v>
      </c>
      <c r="E4" s="231" t="s">
        <v>753</v>
      </c>
      <c r="F4" s="232" t="s">
        <v>754</v>
      </c>
    </row>
    <row r="5" spans="1:6" ht="12.75">
      <c r="A5" s="233">
        <v>1</v>
      </c>
      <c r="B5" s="232">
        <v>2</v>
      </c>
      <c r="C5" s="232">
        <v>3</v>
      </c>
      <c r="D5" s="232">
        <v>4</v>
      </c>
      <c r="E5" s="234">
        <v>5</v>
      </c>
      <c r="F5" s="232" t="s">
        <v>755</v>
      </c>
    </row>
    <row r="6" spans="1:6" ht="22.5">
      <c r="A6" s="235" t="s">
        <v>1000</v>
      </c>
      <c r="B6" s="236">
        <f>1+3486892</f>
        <v>3486893</v>
      </c>
      <c r="C6" s="237" t="s">
        <v>757</v>
      </c>
      <c r="D6" s="238"/>
      <c r="E6" s="239">
        <f>B6*0.75-101336-1100000</f>
        <v>1413833.75</v>
      </c>
      <c r="F6" s="240">
        <f>B6-E6</f>
        <v>2073059.25</v>
      </c>
    </row>
    <row r="7" spans="1:10" ht="22.5">
      <c r="A7" s="235" t="s">
        <v>1001</v>
      </c>
      <c r="B7" s="241">
        <f>B6*0.27</f>
        <v>941461.1100000001</v>
      </c>
      <c r="C7" s="237">
        <v>2014</v>
      </c>
      <c r="D7" s="238"/>
      <c r="E7" s="239">
        <f>-660000+678735</f>
        <v>18735</v>
      </c>
      <c r="F7" s="240">
        <f>B7-E7</f>
        <v>922726.1100000001</v>
      </c>
      <c r="I7" s="83"/>
      <c r="J7" s="83"/>
    </row>
    <row r="8" spans="1:6" ht="15" customHeight="1">
      <c r="A8" s="235" t="s">
        <v>1002</v>
      </c>
      <c r="B8" s="241">
        <v>665540</v>
      </c>
      <c r="C8" s="237" t="s">
        <v>757</v>
      </c>
      <c r="D8" s="238">
        <f>21119/1.27</f>
        <v>16629.133858267716</v>
      </c>
      <c r="E8" s="239">
        <f>B8-D8-129676</f>
        <v>519234.8661417323</v>
      </c>
      <c r="F8" s="240">
        <f>B8-D8-E8</f>
        <v>129676</v>
      </c>
    </row>
    <row r="9" spans="1:9" ht="12.75">
      <c r="A9" s="235" t="s">
        <v>1003</v>
      </c>
      <c r="B9" s="241">
        <f>B8*0.27</f>
        <v>179695.80000000002</v>
      </c>
      <c r="C9" s="237" t="s">
        <v>757</v>
      </c>
      <c r="D9" s="238">
        <v>4454</v>
      </c>
      <c r="E9" s="239">
        <f>E8*0.27</f>
        <v>140193.41385826774</v>
      </c>
      <c r="F9" s="240">
        <f>B9-D9-E9+1</f>
        <v>35049.38614173228</v>
      </c>
      <c r="I9" s="83"/>
    </row>
    <row r="10" spans="1:6" ht="12.75">
      <c r="A10" s="235" t="s">
        <v>727</v>
      </c>
      <c r="B10" s="241">
        <f>241+110460-110701</f>
        <v>0</v>
      </c>
      <c r="C10" s="237">
        <v>2014</v>
      </c>
      <c r="D10" s="238"/>
      <c r="E10" s="239">
        <f>241+110460-110701</f>
        <v>0</v>
      </c>
      <c r="F10" s="240">
        <f>B10-E10</f>
        <v>0</v>
      </c>
    </row>
    <row r="11" spans="1:6" ht="12.75">
      <c r="A11" s="235" t="s">
        <v>196</v>
      </c>
      <c r="B11" s="227">
        <v>500</v>
      </c>
      <c r="C11" s="237">
        <v>2014</v>
      </c>
      <c r="D11" s="238"/>
      <c r="E11" s="239">
        <v>500</v>
      </c>
      <c r="F11" s="240"/>
    </row>
    <row r="12" spans="1:6" ht="16.5" customHeight="1">
      <c r="A12" s="235" t="s">
        <v>728</v>
      </c>
      <c r="B12" s="227">
        <v>452693</v>
      </c>
      <c r="C12" s="237">
        <v>2014</v>
      </c>
      <c r="D12" s="238"/>
      <c r="E12" s="239">
        <f>B12-251890-76110</f>
        <v>124693</v>
      </c>
      <c r="F12" s="240"/>
    </row>
    <row r="13" spans="1:6" ht="12.75">
      <c r="A13" s="235" t="s">
        <v>759</v>
      </c>
      <c r="B13" s="227">
        <f>500*1.27</f>
        <v>635</v>
      </c>
      <c r="C13" s="237">
        <v>2014</v>
      </c>
      <c r="D13" s="238"/>
      <c r="E13" s="239">
        <v>635</v>
      </c>
      <c r="F13" s="240"/>
    </row>
    <row r="14" spans="1:6" ht="12.75">
      <c r="A14" s="235" t="s">
        <v>942</v>
      </c>
      <c r="B14" s="242">
        <v>10164</v>
      </c>
      <c r="C14" s="237">
        <v>2014</v>
      </c>
      <c r="D14" s="238"/>
      <c r="E14" s="239">
        <v>10164</v>
      </c>
      <c r="F14" s="240"/>
    </row>
    <row r="15" spans="1:6" ht="12.75">
      <c r="A15" s="235" t="s">
        <v>1004</v>
      </c>
      <c r="B15" s="242">
        <v>387</v>
      </c>
      <c r="C15" s="237">
        <v>2014</v>
      </c>
      <c r="D15" s="238"/>
      <c r="E15" s="239">
        <v>387</v>
      </c>
      <c r="F15" s="240"/>
    </row>
    <row r="16" spans="1:6" ht="12.75">
      <c r="A16" s="243" t="s">
        <v>1005</v>
      </c>
      <c r="B16" s="242">
        <v>100</v>
      </c>
      <c r="C16" s="237">
        <v>2014</v>
      </c>
      <c r="D16" s="238"/>
      <c r="E16" s="239">
        <v>100</v>
      </c>
      <c r="F16" s="240"/>
    </row>
    <row r="17" spans="1:6" ht="12.75">
      <c r="A17" s="243" t="s">
        <v>1006</v>
      </c>
      <c r="B17" s="242">
        <v>1397</v>
      </c>
      <c r="C17" s="237">
        <v>2014</v>
      </c>
      <c r="D17" s="238"/>
      <c r="E17" s="239">
        <v>1397</v>
      </c>
      <c r="F17" s="240"/>
    </row>
    <row r="18" spans="1:6" ht="12.75">
      <c r="A18" s="243" t="s">
        <v>1007</v>
      </c>
      <c r="B18" s="242">
        <v>104</v>
      </c>
      <c r="C18" s="237">
        <v>2014</v>
      </c>
      <c r="D18" s="238"/>
      <c r="E18" s="242">
        <v>104</v>
      </c>
      <c r="F18" s="240"/>
    </row>
    <row r="19" spans="1:6" ht="12.75">
      <c r="A19" s="243" t="s">
        <v>1008</v>
      </c>
      <c r="B19" s="242">
        <v>97</v>
      </c>
      <c r="C19" s="237">
        <v>2014</v>
      </c>
      <c r="D19" s="238"/>
      <c r="E19" s="242">
        <v>97</v>
      </c>
      <c r="F19" s="240"/>
    </row>
    <row r="20" spans="1:6" ht="12.75">
      <c r="A20" s="243" t="s">
        <v>1009</v>
      </c>
      <c r="B20" s="242">
        <v>85</v>
      </c>
      <c r="C20" s="237">
        <v>2014</v>
      </c>
      <c r="D20" s="238"/>
      <c r="E20" s="242">
        <v>85</v>
      </c>
      <c r="F20" s="240"/>
    </row>
    <row r="21" spans="1:6" ht="12.75">
      <c r="A21" s="243" t="s">
        <v>1010</v>
      </c>
      <c r="B21" s="242">
        <v>28</v>
      </c>
      <c r="C21" s="237">
        <v>2014</v>
      </c>
      <c r="D21" s="238"/>
      <c r="E21" s="242">
        <v>28</v>
      </c>
      <c r="F21" s="240"/>
    </row>
    <row r="22" spans="1:6" ht="12.75">
      <c r="A22" s="243" t="s">
        <v>1011</v>
      </c>
      <c r="B22" s="242">
        <v>243</v>
      </c>
      <c r="C22" s="237">
        <v>2014</v>
      </c>
      <c r="D22" s="238"/>
      <c r="E22" s="242">
        <v>243</v>
      </c>
      <c r="F22" s="240"/>
    </row>
    <row r="23" spans="1:6" ht="12.75">
      <c r="A23" s="243" t="s">
        <v>1012</v>
      </c>
      <c r="B23" s="242">
        <v>60</v>
      </c>
      <c r="C23" s="237">
        <v>2014</v>
      </c>
      <c r="D23" s="238"/>
      <c r="E23" s="242">
        <v>60</v>
      </c>
      <c r="F23" s="240"/>
    </row>
    <row r="24" spans="1:6" ht="12.75">
      <c r="A24" s="243" t="s">
        <v>1013</v>
      </c>
      <c r="B24" s="242">
        <v>394</v>
      </c>
      <c r="C24" s="237">
        <v>2014</v>
      </c>
      <c r="D24" s="238"/>
      <c r="E24" s="242">
        <v>394</v>
      </c>
      <c r="F24" s="240"/>
    </row>
    <row r="25" spans="1:6" ht="12.75">
      <c r="A25" s="243" t="s">
        <v>1014</v>
      </c>
      <c r="B25" s="242">
        <v>298</v>
      </c>
      <c r="C25" s="237">
        <v>2014</v>
      </c>
      <c r="D25" s="238"/>
      <c r="E25" s="242">
        <v>298</v>
      </c>
      <c r="F25" s="240"/>
    </row>
    <row r="26" spans="1:6" ht="12.75">
      <c r="A26" s="263" t="s">
        <v>159</v>
      </c>
      <c r="B26" s="262">
        <v>75</v>
      </c>
      <c r="C26" s="264">
        <v>2014</v>
      </c>
      <c r="D26" s="262"/>
      <c r="E26" s="262">
        <v>75</v>
      </c>
      <c r="F26" s="240"/>
    </row>
    <row r="27" spans="1:6" ht="12.75">
      <c r="A27" s="263" t="s">
        <v>79</v>
      </c>
      <c r="B27" s="262">
        <v>200</v>
      </c>
      <c r="C27" s="264">
        <v>2014</v>
      </c>
      <c r="D27" s="262"/>
      <c r="E27" s="262">
        <v>200</v>
      </c>
      <c r="F27" s="240"/>
    </row>
    <row r="28" spans="1:6" ht="12.75">
      <c r="A28" s="892" t="s">
        <v>175</v>
      </c>
      <c r="B28" s="262">
        <v>750</v>
      </c>
      <c r="C28" s="264">
        <v>2014</v>
      </c>
      <c r="D28" s="262"/>
      <c r="E28" s="262">
        <v>750</v>
      </c>
      <c r="F28" s="240"/>
    </row>
    <row r="29" spans="1:6" ht="12.75">
      <c r="A29" s="892" t="s">
        <v>176</v>
      </c>
      <c r="B29" s="262">
        <v>100</v>
      </c>
      <c r="C29" s="264">
        <v>2014</v>
      </c>
      <c r="D29" s="262"/>
      <c r="E29" s="262">
        <v>100</v>
      </c>
      <c r="F29" s="240"/>
    </row>
    <row r="30" spans="1:6" ht="12" customHeight="1">
      <c r="A30" s="892" t="s">
        <v>194</v>
      </c>
      <c r="B30" s="262">
        <v>100</v>
      </c>
      <c r="C30" s="264">
        <v>2014</v>
      </c>
      <c r="D30" s="262"/>
      <c r="E30" s="262">
        <v>100</v>
      </c>
      <c r="F30" s="240"/>
    </row>
    <row r="31" spans="1:6" ht="12" customHeight="1">
      <c r="A31" s="892" t="s">
        <v>195</v>
      </c>
      <c r="B31" s="262">
        <v>100</v>
      </c>
      <c r="C31" s="264">
        <v>2014</v>
      </c>
      <c r="D31" s="262"/>
      <c r="E31" s="262">
        <v>100</v>
      </c>
      <c r="F31" s="240"/>
    </row>
    <row r="32" spans="1:6" ht="12.75" customHeight="1">
      <c r="A32" s="867" t="s">
        <v>760</v>
      </c>
      <c r="B32" s="893">
        <f>SUM(B6:B31)</f>
        <v>5742099.91</v>
      </c>
      <c r="C32" s="245"/>
      <c r="D32" s="246">
        <f>SUM(D8+D9)</f>
        <v>21083.133858267716</v>
      </c>
      <c r="E32" s="247">
        <f>SUM(E6:E31)+0.1</f>
        <v>2232507.1300000004</v>
      </c>
      <c r="F32" s="247">
        <f>SUM(F6:F13)-1</f>
        <v>3160509.7461417327</v>
      </c>
    </row>
    <row r="33" spans="1:6" ht="12.75">
      <c r="A33" s="894"/>
      <c r="B33" s="895"/>
      <c r="C33" s="896"/>
      <c r="D33" s="895"/>
      <c r="E33" s="897"/>
      <c r="F33" s="897"/>
    </row>
    <row r="34" spans="1:6" ht="42">
      <c r="A34" s="229" t="s">
        <v>749</v>
      </c>
      <c r="B34" s="230" t="s">
        <v>750</v>
      </c>
      <c r="C34" s="230" t="s">
        <v>751</v>
      </c>
      <c r="D34" s="230" t="s">
        <v>752</v>
      </c>
      <c r="E34" s="231" t="s">
        <v>753</v>
      </c>
      <c r="F34" s="232" t="s">
        <v>754</v>
      </c>
    </row>
    <row r="35" spans="1:6" ht="12.75">
      <c r="A35" s="248" t="s">
        <v>761</v>
      </c>
      <c r="B35" s="227">
        <v>600</v>
      </c>
      <c r="C35" s="249">
        <v>2014</v>
      </c>
      <c r="D35" s="250"/>
      <c r="E35" s="251">
        <f>-19+600</f>
        <v>581</v>
      </c>
      <c r="F35" s="252"/>
    </row>
    <row r="36" spans="1:6" ht="12.75">
      <c r="A36" s="248" t="s">
        <v>1015</v>
      </c>
      <c r="B36" s="227">
        <v>200</v>
      </c>
      <c r="C36" s="249">
        <v>2014</v>
      </c>
      <c r="D36" s="250"/>
      <c r="E36" s="251">
        <v>200</v>
      </c>
      <c r="F36" s="252"/>
    </row>
    <row r="37" spans="1:6" ht="12.75">
      <c r="A37" s="248" t="s">
        <v>1016</v>
      </c>
      <c r="B37" s="227">
        <f>100-100</f>
        <v>0</v>
      </c>
      <c r="C37" s="249">
        <v>2014</v>
      </c>
      <c r="D37" s="250"/>
      <c r="E37" s="251">
        <f>100-100</f>
        <v>0</v>
      </c>
      <c r="F37" s="252"/>
    </row>
    <row r="38" spans="1:6" ht="12.75">
      <c r="A38" s="248" t="s">
        <v>770</v>
      </c>
      <c r="B38" s="227">
        <v>200</v>
      </c>
      <c r="C38" s="249">
        <v>2014</v>
      </c>
      <c r="D38" s="250"/>
      <c r="E38" s="251">
        <v>200</v>
      </c>
      <c r="F38" s="252"/>
    </row>
    <row r="39" spans="1:6" ht="12.75">
      <c r="A39" s="248" t="s">
        <v>197</v>
      </c>
      <c r="B39" s="227">
        <f>70+90</f>
        <v>160</v>
      </c>
      <c r="C39" s="249">
        <v>2014</v>
      </c>
      <c r="D39" s="250"/>
      <c r="E39" s="251">
        <f>70+90</f>
        <v>160</v>
      </c>
      <c r="F39" s="252"/>
    </row>
    <row r="40" spans="1:6" ht="12.75">
      <c r="A40" s="248" t="s">
        <v>198</v>
      </c>
      <c r="B40" s="227">
        <v>39</v>
      </c>
      <c r="C40" s="249">
        <v>2014</v>
      </c>
      <c r="D40" s="250"/>
      <c r="E40" s="251">
        <v>39</v>
      </c>
      <c r="F40" s="252"/>
    </row>
    <row r="41" spans="1:6" ht="12.75">
      <c r="A41" s="253" t="s">
        <v>762</v>
      </c>
      <c r="B41" s="244">
        <f>B35+B36+B37+B38+B39+B40</f>
        <v>1199</v>
      </c>
      <c r="C41" s="245"/>
      <c r="D41" s="254"/>
      <c r="E41" s="247">
        <f>E35+E36+E37+E38+E39+E40</f>
        <v>1180</v>
      </c>
      <c r="F41" s="244"/>
    </row>
    <row r="42" spans="1:6" ht="12.75">
      <c r="A42" s="255" t="s">
        <v>763</v>
      </c>
      <c r="B42" s="255">
        <f>1.27*40+0.2</f>
        <v>51</v>
      </c>
      <c r="C42" s="256">
        <v>2014</v>
      </c>
      <c r="D42" s="257"/>
      <c r="E42" s="255">
        <f>1.27*40+0.2</f>
        <v>51</v>
      </c>
      <c r="F42" s="258"/>
    </row>
    <row r="43" spans="1:6" ht="12.75">
      <c r="A43" s="255" t="s">
        <v>764</v>
      </c>
      <c r="B43" s="255">
        <f>1.27*65+0.45</f>
        <v>83</v>
      </c>
      <c r="C43" s="256">
        <v>2014</v>
      </c>
      <c r="D43" s="259"/>
      <c r="E43" s="255">
        <f>1.27*65+0.45</f>
        <v>83</v>
      </c>
      <c r="F43" s="258"/>
    </row>
    <row r="44" spans="1:6" ht="12.75">
      <c r="A44" s="255" t="s">
        <v>765</v>
      </c>
      <c r="B44" s="255">
        <f>1.27*30-0.1</f>
        <v>38</v>
      </c>
      <c r="C44" s="256">
        <v>2014</v>
      </c>
      <c r="D44" s="259"/>
      <c r="E44" s="255">
        <f>1.27*30-0.1</f>
        <v>38</v>
      </c>
      <c r="F44" s="258"/>
    </row>
    <row r="45" spans="1:6" ht="12.75">
      <c r="A45" s="255" t="s">
        <v>766</v>
      </c>
      <c r="B45" s="255">
        <f>1.27*470+0.1-1</f>
        <v>596</v>
      </c>
      <c r="C45" s="256">
        <v>2014</v>
      </c>
      <c r="D45" s="259"/>
      <c r="E45" s="255">
        <f>1.27*470+0.1-1-156</f>
        <v>440</v>
      </c>
      <c r="F45" s="258"/>
    </row>
    <row r="46" spans="1:6" ht="12.75">
      <c r="A46" s="260" t="s">
        <v>767</v>
      </c>
      <c r="B46" s="261">
        <f>1.27*200</f>
        <v>254</v>
      </c>
      <c r="C46" s="256">
        <v>2014</v>
      </c>
      <c r="D46" s="259"/>
      <c r="E46" s="261">
        <f>1.27*200</f>
        <v>254</v>
      </c>
      <c r="F46" s="258"/>
    </row>
    <row r="47" spans="1:6" ht="12.75">
      <c r="A47" s="663" t="s">
        <v>768</v>
      </c>
      <c r="B47" s="244">
        <f>SUM(B42:B46)</f>
        <v>1022</v>
      </c>
      <c r="C47" s="245"/>
      <c r="D47" s="254">
        <f>SUM(D42:D46)</f>
        <v>0</v>
      </c>
      <c r="E47" s="244">
        <f>SUM(E42:E46)</f>
        <v>866</v>
      </c>
      <c r="F47" s="262"/>
    </row>
    <row r="48" spans="1:6" ht="14.25" customHeight="1">
      <c r="A48" s="229" t="s">
        <v>749</v>
      </c>
      <c r="B48" s="230" t="s">
        <v>750</v>
      </c>
      <c r="C48" s="230" t="s">
        <v>751</v>
      </c>
      <c r="D48" s="230" t="s">
        <v>752</v>
      </c>
      <c r="E48" s="231" t="s">
        <v>753</v>
      </c>
      <c r="F48" s="232" t="s">
        <v>754</v>
      </c>
    </row>
    <row r="49" spans="1:6" ht="16.5" customHeight="1">
      <c r="A49" s="233">
        <v>1</v>
      </c>
      <c r="B49" s="232">
        <v>2</v>
      </c>
      <c r="C49" s="232">
        <v>3</v>
      </c>
      <c r="D49" s="232">
        <v>4</v>
      </c>
      <c r="E49" s="234">
        <v>5</v>
      </c>
      <c r="F49" s="232" t="s">
        <v>755</v>
      </c>
    </row>
    <row r="50" spans="1:6" ht="12.75">
      <c r="A50" s="959" t="s">
        <v>80</v>
      </c>
      <c r="B50" s="960">
        <v>573</v>
      </c>
      <c r="C50" s="960">
        <v>2014</v>
      </c>
      <c r="D50" s="960"/>
      <c r="E50" s="960">
        <v>573</v>
      </c>
      <c r="F50" s="960"/>
    </row>
    <row r="51" spans="1:6" ht="16.5" customHeight="1">
      <c r="A51" s="233" t="s">
        <v>81</v>
      </c>
      <c r="B51" s="960">
        <f>B50</f>
        <v>573</v>
      </c>
      <c r="C51" s="960"/>
      <c r="D51" s="960"/>
      <c r="E51" s="960">
        <f>E50</f>
        <v>573</v>
      </c>
      <c r="F51" s="960"/>
    </row>
    <row r="52" spans="1:6" ht="12.75">
      <c r="A52" s="959" t="s">
        <v>82</v>
      </c>
      <c r="B52" s="960">
        <v>15</v>
      </c>
      <c r="C52" s="960">
        <v>2014</v>
      </c>
      <c r="D52" s="960"/>
      <c r="E52" s="960">
        <v>15</v>
      </c>
      <c r="F52" s="960"/>
    </row>
    <row r="53" spans="1:6" ht="12.75">
      <c r="A53" s="959" t="s">
        <v>83</v>
      </c>
      <c r="B53" s="960">
        <v>8</v>
      </c>
      <c r="C53" s="960">
        <v>2014</v>
      </c>
      <c r="D53" s="960"/>
      <c r="E53" s="960">
        <v>8</v>
      </c>
      <c r="F53" s="960"/>
    </row>
    <row r="54" spans="1:6" ht="15.75" customHeight="1">
      <c r="A54" s="959" t="s">
        <v>84</v>
      </c>
      <c r="B54" s="960">
        <v>719</v>
      </c>
      <c r="C54" s="960">
        <v>2014</v>
      </c>
      <c r="D54" s="960"/>
      <c r="E54" s="960">
        <v>720</v>
      </c>
      <c r="F54" s="960"/>
    </row>
    <row r="55" spans="1:6" ht="12.75">
      <c r="A55" s="959" t="s">
        <v>85</v>
      </c>
      <c r="B55" s="960">
        <v>126</v>
      </c>
      <c r="C55" s="960">
        <v>2014</v>
      </c>
      <c r="D55" s="960"/>
      <c r="E55" s="960">
        <v>126</v>
      </c>
      <c r="F55" s="960"/>
    </row>
    <row r="56" spans="1:6" ht="15" customHeight="1">
      <c r="A56" s="959" t="s">
        <v>86</v>
      </c>
      <c r="B56" s="960">
        <v>43</v>
      </c>
      <c r="C56" s="960">
        <v>2014</v>
      </c>
      <c r="D56" s="960"/>
      <c r="E56" s="960">
        <v>43</v>
      </c>
      <c r="F56" s="960"/>
    </row>
    <row r="57" spans="1:6" ht="12.75">
      <c r="A57" s="959" t="s">
        <v>87</v>
      </c>
      <c r="B57" s="960">
        <v>115</v>
      </c>
      <c r="C57" s="960">
        <v>2014</v>
      </c>
      <c r="D57" s="960"/>
      <c r="E57" s="960">
        <v>115</v>
      </c>
      <c r="F57" s="960"/>
    </row>
    <row r="58" spans="1:6" ht="12.75">
      <c r="A58" s="959" t="s">
        <v>88</v>
      </c>
      <c r="B58" s="960">
        <v>3</v>
      </c>
      <c r="C58" s="960">
        <v>2014</v>
      </c>
      <c r="D58" s="960"/>
      <c r="E58" s="960">
        <v>3</v>
      </c>
      <c r="F58" s="960"/>
    </row>
    <row r="59" spans="1:6" ht="18.75" customHeight="1">
      <c r="A59" s="264" t="s">
        <v>89</v>
      </c>
      <c r="B59" s="960">
        <f>SUM(B52:B58)</f>
        <v>1029</v>
      </c>
      <c r="C59" s="960"/>
      <c r="D59" s="960"/>
      <c r="E59" s="960">
        <f>SUM(E52:E58)</f>
        <v>1030</v>
      </c>
      <c r="F59" s="960"/>
    </row>
    <row r="60" spans="1:6" ht="16.5" customHeight="1">
      <c r="A60" s="263" t="s">
        <v>200</v>
      </c>
      <c r="B60" s="262">
        <v>505</v>
      </c>
      <c r="C60" s="264">
        <v>2014</v>
      </c>
      <c r="D60" s="262"/>
      <c r="E60" s="262">
        <v>505</v>
      </c>
      <c r="F60" s="262"/>
    </row>
    <row r="61" spans="1:6" ht="12.75">
      <c r="A61" s="263" t="s">
        <v>1017</v>
      </c>
      <c r="B61" s="262">
        <v>2993</v>
      </c>
      <c r="C61" s="264">
        <v>2014</v>
      </c>
      <c r="D61" s="262"/>
      <c r="E61" s="262">
        <v>2993</v>
      </c>
      <c r="F61" s="262"/>
    </row>
    <row r="62" spans="1:6" ht="12.75">
      <c r="A62" s="263" t="s">
        <v>1018</v>
      </c>
      <c r="B62" s="262">
        <v>1727</v>
      </c>
      <c r="C62" s="264">
        <v>2014</v>
      </c>
      <c r="D62" s="262"/>
      <c r="E62" s="262">
        <v>1727</v>
      </c>
      <c r="F62" s="262"/>
    </row>
    <row r="63" spans="1:6" ht="12.75">
      <c r="A63" s="263" t="s">
        <v>90</v>
      </c>
      <c r="B63" s="262">
        <v>1199</v>
      </c>
      <c r="C63" s="264">
        <v>2014</v>
      </c>
      <c r="D63" s="262"/>
      <c r="E63" s="262">
        <v>1199</v>
      </c>
      <c r="F63" s="262"/>
    </row>
    <row r="64" spans="1:6" ht="12.75">
      <c r="A64" s="263" t="s">
        <v>1019</v>
      </c>
      <c r="B64" s="262">
        <v>674</v>
      </c>
      <c r="C64" s="264">
        <v>2014</v>
      </c>
      <c r="D64" s="262"/>
      <c r="E64" s="262">
        <v>674</v>
      </c>
      <c r="F64" s="262"/>
    </row>
    <row r="65" spans="1:6" ht="12.75">
      <c r="A65" s="263" t="s">
        <v>199</v>
      </c>
      <c r="B65" s="262">
        <v>330</v>
      </c>
      <c r="C65" s="264">
        <v>2014</v>
      </c>
      <c r="D65" s="262"/>
      <c r="E65" s="262">
        <v>330</v>
      </c>
      <c r="F65" s="262"/>
    </row>
    <row r="66" spans="1:6" ht="12.75">
      <c r="A66" s="263" t="s">
        <v>91</v>
      </c>
      <c r="B66" s="262">
        <v>220</v>
      </c>
      <c r="C66" s="264">
        <v>2014</v>
      </c>
      <c r="D66" s="262"/>
      <c r="E66" s="262">
        <v>220</v>
      </c>
      <c r="F66" s="262"/>
    </row>
    <row r="67" spans="1:6" ht="12.75">
      <c r="A67" s="263" t="s">
        <v>92</v>
      </c>
      <c r="B67" s="262">
        <v>160</v>
      </c>
      <c r="C67" s="264">
        <v>2014</v>
      </c>
      <c r="D67" s="262"/>
      <c r="E67" s="262">
        <v>160</v>
      </c>
      <c r="F67" s="262"/>
    </row>
    <row r="68" spans="1:6" ht="12.75">
      <c r="A68" s="263" t="s">
        <v>178</v>
      </c>
      <c r="B68" s="262">
        <v>1104</v>
      </c>
      <c r="C68" s="264">
        <v>2014</v>
      </c>
      <c r="D68" s="262"/>
      <c r="E68" s="262">
        <v>1104</v>
      </c>
      <c r="F68" s="262"/>
    </row>
    <row r="69" spans="1:6" ht="12.75">
      <c r="A69" s="264" t="s">
        <v>93</v>
      </c>
      <c r="B69" s="262">
        <f>SUM(B60:B68)</f>
        <v>8912</v>
      </c>
      <c r="C69" s="264"/>
      <c r="D69" s="262"/>
      <c r="E69" s="262">
        <f>SUM(E60:E68)</f>
        <v>8912</v>
      </c>
      <c r="F69" s="262"/>
    </row>
    <row r="70" spans="1:6" ht="12.75">
      <c r="A70" s="263" t="s">
        <v>177</v>
      </c>
      <c r="B70" s="262">
        <v>2540</v>
      </c>
      <c r="C70" s="264">
        <v>2014</v>
      </c>
      <c r="D70" s="262"/>
      <c r="E70" s="262">
        <v>2540</v>
      </c>
      <c r="F70" s="262"/>
    </row>
    <row r="71" spans="1:6" ht="12.75">
      <c r="A71" s="264" t="s">
        <v>94</v>
      </c>
      <c r="B71" s="262">
        <f>SUM(B70)</f>
        <v>2540</v>
      </c>
      <c r="C71" s="264"/>
      <c r="D71" s="262"/>
      <c r="E71" s="262">
        <f>SUM(E70)</f>
        <v>2540</v>
      </c>
      <c r="F71" s="262"/>
    </row>
    <row r="72" spans="1:6" ht="12.75">
      <c r="A72" s="263" t="s">
        <v>95</v>
      </c>
      <c r="B72" s="262">
        <v>47</v>
      </c>
      <c r="C72" s="264">
        <v>2014</v>
      </c>
      <c r="D72" s="262"/>
      <c r="E72" s="262">
        <v>47</v>
      </c>
      <c r="F72" s="262"/>
    </row>
    <row r="73" spans="1:6" ht="12.75">
      <c r="A73" s="263" t="s">
        <v>96</v>
      </c>
      <c r="B73" s="262">
        <v>22</v>
      </c>
      <c r="C73" s="264">
        <v>2014</v>
      </c>
      <c r="D73" s="262"/>
      <c r="E73" s="262">
        <v>22</v>
      </c>
      <c r="F73" s="262"/>
    </row>
    <row r="74" spans="1:6" ht="12.75">
      <c r="A74" s="263" t="s">
        <v>97</v>
      </c>
      <c r="B74" s="262">
        <v>245</v>
      </c>
      <c r="C74" s="264">
        <v>2014</v>
      </c>
      <c r="D74" s="262"/>
      <c r="E74" s="262">
        <v>245</v>
      </c>
      <c r="F74" s="262"/>
    </row>
    <row r="75" spans="1:6" ht="12.75">
      <c r="A75" s="263" t="s">
        <v>98</v>
      </c>
      <c r="B75" s="262">
        <v>92</v>
      </c>
      <c r="C75" s="264">
        <v>2014</v>
      </c>
      <c r="D75" s="262"/>
      <c r="E75" s="262">
        <v>92</v>
      </c>
      <c r="F75" s="262"/>
    </row>
    <row r="76" spans="1:6" ht="12.75">
      <c r="A76" s="263" t="s">
        <v>99</v>
      </c>
      <c r="B76" s="262">
        <v>121</v>
      </c>
      <c r="C76" s="264">
        <v>2014</v>
      </c>
      <c r="D76" s="262"/>
      <c r="E76" s="262">
        <v>121</v>
      </c>
      <c r="F76" s="262"/>
    </row>
    <row r="77" spans="1:6" ht="12.75">
      <c r="A77" s="263" t="s">
        <v>100</v>
      </c>
      <c r="B77" s="262">
        <v>58</v>
      </c>
      <c r="C77" s="264">
        <v>2014</v>
      </c>
      <c r="D77" s="262"/>
      <c r="E77" s="262">
        <v>58</v>
      </c>
      <c r="F77" s="262"/>
    </row>
    <row r="78" spans="1:6" ht="12.75">
      <c r="A78" s="263" t="s">
        <v>101</v>
      </c>
      <c r="B78" s="262">
        <v>62</v>
      </c>
      <c r="C78" s="264">
        <v>2014</v>
      </c>
      <c r="D78" s="262"/>
      <c r="E78" s="262">
        <v>62</v>
      </c>
      <c r="F78" s="262"/>
    </row>
    <row r="79" spans="1:6" ht="12.75">
      <c r="A79" s="263" t="s">
        <v>102</v>
      </c>
      <c r="B79" s="262">
        <v>4</v>
      </c>
      <c r="C79" s="264">
        <v>2014</v>
      </c>
      <c r="D79" s="262"/>
      <c r="E79" s="262">
        <v>4</v>
      </c>
      <c r="F79" s="262"/>
    </row>
    <row r="80" spans="1:6" ht="12.75">
      <c r="A80" s="263" t="s">
        <v>103</v>
      </c>
      <c r="B80" s="262">
        <v>42</v>
      </c>
      <c r="C80" s="264">
        <v>2014</v>
      </c>
      <c r="D80" s="262"/>
      <c r="E80" s="262">
        <v>42</v>
      </c>
      <c r="F80" s="262"/>
    </row>
    <row r="81" spans="1:6" ht="25.5" customHeight="1">
      <c r="A81" s="263" t="s">
        <v>104</v>
      </c>
      <c r="B81" s="262">
        <v>22</v>
      </c>
      <c r="C81" s="264">
        <v>2014</v>
      </c>
      <c r="D81" s="262"/>
      <c r="E81" s="262">
        <v>22</v>
      </c>
      <c r="F81" s="262"/>
    </row>
    <row r="82" spans="1:6" ht="12.75">
      <c r="A82" s="263" t="s">
        <v>105</v>
      </c>
      <c r="B82" s="262">
        <v>22</v>
      </c>
      <c r="C82" s="264">
        <v>2014</v>
      </c>
      <c r="D82" s="262"/>
      <c r="E82" s="262">
        <v>22</v>
      </c>
      <c r="F82" s="262"/>
    </row>
    <row r="83" spans="1:6" ht="12.75">
      <c r="A83" s="264" t="s">
        <v>106</v>
      </c>
      <c r="B83" s="262">
        <f>SUM(B72:B82)</f>
        <v>737</v>
      </c>
      <c r="C83" s="264">
        <v>2014</v>
      </c>
      <c r="D83" s="262"/>
      <c r="E83" s="262">
        <f>SUM(E72:E82)</f>
        <v>737</v>
      </c>
      <c r="F83" s="262"/>
    </row>
    <row r="84" spans="1:6" ht="12.75">
      <c r="A84" s="898" t="s">
        <v>769</v>
      </c>
      <c r="B84" s="244">
        <f>SUM(B59,B69,B83,B71,B51)</f>
        <v>13791</v>
      </c>
      <c r="C84" s="245"/>
      <c r="D84" s="254"/>
      <c r="E84" s="247">
        <f>SUM(E51,E59,E69,E71,E83)</f>
        <v>13792</v>
      </c>
      <c r="F84" s="244"/>
    </row>
    <row r="85" spans="1:6" ht="42">
      <c r="A85" s="257" t="s">
        <v>749</v>
      </c>
      <c r="B85" s="259" t="s">
        <v>750</v>
      </c>
      <c r="C85" s="259" t="s">
        <v>751</v>
      </c>
      <c r="D85" s="259" t="s">
        <v>752</v>
      </c>
      <c r="E85" s="265" t="s">
        <v>753</v>
      </c>
      <c r="F85" s="258" t="s">
        <v>754</v>
      </c>
    </row>
    <row r="86" spans="1:6" ht="12.75">
      <c r="A86" s="266" t="s">
        <v>770</v>
      </c>
      <c r="B86" s="262">
        <v>222</v>
      </c>
      <c r="C86" s="264">
        <v>2014</v>
      </c>
      <c r="D86" s="244"/>
      <c r="E86" s="262">
        <v>222</v>
      </c>
      <c r="F86" s="244"/>
    </row>
    <row r="87" spans="1:6" ht="12.75">
      <c r="A87" s="264" t="s">
        <v>89</v>
      </c>
      <c r="B87" s="262">
        <f>SUM(B86)</f>
        <v>222</v>
      </c>
      <c r="C87" s="264"/>
      <c r="D87" s="244"/>
      <c r="E87" s="262">
        <f>SUM(E86)</f>
        <v>222</v>
      </c>
      <c r="F87" s="244"/>
    </row>
    <row r="88" spans="1:6" ht="12.75">
      <c r="A88" s="266" t="s">
        <v>107</v>
      </c>
      <c r="B88" s="262">
        <v>70</v>
      </c>
      <c r="C88" s="264">
        <v>2014</v>
      </c>
      <c r="D88" s="244"/>
      <c r="E88" s="262">
        <v>70</v>
      </c>
      <c r="F88" s="244"/>
    </row>
    <row r="89" spans="1:6" ht="12.75">
      <c r="A89" s="266" t="s">
        <v>771</v>
      </c>
      <c r="B89" s="262">
        <v>107</v>
      </c>
      <c r="C89" s="264">
        <v>2014</v>
      </c>
      <c r="D89" s="244"/>
      <c r="E89" s="262">
        <v>107</v>
      </c>
      <c r="F89" s="244"/>
    </row>
    <row r="90" spans="1:6" ht="12.75">
      <c r="A90" s="266" t="s">
        <v>108</v>
      </c>
      <c r="B90" s="262">
        <v>20</v>
      </c>
      <c r="C90" s="264">
        <v>2014</v>
      </c>
      <c r="D90" s="244"/>
      <c r="E90" s="262">
        <v>20</v>
      </c>
      <c r="F90" s="244"/>
    </row>
    <row r="91" spans="1:6" ht="12.75">
      <c r="A91" s="266" t="s">
        <v>109</v>
      </c>
      <c r="B91" s="262">
        <v>10</v>
      </c>
      <c r="C91" s="264">
        <v>2014</v>
      </c>
      <c r="D91" s="244"/>
      <c r="E91" s="262">
        <v>10</v>
      </c>
      <c r="F91" s="244"/>
    </row>
    <row r="92" spans="1:6" ht="12.75">
      <c r="A92" s="266" t="s">
        <v>110</v>
      </c>
      <c r="B92" s="262">
        <v>68</v>
      </c>
      <c r="C92" s="264">
        <v>2014</v>
      </c>
      <c r="D92" s="244"/>
      <c r="E92" s="262">
        <v>68</v>
      </c>
      <c r="F92" s="244"/>
    </row>
    <row r="93" spans="1:6" ht="12.75">
      <c r="A93" s="266" t="s">
        <v>111</v>
      </c>
      <c r="B93" s="262">
        <v>16</v>
      </c>
      <c r="C93" s="264">
        <v>2014</v>
      </c>
      <c r="D93" s="244"/>
      <c r="E93" s="262">
        <v>16</v>
      </c>
      <c r="F93" s="244"/>
    </row>
    <row r="94" spans="1:6" ht="12.75">
      <c r="A94" s="266" t="s">
        <v>112</v>
      </c>
      <c r="B94" s="262">
        <v>22</v>
      </c>
      <c r="C94" s="264">
        <v>2014</v>
      </c>
      <c r="D94" s="244"/>
      <c r="E94" s="262">
        <v>22</v>
      </c>
      <c r="F94" s="244"/>
    </row>
    <row r="95" spans="1:6" ht="12.75">
      <c r="A95" s="266" t="s">
        <v>113</v>
      </c>
      <c r="B95" s="262">
        <v>64</v>
      </c>
      <c r="C95" s="264">
        <v>2014</v>
      </c>
      <c r="D95" s="244"/>
      <c r="E95" s="262">
        <v>64</v>
      </c>
      <c r="F95" s="244"/>
    </row>
    <row r="96" spans="1:6" ht="12.75">
      <c r="A96" s="266" t="s">
        <v>1020</v>
      </c>
      <c r="B96" s="262">
        <v>35</v>
      </c>
      <c r="C96" s="264">
        <v>2014</v>
      </c>
      <c r="D96" s="244"/>
      <c r="E96" s="262">
        <v>35</v>
      </c>
      <c r="F96" s="244"/>
    </row>
    <row r="97" spans="1:6" ht="12.75">
      <c r="A97" s="264" t="s">
        <v>114</v>
      </c>
      <c r="B97" s="262">
        <f>SUM(B88:B96)</f>
        <v>412</v>
      </c>
      <c r="C97" s="264"/>
      <c r="D97" s="244"/>
      <c r="E97" s="262">
        <f>SUM(E88:E96)</f>
        <v>412</v>
      </c>
      <c r="F97" s="244"/>
    </row>
    <row r="98" spans="1:6" ht="12.75">
      <c r="A98" s="663" t="s">
        <v>772</v>
      </c>
      <c r="B98" s="244">
        <f>B87+B97</f>
        <v>634</v>
      </c>
      <c r="C98" s="245"/>
      <c r="D98" s="254"/>
      <c r="E98" s="244">
        <f>E87+E97</f>
        <v>634</v>
      </c>
      <c r="F98" s="244"/>
    </row>
    <row r="99" spans="1:6" ht="12.75">
      <c r="A99" s="266" t="s">
        <v>763</v>
      </c>
      <c r="B99" s="262">
        <v>26</v>
      </c>
      <c r="C99" s="264">
        <v>2014</v>
      </c>
      <c r="D99" s="244"/>
      <c r="E99" s="262">
        <v>26</v>
      </c>
      <c r="F99" s="244"/>
    </row>
    <row r="100" spans="1:6" ht="12.75">
      <c r="A100" s="266" t="s">
        <v>115</v>
      </c>
      <c r="B100" s="262">
        <v>28</v>
      </c>
      <c r="C100" s="264">
        <v>2014</v>
      </c>
      <c r="D100" s="244"/>
      <c r="E100" s="262">
        <v>28</v>
      </c>
      <c r="F100" s="244"/>
    </row>
    <row r="101" spans="1:6" ht="12.75">
      <c r="A101" s="266" t="s">
        <v>116</v>
      </c>
      <c r="B101" s="262">
        <v>24</v>
      </c>
      <c r="C101" s="264">
        <v>2014</v>
      </c>
      <c r="D101" s="244"/>
      <c r="E101" s="262">
        <v>24</v>
      </c>
      <c r="F101" s="244"/>
    </row>
    <row r="102" spans="1:6" ht="12.75">
      <c r="A102" s="266" t="s">
        <v>117</v>
      </c>
      <c r="B102" s="262">
        <v>6</v>
      </c>
      <c r="C102" s="264">
        <v>2014</v>
      </c>
      <c r="D102" s="244"/>
      <c r="E102" s="262">
        <v>6</v>
      </c>
      <c r="F102" s="244"/>
    </row>
    <row r="103" spans="1:6" ht="12.75">
      <c r="A103" s="266" t="s">
        <v>118</v>
      </c>
      <c r="B103" s="262">
        <v>2</v>
      </c>
      <c r="C103" s="264">
        <v>2014</v>
      </c>
      <c r="D103" s="244"/>
      <c r="E103" s="262">
        <v>2</v>
      </c>
      <c r="F103" s="244"/>
    </row>
    <row r="104" spans="1:6" ht="12.75">
      <c r="A104" s="266" t="s">
        <v>88</v>
      </c>
      <c r="B104" s="262">
        <v>1</v>
      </c>
      <c r="C104" s="264">
        <v>2014</v>
      </c>
      <c r="D104" s="244"/>
      <c r="E104" s="262">
        <v>1</v>
      </c>
      <c r="F104" s="244"/>
    </row>
    <row r="105" spans="1:6" ht="12.75">
      <c r="A105" s="264" t="s">
        <v>89</v>
      </c>
      <c r="B105" s="262">
        <f>SUM(B99:B104)</f>
        <v>87</v>
      </c>
      <c r="C105" s="264"/>
      <c r="D105" s="244"/>
      <c r="E105" s="262">
        <f>SUM(E99:E104)</f>
        <v>87</v>
      </c>
      <c r="F105" s="244"/>
    </row>
    <row r="106" spans="1:6" ht="12.75">
      <c r="A106" s="266" t="s">
        <v>119</v>
      </c>
      <c r="B106" s="262">
        <v>148</v>
      </c>
      <c r="C106" s="264">
        <v>2014</v>
      </c>
      <c r="D106" s="244"/>
      <c r="E106" s="262">
        <v>148</v>
      </c>
      <c r="F106" s="244"/>
    </row>
    <row r="107" spans="1:6" ht="12.75">
      <c r="A107" s="266" t="s">
        <v>120</v>
      </c>
      <c r="B107" s="262">
        <f>198+1080</f>
        <v>1278</v>
      </c>
      <c r="C107" s="264">
        <v>2014</v>
      </c>
      <c r="D107" s="244"/>
      <c r="E107" s="262">
        <f>198+1080</f>
        <v>1278</v>
      </c>
      <c r="F107" s="244"/>
    </row>
    <row r="108" spans="1:6" ht="12.75">
      <c r="A108" s="266" t="s">
        <v>121</v>
      </c>
      <c r="B108" s="262">
        <v>114</v>
      </c>
      <c r="C108" s="264">
        <v>2014</v>
      </c>
      <c r="D108" s="244"/>
      <c r="E108" s="262">
        <v>114</v>
      </c>
      <c r="F108" s="244"/>
    </row>
    <row r="109" spans="1:6" ht="12.75">
      <c r="A109" s="266" t="s">
        <v>122</v>
      </c>
      <c r="B109" s="262">
        <v>100</v>
      </c>
      <c r="C109" s="264">
        <v>2014</v>
      </c>
      <c r="D109" s="244"/>
      <c r="E109" s="262">
        <v>100</v>
      </c>
      <c r="F109" s="244"/>
    </row>
    <row r="110" spans="1:6" ht="12.75">
      <c r="A110" s="266" t="s">
        <v>764</v>
      </c>
      <c r="B110" s="262">
        <v>41</v>
      </c>
      <c r="C110" s="264">
        <v>2014</v>
      </c>
      <c r="D110" s="244"/>
      <c r="E110" s="262">
        <v>41</v>
      </c>
      <c r="F110" s="244"/>
    </row>
    <row r="111" spans="1:6" ht="12.75">
      <c r="A111" s="266" t="s">
        <v>123</v>
      </c>
      <c r="B111" s="262">
        <v>51</v>
      </c>
      <c r="C111" s="264">
        <v>2014</v>
      </c>
      <c r="D111" s="244"/>
      <c r="E111" s="262">
        <v>51</v>
      </c>
      <c r="F111" s="244"/>
    </row>
    <row r="112" spans="1:6" ht="12.75">
      <c r="A112" s="266" t="s">
        <v>111</v>
      </c>
      <c r="B112" s="262">
        <v>7</v>
      </c>
      <c r="C112" s="264">
        <v>2014</v>
      </c>
      <c r="D112" s="244"/>
      <c r="E112" s="262">
        <v>7</v>
      </c>
      <c r="F112" s="244"/>
    </row>
    <row r="113" spans="1:6" ht="12.75">
      <c r="A113" s="266" t="s">
        <v>124</v>
      </c>
      <c r="B113" s="262">
        <v>120</v>
      </c>
      <c r="C113" s="264">
        <v>2014</v>
      </c>
      <c r="D113" s="244"/>
      <c r="E113" s="262">
        <v>120</v>
      </c>
      <c r="F113" s="244"/>
    </row>
    <row r="114" spans="1:6" ht="12.75">
      <c r="A114" s="266" t="s">
        <v>125</v>
      </c>
      <c r="B114" s="262">
        <v>15</v>
      </c>
      <c r="C114" s="264">
        <v>2014</v>
      </c>
      <c r="D114" s="244"/>
      <c r="E114" s="262">
        <v>15</v>
      </c>
      <c r="F114" s="244"/>
    </row>
    <row r="115" spans="1:6" ht="12.75">
      <c r="A115" s="266" t="s">
        <v>126</v>
      </c>
      <c r="B115" s="262">
        <v>61</v>
      </c>
      <c r="C115" s="264">
        <v>2014</v>
      </c>
      <c r="D115" s="244"/>
      <c r="E115" s="262">
        <v>61</v>
      </c>
      <c r="F115" s="244"/>
    </row>
    <row r="116" spans="1:6" ht="12.75">
      <c r="A116" s="266" t="s">
        <v>127</v>
      </c>
      <c r="B116" s="262">
        <v>25</v>
      </c>
      <c r="C116" s="264">
        <v>2014</v>
      </c>
      <c r="D116" s="244"/>
      <c r="E116" s="262">
        <v>25</v>
      </c>
      <c r="F116" s="244"/>
    </row>
    <row r="117" spans="1:6" ht="12.75">
      <c r="A117" s="266" t="s">
        <v>128</v>
      </c>
      <c r="B117" s="262">
        <v>21</v>
      </c>
      <c r="C117" s="264">
        <v>2014</v>
      </c>
      <c r="D117" s="244"/>
      <c r="E117" s="262">
        <v>21</v>
      </c>
      <c r="F117" s="244"/>
    </row>
    <row r="118" spans="1:6" ht="12.75">
      <c r="A118" s="266" t="s">
        <v>129</v>
      </c>
      <c r="B118" s="262">
        <v>23</v>
      </c>
      <c r="C118" s="264">
        <v>2014</v>
      </c>
      <c r="D118" s="244"/>
      <c r="E118" s="262">
        <v>23</v>
      </c>
      <c r="F118" s="244"/>
    </row>
    <row r="119" spans="1:6" ht="12.75">
      <c r="A119" s="266" t="s">
        <v>130</v>
      </c>
      <c r="B119" s="262">
        <v>18</v>
      </c>
      <c r="C119" s="264">
        <v>2014</v>
      </c>
      <c r="D119" s="244"/>
      <c r="E119" s="262">
        <v>18</v>
      </c>
      <c r="F119" s="244"/>
    </row>
    <row r="120" spans="1:6" ht="12.75">
      <c r="A120" s="266" t="s">
        <v>131</v>
      </c>
      <c r="B120" s="262">
        <v>54</v>
      </c>
      <c r="C120" s="264">
        <v>2014</v>
      </c>
      <c r="D120" s="244"/>
      <c r="E120" s="262">
        <v>54</v>
      </c>
      <c r="F120" s="244"/>
    </row>
    <row r="121" spans="1:6" ht="12.75">
      <c r="A121" s="266" t="s">
        <v>132</v>
      </c>
      <c r="B121" s="262">
        <v>181</v>
      </c>
      <c r="C121" s="264">
        <v>2014</v>
      </c>
      <c r="D121" s="244"/>
      <c r="E121" s="262">
        <v>181</v>
      </c>
      <c r="F121" s="244"/>
    </row>
    <row r="122" spans="1:6" ht="12.75">
      <c r="A122" s="266" t="s">
        <v>133</v>
      </c>
      <c r="B122" s="262">
        <v>13</v>
      </c>
      <c r="C122" s="264">
        <v>2014</v>
      </c>
      <c r="D122" s="244"/>
      <c r="E122" s="262">
        <v>13</v>
      </c>
      <c r="F122" s="244"/>
    </row>
    <row r="123" spans="1:6" ht="12.75">
      <c r="A123" s="266" t="s">
        <v>126</v>
      </c>
      <c r="B123" s="262">
        <v>72</v>
      </c>
      <c r="C123" s="264">
        <v>2014</v>
      </c>
      <c r="D123" s="244"/>
      <c r="E123" s="262">
        <v>72</v>
      </c>
      <c r="F123" s="244"/>
    </row>
    <row r="124" spans="1:6" ht="12.75">
      <c r="A124" s="266" t="s">
        <v>134</v>
      </c>
      <c r="B124" s="262">
        <v>87</v>
      </c>
      <c r="C124" s="264">
        <v>2014</v>
      </c>
      <c r="D124" s="244"/>
      <c r="E124" s="262">
        <v>87</v>
      </c>
      <c r="F124" s="244"/>
    </row>
    <row r="125" spans="1:6" ht="12.75">
      <c r="A125" s="266" t="s">
        <v>135</v>
      </c>
      <c r="B125" s="262">
        <v>88</v>
      </c>
      <c r="C125" s="264">
        <v>2014</v>
      </c>
      <c r="D125" s="244"/>
      <c r="E125" s="262">
        <v>88</v>
      </c>
      <c r="F125" s="244"/>
    </row>
    <row r="126" spans="1:6" ht="12.75">
      <c r="A126" s="264" t="s">
        <v>136</v>
      </c>
      <c r="B126" s="262">
        <f>SUM(B106:B125)</f>
        <v>2517</v>
      </c>
      <c r="C126" s="264"/>
      <c r="D126" s="244"/>
      <c r="E126" s="262">
        <f>SUM(E106:E125)</f>
        <v>2517</v>
      </c>
      <c r="F126" s="244"/>
    </row>
    <row r="127" spans="1:6" ht="12.75">
      <c r="A127" s="663" t="s">
        <v>1021</v>
      </c>
      <c r="B127" s="244">
        <f>B105+B126</f>
        <v>2604</v>
      </c>
      <c r="C127" s="245"/>
      <c r="D127" s="254"/>
      <c r="E127" s="244">
        <f>E105+E126</f>
        <v>2604</v>
      </c>
      <c r="F127" s="244"/>
    </row>
    <row r="128" spans="1:6" ht="12.75">
      <c r="A128" s="267" t="s">
        <v>773</v>
      </c>
      <c r="B128" s="268">
        <f>B32+B41+B47+B84+B98+B127+1</f>
        <v>5761350.91</v>
      </c>
      <c r="C128" s="268">
        <f>C32+C41+C47+C84+C98+C127+1</f>
        <v>1</v>
      </c>
      <c r="D128" s="268">
        <f>D32+D41+D47+D84+D98+D127+1</f>
        <v>21084.133858267716</v>
      </c>
      <c r="E128" s="268">
        <f>E32+E41+E47+E84+E98+E127</f>
        <v>2251583.1300000004</v>
      </c>
      <c r="F128" s="268">
        <f>F32+F41+F47+F84+F98+F127+1</f>
        <v>3160510.7461417327</v>
      </c>
    </row>
    <row r="129" spans="1:6" ht="12.75">
      <c r="A129" s="27"/>
      <c r="B129" s="27"/>
      <c r="C129" s="27"/>
      <c r="D129" s="27"/>
      <c r="E129" s="27"/>
      <c r="F129" s="27"/>
    </row>
    <row r="130" spans="1:6" ht="12.75">
      <c r="A130" s="966" t="s">
        <v>151</v>
      </c>
      <c r="B130" s="966"/>
      <c r="C130" s="966"/>
      <c r="D130" s="966"/>
      <c r="E130" s="966"/>
      <c r="F130" s="966"/>
    </row>
    <row r="131" ht="12.75">
      <c r="E131" s="83"/>
    </row>
    <row r="133" spans="1:6" ht="12.75">
      <c r="A133" s="968" t="s">
        <v>152</v>
      </c>
      <c r="B133" s="968"/>
      <c r="C133" s="968"/>
      <c r="D133" s="968"/>
      <c r="E133" s="968"/>
      <c r="F133" s="968"/>
    </row>
    <row r="134" spans="1:6" ht="12.75">
      <c r="A134" s="968" t="s">
        <v>892</v>
      </c>
      <c r="B134" s="968"/>
      <c r="C134" s="968"/>
      <c r="D134" s="968"/>
      <c r="E134" s="968"/>
      <c r="F134" s="968"/>
    </row>
    <row r="135" spans="1:5" ht="12.75">
      <c r="A135" s="7"/>
      <c r="B135" s="7"/>
      <c r="C135" s="7"/>
      <c r="D135" s="7"/>
      <c r="E135" s="197" t="s">
        <v>917</v>
      </c>
    </row>
    <row r="136" spans="1:5" ht="31.5">
      <c r="A136" s="257" t="s">
        <v>749</v>
      </c>
      <c r="B136" s="259" t="s">
        <v>750</v>
      </c>
      <c r="C136" s="259" t="s">
        <v>751</v>
      </c>
      <c r="D136" s="259" t="s">
        <v>752</v>
      </c>
      <c r="E136" s="265" t="s">
        <v>654</v>
      </c>
    </row>
    <row r="137" spans="1:5" ht="12.75">
      <c r="A137" s="235" t="s">
        <v>918</v>
      </c>
      <c r="B137" s="262">
        <v>2000</v>
      </c>
      <c r="C137" s="250">
        <v>2014</v>
      </c>
      <c r="D137" s="250">
        <v>0</v>
      </c>
      <c r="E137" s="251">
        <f>B137-D137</f>
        <v>2000</v>
      </c>
    </row>
    <row r="138" spans="1:5" ht="12.75">
      <c r="A138" s="223" t="s">
        <v>977</v>
      </c>
      <c r="B138" s="223">
        <v>1000</v>
      </c>
      <c r="C138" s="223">
        <v>2014</v>
      </c>
      <c r="D138" s="223">
        <v>0</v>
      </c>
      <c r="E138" s="223">
        <v>1000</v>
      </c>
    </row>
    <row r="139" spans="1:5" ht="12.75">
      <c r="A139" s="223" t="s">
        <v>226</v>
      </c>
      <c r="B139" s="223">
        <v>600</v>
      </c>
      <c r="C139" s="223">
        <v>2014</v>
      </c>
      <c r="D139" s="223">
        <v>0</v>
      </c>
      <c r="E139" s="223">
        <v>600</v>
      </c>
    </row>
    <row r="140" spans="1:5" ht="12.75">
      <c r="A140" s="269" t="s">
        <v>760</v>
      </c>
      <c r="B140" s="225">
        <f>B137+B138+B139</f>
        <v>3600</v>
      </c>
      <c r="C140" s="270"/>
      <c r="D140" s="270"/>
      <c r="E140" s="271">
        <f>E137+E138+E139</f>
        <v>3600</v>
      </c>
    </row>
    <row r="141" spans="1:5" ht="12.75">
      <c r="A141" s="272" t="s">
        <v>1022</v>
      </c>
      <c r="B141" s="223">
        <f>-20+500</f>
        <v>480</v>
      </c>
      <c r="C141" s="223">
        <v>2014</v>
      </c>
      <c r="D141" s="223"/>
      <c r="E141" s="223">
        <f>-20+500</f>
        <v>480</v>
      </c>
    </row>
    <row r="142" spans="1:5" ht="12.75">
      <c r="A142" s="269" t="s">
        <v>1023</v>
      </c>
      <c r="B142" s="226">
        <f>B141</f>
        <v>480</v>
      </c>
      <c r="C142" s="273"/>
      <c r="D142" s="273"/>
      <c r="E142" s="226">
        <f>E141</f>
        <v>480</v>
      </c>
    </row>
    <row r="143" spans="1:5" ht="12.75">
      <c r="A143" s="226" t="s">
        <v>773</v>
      </c>
      <c r="B143" s="225">
        <f>B140+B142</f>
        <v>4080</v>
      </c>
      <c r="C143" s="270"/>
      <c r="D143" s="270"/>
      <c r="E143" s="271">
        <f>E140+E142</f>
        <v>4080</v>
      </c>
    </row>
    <row r="146" spans="1:6" ht="12.75">
      <c r="A146" s="966" t="s">
        <v>151</v>
      </c>
      <c r="B146" s="966"/>
      <c r="C146" s="966"/>
      <c r="D146" s="966"/>
      <c r="E146" s="966"/>
      <c r="F146" s="966"/>
    </row>
  </sheetData>
  <sheetProtection/>
  <mergeCells count="6">
    <mergeCell ref="A1:F1"/>
    <mergeCell ref="A2:F2"/>
    <mergeCell ref="A133:F133"/>
    <mergeCell ref="A134:F134"/>
    <mergeCell ref="A130:F130"/>
    <mergeCell ref="A146:F1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5"/>
  <sheetViews>
    <sheetView zoomScalePageLayoutView="0" workbookViewId="0" topLeftCell="A1">
      <selection activeCell="A666" sqref="A666:F666"/>
    </sheetView>
  </sheetViews>
  <sheetFormatPr defaultColWidth="9.00390625" defaultRowHeight="12.75"/>
  <cols>
    <col min="1" max="1" width="4.25390625" style="348" customWidth="1"/>
    <col min="2" max="2" width="4.25390625" style="399" customWidth="1"/>
    <col min="3" max="3" width="5.75390625" style="400" customWidth="1"/>
    <col min="4" max="4" width="40.125" style="348" customWidth="1"/>
    <col min="5" max="5" width="8.25390625" style="348" customWidth="1"/>
    <col min="6" max="6" width="7.875" style="348" customWidth="1"/>
    <col min="7" max="8" width="8.625" style="348" customWidth="1"/>
    <col min="9" max="16384" width="9.125" style="348" customWidth="1"/>
  </cols>
  <sheetData>
    <row r="1" spans="1:8" ht="10.5">
      <c r="A1" s="972" t="s">
        <v>251</v>
      </c>
      <c r="B1" s="972"/>
      <c r="C1" s="972"/>
      <c r="D1" s="972"/>
      <c r="E1" s="972"/>
      <c r="F1" s="972"/>
      <c r="G1" s="972"/>
      <c r="H1" s="972"/>
    </row>
    <row r="2" spans="1:8" ht="10.5">
      <c r="A2" s="943" t="s">
        <v>893</v>
      </c>
      <c r="B2" s="943"/>
      <c r="C2" s="943"/>
      <c r="D2" s="943"/>
      <c r="E2" s="943"/>
      <c r="F2" s="943"/>
      <c r="G2" s="943"/>
      <c r="H2" s="943"/>
    </row>
    <row r="3" spans="1:5" ht="11.25" thickBot="1">
      <c r="A3" s="977" t="s">
        <v>479</v>
      </c>
      <c r="B3" s="977"/>
      <c r="C3" s="977"/>
      <c r="D3" s="977"/>
      <c r="E3" s="977"/>
    </row>
    <row r="4" spans="1:8" ht="37.5" customHeight="1" thickBot="1">
      <c r="A4" s="899"/>
      <c r="B4" s="900" t="s">
        <v>321</v>
      </c>
      <c r="C4" s="901"/>
      <c r="D4" s="800" t="s">
        <v>323</v>
      </c>
      <c r="E4" s="902" t="s">
        <v>988</v>
      </c>
      <c r="F4" s="903" t="s">
        <v>1024</v>
      </c>
      <c r="G4" s="904" t="s">
        <v>990</v>
      </c>
      <c r="H4" s="905" t="s">
        <v>1025</v>
      </c>
    </row>
    <row r="5" spans="1:8" ht="22.5" thickBot="1">
      <c r="A5" s="664" t="s">
        <v>324</v>
      </c>
      <c r="B5" s="433" t="s">
        <v>266</v>
      </c>
      <c r="C5" s="434" t="s">
        <v>390</v>
      </c>
      <c r="D5" s="435" t="s">
        <v>486</v>
      </c>
      <c r="E5" s="436">
        <f>E6+E13+E14+E15+E16</f>
        <v>332404</v>
      </c>
      <c r="F5" s="436">
        <f>F6+F13+F14+F15+F16</f>
        <v>464133</v>
      </c>
      <c r="G5" s="436">
        <f>G6+G13+G14+G15+G16</f>
        <v>-20831</v>
      </c>
      <c r="H5" s="437">
        <f>H6+H13+H14+H15+H16</f>
        <v>443302</v>
      </c>
    </row>
    <row r="6" spans="1:8" ht="12.75">
      <c r="A6" s="665"/>
      <c r="B6" s="439"/>
      <c r="C6" s="440" t="s">
        <v>391</v>
      </c>
      <c r="D6" s="441" t="s">
        <v>487</v>
      </c>
      <c r="E6" s="442">
        <f>E7+E8+E9+E10+E11+E12</f>
        <v>325804</v>
      </c>
      <c r="F6" s="442">
        <f>F7+F8+F9+F10+F11+F12</f>
        <v>399779</v>
      </c>
      <c r="G6" s="442">
        <f>G7+G8+G9+G10+G11+G12</f>
        <v>8664</v>
      </c>
      <c r="H6" s="443">
        <f>H7+H8+H9+H10+H11+H12</f>
        <v>408443</v>
      </c>
    </row>
    <row r="7" spans="1:8" ht="22.5">
      <c r="A7" s="666"/>
      <c r="B7" s="444"/>
      <c r="C7" s="445" t="s">
        <v>480</v>
      </c>
      <c r="D7" s="446" t="s">
        <v>267</v>
      </c>
      <c r="E7" s="447">
        <v>156304</v>
      </c>
      <c r="F7" s="448">
        <v>156304</v>
      </c>
      <c r="G7" s="227"/>
      <c r="H7" s="667">
        <f>F7+G7</f>
        <v>156304</v>
      </c>
    </row>
    <row r="8" spans="1:8" ht="22.5">
      <c r="A8" s="666"/>
      <c r="B8" s="444"/>
      <c r="C8" s="445" t="s">
        <v>481</v>
      </c>
      <c r="D8" s="446" t="s">
        <v>268</v>
      </c>
      <c r="E8" s="447">
        <v>73224</v>
      </c>
      <c r="F8" s="448">
        <v>73536</v>
      </c>
      <c r="G8" s="227"/>
      <c r="H8" s="667">
        <f aca="true" t="shared" si="0" ref="H8:H16">F8+G8</f>
        <v>73536</v>
      </c>
    </row>
    <row r="9" spans="1:8" ht="22.5">
      <c r="A9" s="666"/>
      <c r="B9" s="444"/>
      <c r="C9" s="445" t="s">
        <v>482</v>
      </c>
      <c r="D9" s="446" t="s">
        <v>269</v>
      </c>
      <c r="E9" s="447">
        <v>88066</v>
      </c>
      <c r="F9" s="448">
        <v>144494</v>
      </c>
      <c r="G9" s="227">
        <v>5178</v>
      </c>
      <c r="H9" s="667">
        <f t="shared" si="0"/>
        <v>149672</v>
      </c>
    </row>
    <row r="10" spans="1:8" ht="22.5">
      <c r="A10" s="666"/>
      <c r="B10" s="444"/>
      <c r="C10" s="445" t="s">
        <v>483</v>
      </c>
      <c r="D10" s="446" t="s">
        <v>270</v>
      </c>
      <c r="E10" s="447">
        <v>6150</v>
      </c>
      <c r="F10" s="448">
        <v>6150</v>
      </c>
      <c r="G10" s="227"/>
      <c r="H10" s="667">
        <f t="shared" si="0"/>
        <v>6150</v>
      </c>
    </row>
    <row r="11" spans="1:8" ht="12.75">
      <c r="A11" s="666"/>
      <c r="B11" s="444"/>
      <c r="C11" s="445" t="s">
        <v>484</v>
      </c>
      <c r="D11" s="446" t="s">
        <v>271</v>
      </c>
      <c r="E11" s="447">
        <v>2060</v>
      </c>
      <c r="F11" s="448">
        <v>9146</v>
      </c>
      <c r="G11" s="227">
        <v>-3175</v>
      </c>
      <c r="H11" s="667">
        <f t="shared" si="0"/>
        <v>5971</v>
      </c>
    </row>
    <row r="12" spans="1:8" ht="12.75">
      <c r="A12" s="666"/>
      <c r="B12" s="444"/>
      <c r="C12" s="445" t="s">
        <v>485</v>
      </c>
      <c r="D12" s="446" t="s">
        <v>272</v>
      </c>
      <c r="E12" s="447"/>
      <c r="F12" s="448">
        <v>10149</v>
      </c>
      <c r="G12" s="227">
        <v>6661</v>
      </c>
      <c r="H12" s="667">
        <f t="shared" si="0"/>
        <v>16810</v>
      </c>
    </row>
    <row r="13" spans="1:8" ht="12.75">
      <c r="A13" s="666"/>
      <c r="B13" s="444"/>
      <c r="C13" s="445" t="s">
        <v>392</v>
      </c>
      <c r="D13" s="451" t="s">
        <v>273</v>
      </c>
      <c r="E13" s="447"/>
      <c r="F13" s="448"/>
      <c r="G13" s="227"/>
      <c r="H13" s="667">
        <f t="shared" si="0"/>
        <v>0</v>
      </c>
    </row>
    <row r="14" spans="1:8" ht="22.5">
      <c r="A14" s="666"/>
      <c r="B14" s="444"/>
      <c r="C14" s="445" t="s">
        <v>393</v>
      </c>
      <c r="D14" s="451" t="s">
        <v>274</v>
      </c>
      <c r="E14" s="447"/>
      <c r="F14" s="448">
        <v>1229</v>
      </c>
      <c r="G14" s="227"/>
      <c r="H14" s="667">
        <f t="shared" si="0"/>
        <v>1229</v>
      </c>
    </row>
    <row r="15" spans="1:8" ht="22.5">
      <c r="A15" s="666"/>
      <c r="B15" s="444"/>
      <c r="C15" s="445" t="s">
        <v>394</v>
      </c>
      <c r="D15" s="451" t="s">
        <v>275</v>
      </c>
      <c r="E15" s="447"/>
      <c r="F15" s="448"/>
      <c r="G15" s="242"/>
      <c r="H15" s="667">
        <f t="shared" si="0"/>
        <v>0</v>
      </c>
    </row>
    <row r="16" spans="1:8" ht="23.25" thickBot="1">
      <c r="A16" s="668"/>
      <c r="B16" s="453"/>
      <c r="C16" s="445" t="s">
        <v>395</v>
      </c>
      <c r="D16" s="454" t="s">
        <v>276</v>
      </c>
      <c r="E16" s="455">
        <v>6600</v>
      </c>
      <c r="F16" s="456">
        <v>63125</v>
      </c>
      <c r="G16" s="227">
        <v>-29495</v>
      </c>
      <c r="H16" s="667">
        <f t="shared" si="0"/>
        <v>33630</v>
      </c>
    </row>
    <row r="17" spans="1:8" ht="22.5" thickBot="1">
      <c r="A17" s="664" t="s">
        <v>322</v>
      </c>
      <c r="B17" s="433" t="s">
        <v>277</v>
      </c>
      <c r="C17" s="457" t="s">
        <v>350</v>
      </c>
      <c r="D17" s="458" t="s">
        <v>402</v>
      </c>
      <c r="E17" s="436">
        <f>E18+E19+E20+E21</f>
        <v>3385002</v>
      </c>
      <c r="F17" s="436">
        <f>F18+F19+F20+F21</f>
        <v>3069446</v>
      </c>
      <c r="G17" s="436">
        <f>G18+G19+G20+G21</f>
        <v>-1212835</v>
      </c>
      <c r="H17" s="437">
        <f>H18+H19+H20+H21</f>
        <v>1856611</v>
      </c>
    </row>
    <row r="18" spans="1:8" ht="12.75">
      <c r="A18" s="669"/>
      <c r="B18" s="460"/>
      <c r="C18" s="461" t="s">
        <v>398</v>
      </c>
      <c r="D18" s="462" t="s">
        <v>278</v>
      </c>
      <c r="E18" s="463"/>
      <c r="F18" s="464">
        <v>7685</v>
      </c>
      <c r="G18" s="227"/>
      <c r="H18" s="667">
        <f>F18+G18</f>
        <v>7685</v>
      </c>
    </row>
    <row r="19" spans="1:8" ht="22.5">
      <c r="A19" s="666"/>
      <c r="B19" s="465"/>
      <c r="C19" s="466" t="s">
        <v>399</v>
      </c>
      <c r="D19" s="446" t="s">
        <v>279</v>
      </c>
      <c r="E19" s="447"/>
      <c r="F19" s="448">
        <v>3861</v>
      </c>
      <c r="G19" s="242">
        <v>3520</v>
      </c>
      <c r="H19" s="667">
        <f>F19+G19</f>
        <v>7381</v>
      </c>
    </row>
    <row r="20" spans="1:8" ht="22.5">
      <c r="A20" s="666"/>
      <c r="B20" s="465"/>
      <c r="C20" s="466" t="s">
        <v>400</v>
      </c>
      <c r="D20" s="446" t="s">
        <v>280</v>
      </c>
      <c r="E20" s="447"/>
      <c r="F20" s="448">
        <v>1897</v>
      </c>
      <c r="G20" s="227"/>
      <c r="H20" s="667">
        <f>F20+G20</f>
        <v>1897</v>
      </c>
    </row>
    <row r="21" spans="1:8" ht="23.25" thickBot="1">
      <c r="A21" s="670"/>
      <c r="B21" s="468"/>
      <c r="C21" s="469" t="s">
        <v>401</v>
      </c>
      <c r="D21" s="470" t="s">
        <v>281</v>
      </c>
      <c r="E21" s="471">
        <v>3385002</v>
      </c>
      <c r="F21" s="456">
        <v>3056003</v>
      </c>
      <c r="G21" s="227">
        <f>-328000-888355</f>
        <v>-1216355</v>
      </c>
      <c r="H21" s="667">
        <f>F21+G21</f>
        <v>1839648</v>
      </c>
    </row>
    <row r="22" spans="1:8" ht="13.5" thickBot="1">
      <c r="A22" s="664" t="s">
        <v>325</v>
      </c>
      <c r="B22" s="433" t="s">
        <v>282</v>
      </c>
      <c r="C22" s="434" t="s">
        <v>396</v>
      </c>
      <c r="D22" s="472" t="s">
        <v>408</v>
      </c>
      <c r="E22" s="436">
        <f>E24+E25+E26+E27</f>
        <v>128539</v>
      </c>
      <c r="F22" s="436">
        <f>F24+F25+F26+F27+F23</f>
        <v>128584</v>
      </c>
      <c r="G22" s="436">
        <f>G24+G25+G26+G27+G23</f>
        <v>17000</v>
      </c>
      <c r="H22" s="437">
        <f>H24+H25+H26+H27+H23</f>
        <v>145584</v>
      </c>
    </row>
    <row r="23" spans="1:8" ht="22.5">
      <c r="A23" s="669"/>
      <c r="B23" s="460"/>
      <c r="C23" s="461" t="s">
        <v>403</v>
      </c>
      <c r="D23" s="462" t="s">
        <v>283</v>
      </c>
      <c r="E23" s="463"/>
      <c r="F23" s="464">
        <v>45</v>
      </c>
      <c r="G23" s="227"/>
      <c r="H23" s="667">
        <f>F23+G23</f>
        <v>45</v>
      </c>
    </row>
    <row r="24" spans="1:8" ht="12.75">
      <c r="A24" s="666"/>
      <c r="B24" s="465"/>
      <c r="C24" s="466" t="s">
        <v>404</v>
      </c>
      <c r="D24" s="446" t="s">
        <v>284</v>
      </c>
      <c r="E24" s="447">
        <v>20000</v>
      </c>
      <c r="F24" s="448">
        <v>20000</v>
      </c>
      <c r="G24" s="227"/>
      <c r="H24" s="667">
        <f>F24+G24</f>
        <v>20000</v>
      </c>
    </row>
    <row r="25" spans="1:8" ht="22.5">
      <c r="A25" s="666"/>
      <c r="B25" s="465"/>
      <c r="C25" s="466" t="s">
        <v>405</v>
      </c>
      <c r="D25" s="446" t="s">
        <v>285</v>
      </c>
      <c r="E25" s="447">
        <v>93000</v>
      </c>
      <c r="F25" s="448">
        <v>93000</v>
      </c>
      <c r="G25" s="227">
        <v>17000</v>
      </c>
      <c r="H25" s="667">
        <f>F25+G25</f>
        <v>110000</v>
      </c>
    </row>
    <row r="26" spans="1:8" ht="12.75">
      <c r="A26" s="666"/>
      <c r="B26" s="671"/>
      <c r="C26" s="672" t="s">
        <v>406</v>
      </c>
      <c r="D26" s="673" t="s">
        <v>286</v>
      </c>
      <c r="E26" s="652">
        <v>12000</v>
      </c>
      <c r="F26" s="660">
        <v>12000</v>
      </c>
      <c r="G26" s="227"/>
      <c r="H26" s="667">
        <f>F26+G26</f>
        <v>12000</v>
      </c>
    </row>
    <row r="27" spans="1:8" ht="13.5" thickBot="1">
      <c r="A27" s="668"/>
      <c r="B27" s="474"/>
      <c r="C27" s="475" t="s">
        <v>407</v>
      </c>
      <c r="D27" s="476" t="s">
        <v>287</v>
      </c>
      <c r="E27" s="674">
        <v>3539</v>
      </c>
      <c r="F27" s="675">
        <v>3539</v>
      </c>
      <c r="G27" s="227"/>
      <c r="H27" s="667">
        <f>F27+G27</f>
        <v>3539</v>
      </c>
    </row>
    <row r="28" spans="1:8" ht="13.5" thickBot="1">
      <c r="A28" s="664" t="s">
        <v>326</v>
      </c>
      <c r="B28" s="479" t="s">
        <v>288</v>
      </c>
      <c r="C28" s="480" t="s">
        <v>397</v>
      </c>
      <c r="D28" s="472" t="s">
        <v>421</v>
      </c>
      <c r="E28" s="436">
        <f>SUM(E29:E40)</f>
        <v>903241</v>
      </c>
      <c r="F28" s="436">
        <f>SUM(F29:F40)</f>
        <v>881292</v>
      </c>
      <c r="G28" s="436">
        <f>SUM(G29:G40)</f>
        <v>-659000</v>
      </c>
      <c r="H28" s="437">
        <f>SUM(H29:H40)</f>
        <v>222292</v>
      </c>
    </row>
    <row r="29" spans="1:8" ht="12.75">
      <c r="A29" s="665"/>
      <c r="B29" s="481"/>
      <c r="C29" s="482" t="s">
        <v>409</v>
      </c>
      <c r="D29" s="462" t="s">
        <v>289</v>
      </c>
      <c r="E29" s="483"/>
      <c r="F29" s="484"/>
      <c r="G29" s="227"/>
      <c r="H29" s="667">
        <f>F29+G29</f>
        <v>0</v>
      </c>
    </row>
    <row r="30" spans="1:8" ht="12.75">
      <c r="A30" s="666"/>
      <c r="B30" s="485"/>
      <c r="C30" s="486" t="s">
        <v>410</v>
      </c>
      <c r="D30" s="446" t="s">
        <v>290</v>
      </c>
      <c r="E30" s="487">
        <f>1000+6556+1306</f>
        <v>8862</v>
      </c>
      <c r="F30" s="488">
        <v>8862</v>
      </c>
      <c r="G30" s="227"/>
      <c r="H30" s="667">
        <f aca="true" t="shared" si="1" ref="H30:H40">F30+G30</f>
        <v>8862</v>
      </c>
    </row>
    <row r="31" spans="1:8" ht="12.75">
      <c r="A31" s="666"/>
      <c r="B31" s="485"/>
      <c r="C31" s="486" t="s">
        <v>411</v>
      </c>
      <c r="D31" s="446" t="s">
        <v>291</v>
      </c>
      <c r="E31" s="487"/>
      <c r="F31" s="488"/>
      <c r="G31" s="227"/>
      <c r="H31" s="667">
        <f t="shared" si="1"/>
        <v>0</v>
      </c>
    </row>
    <row r="32" spans="1:8" ht="12.75">
      <c r="A32" s="666"/>
      <c r="B32" s="485"/>
      <c r="C32" s="486" t="s">
        <v>412</v>
      </c>
      <c r="D32" s="676" t="s">
        <v>292</v>
      </c>
      <c r="E32" s="487">
        <v>7079</v>
      </c>
      <c r="F32" s="488">
        <v>7079</v>
      </c>
      <c r="G32" s="227"/>
      <c r="H32" s="667">
        <f t="shared" si="1"/>
        <v>7079</v>
      </c>
    </row>
    <row r="33" spans="1:8" ht="12.75">
      <c r="A33" s="666"/>
      <c r="B33" s="485"/>
      <c r="C33" s="486" t="s">
        <v>413</v>
      </c>
      <c r="D33" s="676" t="s">
        <v>293</v>
      </c>
      <c r="E33" s="487"/>
      <c r="F33" s="488"/>
      <c r="G33" s="227"/>
      <c r="H33" s="667">
        <f t="shared" si="1"/>
        <v>0</v>
      </c>
    </row>
    <row r="34" spans="1:8" ht="22.5">
      <c r="A34" s="666"/>
      <c r="B34" s="485"/>
      <c r="C34" s="486" t="s">
        <v>414</v>
      </c>
      <c r="D34" s="676" t="s">
        <v>294</v>
      </c>
      <c r="E34" s="487">
        <v>2181</v>
      </c>
      <c r="F34" s="488">
        <v>2181</v>
      </c>
      <c r="G34" s="227">
        <v>1000</v>
      </c>
      <c r="H34" s="667">
        <f t="shared" si="1"/>
        <v>3181</v>
      </c>
    </row>
    <row r="35" spans="1:8" ht="22.5">
      <c r="A35" s="666"/>
      <c r="B35" s="485"/>
      <c r="C35" s="486" t="s">
        <v>415</v>
      </c>
      <c r="D35" s="676" t="s">
        <v>295</v>
      </c>
      <c r="E35" s="487"/>
      <c r="F35" s="488"/>
      <c r="G35" s="227"/>
      <c r="H35" s="667">
        <f t="shared" si="1"/>
        <v>0</v>
      </c>
    </row>
    <row r="36" spans="1:8" ht="22.5">
      <c r="A36" s="666"/>
      <c r="B36" s="485"/>
      <c r="C36" s="486" t="s">
        <v>416</v>
      </c>
      <c r="D36" s="676" t="s">
        <v>296</v>
      </c>
      <c r="E36" s="487"/>
      <c r="F36" s="488"/>
      <c r="G36" s="242"/>
      <c r="H36" s="667">
        <f t="shared" si="1"/>
        <v>0</v>
      </c>
    </row>
    <row r="37" spans="1:8" ht="21.75" customHeight="1">
      <c r="A37" s="666"/>
      <c r="B37" s="485"/>
      <c r="C37" s="486" t="s">
        <v>417</v>
      </c>
      <c r="D37" s="446" t="s">
        <v>297</v>
      </c>
      <c r="E37" s="487">
        <v>881301</v>
      </c>
      <c r="F37" s="488">
        <v>850223</v>
      </c>
      <c r="G37" s="227">
        <v>-660000</v>
      </c>
      <c r="H37" s="667">
        <f t="shared" si="1"/>
        <v>190223</v>
      </c>
    </row>
    <row r="38" spans="1:8" ht="15" customHeight="1">
      <c r="A38" s="666"/>
      <c r="B38" s="485"/>
      <c r="C38" s="486" t="s">
        <v>418</v>
      </c>
      <c r="D38" s="677" t="s">
        <v>298</v>
      </c>
      <c r="E38" s="487">
        <v>1000</v>
      </c>
      <c r="F38" s="488">
        <v>1000</v>
      </c>
      <c r="G38" s="227"/>
      <c r="H38" s="667">
        <f t="shared" si="1"/>
        <v>1000</v>
      </c>
    </row>
    <row r="39" spans="1:8" ht="13.5" customHeight="1">
      <c r="A39" s="666"/>
      <c r="B39" s="485"/>
      <c r="C39" s="486" t="s">
        <v>419</v>
      </c>
      <c r="D39" s="678" t="s">
        <v>299</v>
      </c>
      <c r="E39" s="487"/>
      <c r="F39" s="488"/>
      <c r="G39" s="227"/>
      <c r="H39" s="667">
        <f t="shared" si="1"/>
        <v>0</v>
      </c>
    </row>
    <row r="40" spans="1:8" ht="15" customHeight="1" thickBot="1">
      <c r="A40" s="668"/>
      <c r="B40" s="491"/>
      <c r="C40" s="492" t="s">
        <v>420</v>
      </c>
      <c r="D40" s="679" t="s">
        <v>300</v>
      </c>
      <c r="E40" s="493">
        <f>700+42+1000+500+76+500</f>
        <v>2818</v>
      </c>
      <c r="F40" s="494">
        <v>11947</v>
      </c>
      <c r="G40" s="227"/>
      <c r="H40" s="667">
        <f t="shared" si="1"/>
        <v>11947</v>
      </c>
    </row>
    <row r="41" spans="1:8" ht="13.5" thickBot="1">
      <c r="A41" s="664" t="s">
        <v>327</v>
      </c>
      <c r="B41" s="495" t="s">
        <v>301</v>
      </c>
      <c r="C41" s="680" t="s">
        <v>372</v>
      </c>
      <c r="D41" s="681" t="s">
        <v>427</v>
      </c>
      <c r="E41" s="436">
        <f>+E43+E44+E45</f>
        <v>0</v>
      </c>
      <c r="F41" s="436">
        <f>F43</f>
        <v>621</v>
      </c>
      <c r="G41" s="436">
        <f>+G43+G44+G45</f>
        <v>0</v>
      </c>
      <c r="H41" s="437">
        <f>+H43+H44+H45</f>
        <v>621</v>
      </c>
    </row>
    <row r="42" spans="1:8" ht="12.75">
      <c r="A42" s="665"/>
      <c r="B42" s="474"/>
      <c r="C42" s="461" t="s">
        <v>423</v>
      </c>
      <c r="D42" s="682" t="s">
        <v>302</v>
      </c>
      <c r="E42" s="463"/>
      <c r="F42" s="464"/>
      <c r="G42" s="227"/>
      <c r="H42" s="683"/>
    </row>
    <row r="43" spans="1:8" ht="12.75">
      <c r="A43" s="666"/>
      <c r="B43" s="684"/>
      <c r="C43" s="466" t="s">
        <v>424</v>
      </c>
      <c r="D43" s="685" t="s">
        <v>303</v>
      </c>
      <c r="E43" s="487"/>
      <c r="F43" s="488">
        <v>621</v>
      </c>
      <c r="G43" s="227"/>
      <c r="H43" s="667">
        <f>F43+G43</f>
        <v>621</v>
      </c>
    </row>
    <row r="44" spans="1:8" ht="12.75">
      <c r="A44" s="666"/>
      <c r="B44" s="684"/>
      <c r="C44" s="466" t="s">
        <v>425</v>
      </c>
      <c r="D44" s="685" t="s">
        <v>304</v>
      </c>
      <c r="E44" s="686"/>
      <c r="F44" s="484"/>
      <c r="G44" s="227"/>
      <c r="H44" s="683"/>
    </row>
    <row r="45" spans="1:8" ht="13.5" thickBot="1">
      <c r="A45" s="668"/>
      <c r="B45" s="687"/>
      <c r="C45" s="469" t="s">
        <v>426</v>
      </c>
      <c r="D45" s="688" t="s">
        <v>305</v>
      </c>
      <c r="E45" s="689"/>
      <c r="F45" s="494"/>
      <c r="G45" s="227"/>
      <c r="H45" s="683"/>
    </row>
    <row r="46" spans="1:8" ht="13.5" thickBot="1">
      <c r="A46" s="664" t="s">
        <v>328</v>
      </c>
      <c r="B46" s="690" t="s">
        <v>306</v>
      </c>
      <c r="C46" s="691" t="s">
        <v>428</v>
      </c>
      <c r="D46" s="692" t="s">
        <v>431</v>
      </c>
      <c r="E46" s="693">
        <f>E47+E48</f>
        <v>1900</v>
      </c>
      <c r="F46" s="693">
        <f>F47+F48</f>
        <v>9902</v>
      </c>
      <c r="G46" s="693">
        <f>G47+G48</f>
        <v>0</v>
      </c>
      <c r="H46" s="694">
        <f>H47+H48</f>
        <v>9902</v>
      </c>
    </row>
    <row r="47" spans="1:8" ht="22.5">
      <c r="A47" s="669"/>
      <c r="B47" s="695"/>
      <c r="C47" s="696" t="s">
        <v>429</v>
      </c>
      <c r="D47" s="697" t="s">
        <v>308</v>
      </c>
      <c r="E47" s="698">
        <v>1500</v>
      </c>
      <c r="F47" s="699">
        <v>9502</v>
      </c>
      <c r="G47" s="700"/>
      <c r="H47" s="701">
        <f>F47+G47</f>
        <v>9502</v>
      </c>
    </row>
    <row r="48" spans="1:8" ht="13.5" thickBot="1">
      <c r="A48" s="702"/>
      <c r="B48" s="703"/>
      <c r="C48" s="704" t="s">
        <v>430</v>
      </c>
      <c r="D48" s="705" t="s">
        <v>309</v>
      </c>
      <c r="E48" s="706">
        <v>400</v>
      </c>
      <c r="F48" s="707">
        <v>400</v>
      </c>
      <c r="G48" s="708"/>
      <c r="H48" s="709">
        <f>F48+G48</f>
        <v>400</v>
      </c>
    </row>
    <row r="49" spans="1:8" ht="13.5" thickBot="1">
      <c r="A49" s="664" t="s">
        <v>329</v>
      </c>
      <c r="B49" s="690" t="s">
        <v>310</v>
      </c>
      <c r="C49" s="710" t="s">
        <v>384</v>
      </c>
      <c r="D49" s="692" t="s">
        <v>434</v>
      </c>
      <c r="E49" s="693">
        <f>E50+E51</f>
        <v>203480</v>
      </c>
      <c r="F49" s="693">
        <f>F50+F51</f>
        <v>208054</v>
      </c>
      <c r="G49" s="693">
        <f>G50+G51</f>
        <v>0</v>
      </c>
      <c r="H49" s="694">
        <f>H50+H51</f>
        <v>208054</v>
      </c>
    </row>
    <row r="50" spans="1:8" ht="22.5">
      <c r="A50" s="669"/>
      <c r="B50" s="695"/>
      <c r="C50" s="696" t="s">
        <v>432</v>
      </c>
      <c r="D50" s="697" t="s">
        <v>193</v>
      </c>
      <c r="E50" s="483">
        <v>3480</v>
      </c>
      <c r="F50" s="484">
        <v>8054</v>
      </c>
      <c r="G50" s="227"/>
      <c r="H50" s="667">
        <f>F50+G50</f>
        <v>8054</v>
      </c>
    </row>
    <row r="51" spans="1:8" ht="13.5" thickBot="1">
      <c r="A51" s="702"/>
      <c r="B51" s="703"/>
      <c r="C51" s="704" t="s">
        <v>433</v>
      </c>
      <c r="D51" s="29" t="s">
        <v>312</v>
      </c>
      <c r="E51" s="706">
        <v>200000</v>
      </c>
      <c r="F51" s="707">
        <v>200000</v>
      </c>
      <c r="G51" s="227"/>
      <c r="H51" s="667">
        <f>F51+G51</f>
        <v>200000</v>
      </c>
    </row>
    <row r="52" spans="1:8" ht="13.5" thickBot="1">
      <c r="A52" s="664"/>
      <c r="B52" s="433"/>
      <c r="C52" s="680"/>
      <c r="D52" s="711" t="s">
        <v>313</v>
      </c>
      <c r="E52" s="712">
        <f>E5+E17+E22+E28+E41+E46+E49</f>
        <v>4954566</v>
      </c>
      <c r="F52" s="712">
        <f>F5+F17+F22+F28+F41+F46+F49</f>
        <v>4762032</v>
      </c>
      <c r="G52" s="712">
        <f>G5+G17+G22+G28+G41+G46+G49</f>
        <v>-1875666</v>
      </c>
      <c r="H52" s="713">
        <f>H5+H17+H22+H28+H41+H46+H49</f>
        <v>2886366</v>
      </c>
    </row>
    <row r="53" spans="1:8" ht="13.5" thickBot="1">
      <c r="A53" s="664" t="s">
        <v>330</v>
      </c>
      <c r="B53" s="690" t="s">
        <v>314</v>
      </c>
      <c r="C53" s="714" t="s">
        <v>435</v>
      </c>
      <c r="D53" s="715" t="s">
        <v>888</v>
      </c>
      <c r="E53" s="436">
        <f>+E54+E55+E56+E57+E58+E59</f>
        <v>295010</v>
      </c>
      <c r="F53" s="436">
        <f>+F54+F55+F56+F57+F58+F59</f>
        <v>312798</v>
      </c>
      <c r="G53" s="436">
        <f>+G54+G55+G56+G57+G58+G59</f>
        <v>-213734</v>
      </c>
      <c r="H53" s="437">
        <f>+H54+H55+H56+H57+H58+H59</f>
        <v>99064</v>
      </c>
    </row>
    <row r="54" spans="1:8" ht="12.75">
      <c r="A54" s="665"/>
      <c r="B54" s="716"/>
      <c r="C54" s="717" t="s">
        <v>436</v>
      </c>
      <c r="D54" s="718" t="s">
        <v>315</v>
      </c>
      <c r="E54" s="484">
        <f>1000+257286</f>
        <v>258286</v>
      </c>
      <c r="F54" s="484">
        <v>211645</v>
      </c>
      <c r="G54" s="227">
        <v>-211645</v>
      </c>
      <c r="H54" s="667">
        <f aca="true" t="shared" si="2" ref="H54:H59">F54+G54</f>
        <v>0</v>
      </c>
    </row>
    <row r="55" spans="1:8" ht="22.5">
      <c r="A55" s="666"/>
      <c r="B55" s="684"/>
      <c r="C55" s="717" t="s">
        <v>437</v>
      </c>
      <c r="D55" s="719" t="s">
        <v>316</v>
      </c>
      <c r="E55" s="487"/>
      <c r="F55" s="488">
        <v>0</v>
      </c>
      <c r="G55" s="227"/>
      <c r="H55" s="667">
        <f t="shared" si="2"/>
        <v>0</v>
      </c>
    </row>
    <row r="56" spans="1:8" ht="12.75">
      <c r="A56" s="666"/>
      <c r="B56" s="684"/>
      <c r="C56" s="717" t="s">
        <v>438</v>
      </c>
      <c r="D56" s="719" t="s">
        <v>317</v>
      </c>
      <c r="E56" s="487"/>
      <c r="F56" s="488"/>
      <c r="G56" s="227"/>
      <c r="H56" s="667">
        <f t="shared" si="2"/>
        <v>0</v>
      </c>
    </row>
    <row r="57" spans="1:8" ht="12.75">
      <c r="A57" s="666"/>
      <c r="B57" s="684"/>
      <c r="C57" s="717" t="s">
        <v>439</v>
      </c>
      <c r="D57" s="720" t="s">
        <v>318</v>
      </c>
      <c r="E57" s="487"/>
      <c r="F57" s="488"/>
      <c r="G57" s="227"/>
      <c r="H57" s="667">
        <f t="shared" si="2"/>
        <v>0</v>
      </c>
    </row>
    <row r="58" spans="1:8" ht="12.75">
      <c r="A58" s="666"/>
      <c r="B58" s="684"/>
      <c r="C58" s="717" t="s">
        <v>440</v>
      </c>
      <c r="D58" s="719" t="s">
        <v>319</v>
      </c>
      <c r="E58" s="487">
        <v>36724</v>
      </c>
      <c r="F58" s="488">
        <v>101153</v>
      </c>
      <c r="G58" s="227">
        <v>-2089</v>
      </c>
      <c r="H58" s="667">
        <f t="shared" si="2"/>
        <v>99064</v>
      </c>
    </row>
    <row r="59" spans="1:8" ht="13.5" thickBot="1">
      <c r="A59" s="668"/>
      <c r="B59" s="687"/>
      <c r="C59" s="721" t="s">
        <v>441</v>
      </c>
      <c r="D59" s="454" t="s">
        <v>320</v>
      </c>
      <c r="E59" s="493"/>
      <c r="F59" s="494"/>
      <c r="G59" s="227"/>
      <c r="H59" s="667">
        <f t="shared" si="2"/>
        <v>0</v>
      </c>
    </row>
    <row r="60" spans="1:8" ht="13.5" thickBot="1">
      <c r="A60" s="664"/>
      <c r="B60" s="552"/>
      <c r="C60" s="553"/>
      <c r="D60" s="497" t="s">
        <v>331</v>
      </c>
      <c r="E60" s="436">
        <f>+E52+E53</f>
        <v>5249576</v>
      </c>
      <c r="F60" s="436">
        <f>+F52+F53</f>
        <v>5074830</v>
      </c>
      <c r="G60" s="436">
        <f>+G52+G53</f>
        <v>-2089400</v>
      </c>
      <c r="H60" s="437">
        <f>+H52+H53</f>
        <v>2985430</v>
      </c>
    </row>
    <row r="61" spans="1:8" ht="12.75">
      <c r="A61" s="27"/>
      <c r="B61" s="722"/>
      <c r="C61" s="723"/>
      <c r="D61" s="27"/>
      <c r="E61" s="27"/>
      <c r="F61" s="27"/>
      <c r="G61" s="724"/>
      <c r="H61" s="724"/>
    </row>
    <row r="62" spans="1:8" ht="12" thickBot="1">
      <c r="A62" s="725"/>
      <c r="B62" s="725"/>
      <c r="C62" s="726"/>
      <c r="D62" s="725" t="s">
        <v>478</v>
      </c>
      <c r="E62" s="727"/>
      <c r="F62" s="728"/>
      <c r="G62" s="729"/>
      <c r="H62" s="729"/>
    </row>
    <row r="63" spans="1:8" ht="11.25" thickBot="1">
      <c r="A63" s="730"/>
      <c r="B63" s="730"/>
      <c r="C63" s="731"/>
      <c r="D63" s="732" t="s">
        <v>449</v>
      </c>
      <c r="E63" s="436">
        <f>E64+E65+E66+E67+E68</f>
        <v>130877</v>
      </c>
      <c r="F63" s="436">
        <f>F64+F65+F66+F67+F68</f>
        <v>226076</v>
      </c>
      <c r="G63" s="436">
        <f>G64+G65+G66+G67+G68</f>
        <v>30796</v>
      </c>
      <c r="H63" s="437">
        <f>H64+H65+H66+H67+H68</f>
        <v>256872</v>
      </c>
    </row>
    <row r="64" spans="1:8" ht="11.25">
      <c r="A64" s="733" t="s">
        <v>324</v>
      </c>
      <c r="B64" s="734" t="s">
        <v>333</v>
      </c>
      <c r="C64" s="734" t="s">
        <v>390</v>
      </c>
      <c r="D64" s="735" t="s">
        <v>334</v>
      </c>
      <c r="E64" s="736">
        <v>22490</v>
      </c>
      <c r="F64" s="737">
        <v>34550</v>
      </c>
      <c r="G64" s="227">
        <v>126</v>
      </c>
      <c r="H64" s="667">
        <f>F64+G64</f>
        <v>34676</v>
      </c>
    </row>
    <row r="65" spans="1:8" ht="21">
      <c r="A65" s="73" t="s">
        <v>322</v>
      </c>
      <c r="B65" s="738" t="s">
        <v>335</v>
      </c>
      <c r="C65" s="734" t="s">
        <v>350</v>
      </c>
      <c r="D65" s="739" t="s">
        <v>336</v>
      </c>
      <c r="E65" s="740">
        <v>7153</v>
      </c>
      <c r="F65" s="741">
        <v>11533</v>
      </c>
      <c r="G65" s="227">
        <v>642</v>
      </c>
      <c r="H65" s="667">
        <f>F65+G65</f>
        <v>12175</v>
      </c>
    </row>
    <row r="66" spans="1:8" ht="11.25">
      <c r="A66" s="73" t="s">
        <v>325</v>
      </c>
      <c r="B66" s="738" t="s">
        <v>337</v>
      </c>
      <c r="C66" s="734" t="s">
        <v>396</v>
      </c>
      <c r="D66" s="739" t="s">
        <v>338</v>
      </c>
      <c r="E66" s="740">
        <v>78415</v>
      </c>
      <c r="F66" s="741">
        <v>89866</v>
      </c>
      <c r="G66" s="227">
        <v>3450</v>
      </c>
      <c r="H66" s="667">
        <f>F66+G66</f>
        <v>93316</v>
      </c>
    </row>
    <row r="67" spans="1:8" ht="11.25">
      <c r="A67" s="73" t="s">
        <v>326</v>
      </c>
      <c r="B67" s="738" t="s">
        <v>339</v>
      </c>
      <c r="C67" s="734" t="s">
        <v>397</v>
      </c>
      <c r="D67" s="739" t="s">
        <v>340</v>
      </c>
      <c r="E67" s="740">
        <v>2480</v>
      </c>
      <c r="F67" s="741">
        <v>4029</v>
      </c>
      <c r="G67" s="227">
        <v>5145</v>
      </c>
      <c r="H67" s="667">
        <f>F67+G67</f>
        <v>9174</v>
      </c>
    </row>
    <row r="68" spans="1:8" ht="10.5">
      <c r="A68" s="73" t="s">
        <v>327</v>
      </c>
      <c r="B68" s="738" t="s">
        <v>341</v>
      </c>
      <c r="C68" s="734" t="s">
        <v>372</v>
      </c>
      <c r="D68" s="742" t="s">
        <v>342</v>
      </c>
      <c r="E68" s="743">
        <f>SUM(E69:E75)</f>
        <v>20339</v>
      </c>
      <c r="F68" s="743">
        <f>SUM(F69:F75)</f>
        <v>86098</v>
      </c>
      <c r="G68" s="743">
        <f>SUM(G69:G75)</f>
        <v>21433</v>
      </c>
      <c r="H68" s="744">
        <f>SUM(H69:H75)</f>
        <v>107531</v>
      </c>
    </row>
    <row r="69" spans="1:8" ht="11.25">
      <c r="A69" s="73"/>
      <c r="B69" s="745"/>
      <c r="C69" s="746" t="s">
        <v>423</v>
      </c>
      <c r="D69" s="446" t="s">
        <v>343</v>
      </c>
      <c r="E69" s="487"/>
      <c r="F69" s="488">
        <v>348</v>
      </c>
      <c r="G69" s="227">
        <v>-348</v>
      </c>
      <c r="H69" s="667">
        <f>F69+G69</f>
        <v>0</v>
      </c>
    </row>
    <row r="70" spans="1:8" ht="22.5">
      <c r="A70" s="73"/>
      <c r="B70" s="745"/>
      <c r="C70" s="746" t="s">
        <v>424</v>
      </c>
      <c r="D70" s="446" t="s">
        <v>344</v>
      </c>
      <c r="E70" s="487"/>
      <c r="F70" s="488">
        <v>1229</v>
      </c>
      <c r="G70" s="227"/>
      <c r="H70" s="667">
        <f aca="true" t="shared" si="3" ref="H70:H75">F70+G70</f>
        <v>1229</v>
      </c>
    </row>
    <row r="71" spans="1:8" ht="22.5">
      <c r="A71" s="747"/>
      <c r="B71" s="745"/>
      <c r="C71" s="746" t="s">
        <v>425</v>
      </c>
      <c r="D71" s="446" t="s">
        <v>345</v>
      </c>
      <c r="E71" s="487"/>
      <c r="F71" s="488"/>
      <c r="G71" s="227">
        <v>80</v>
      </c>
      <c r="H71" s="667">
        <f t="shared" si="3"/>
        <v>80</v>
      </c>
    </row>
    <row r="72" spans="1:8" ht="22.5">
      <c r="A72" s="748"/>
      <c r="B72" s="745"/>
      <c r="C72" s="746" t="s">
        <v>426</v>
      </c>
      <c r="D72" s="446" t="s">
        <v>346</v>
      </c>
      <c r="E72" s="487">
        <v>750</v>
      </c>
      <c r="F72" s="488">
        <v>785</v>
      </c>
      <c r="G72" s="227"/>
      <c r="H72" s="667">
        <f t="shared" si="3"/>
        <v>785</v>
      </c>
    </row>
    <row r="73" spans="1:8" ht="22.5">
      <c r="A73" s="73"/>
      <c r="B73" s="745"/>
      <c r="C73" s="746" t="s">
        <v>450</v>
      </c>
      <c r="D73" s="446" t="s">
        <v>347</v>
      </c>
      <c r="E73" s="487"/>
      <c r="F73" s="488">
        <v>8002</v>
      </c>
      <c r="G73" s="227">
        <v>5000</v>
      </c>
      <c r="H73" s="667">
        <f t="shared" si="3"/>
        <v>13002</v>
      </c>
    </row>
    <row r="74" spans="1:8" ht="22.5">
      <c r="A74" s="73"/>
      <c r="B74" s="745"/>
      <c r="C74" s="746" t="s">
        <v>451</v>
      </c>
      <c r="D74" s="446" t="s">
        <v>348</v>
      </c>
      <c r="E74" s="487">
        <v>17763</v>
      </c>
      <c r="F74" s="488">
        <v>25323</v>
      </c>
      <c r="G74" s="227">
        <f>268-880</f>
        <v>-612</v>
      </c>
      <c r="H74" s="667">
        <f t="shared" si="3"/>
        <v>24711</v>
      </c>
    </row>
    <row r="75" spans="1:8" ht="12" thickBot="1">
      <c r="A75" s="749"/>
      <c r="B75" s="750"/>
      <c r="C75" s="746" t="s">
        <v>452</v>
      </c>
      <c r="D75" s="588" t="s">
        <v>349</v>
      </c>
      <c r="E75" s="706">
        <v>1826</v>
      </c>
      <c r="F75" s="707">
        <v>50411</v>
      </c>
      <c r="G75" s="227">
        <v>17313</v>
      </c>
      <c r="H75" s="667">
        <f t="shared" si="3"/>
        <v>67724</v>
      </c>
    </row>
    <row r="76" spans="1:8" ht="11.25" thickBot="1">
      <c r="A76" s="730" t="s">
        <v>328</v>
      </c>
      <c r="B76" s="751"/>
      <c r="C76" s="752" t="s">
        <v>375</v>
      </c>
      <c r="D76" s="751" t="s">
        <v>1026</v>
      </c>
      <c r="E76" s="436">
        <f>E77+E85+E90</f>
        <v>13173.9</v>
      </c>
      <c r="F76" s="436">
        <f>F77+F85+F90</f>
        <v>4341110</v>
      </c>
      <c r="G76" s="436">
        <f>G77+G85+G90</f>
        <v>-2089480</v>
      </c>
      <c r="H76" s="437">
        <f>H77+H85+H90</f>
        <v>2251630</v>
      </c>
    </row>
    <row r="77" spans="1:8" ht="11.25">
      <c r="A77" s="753"/>
      <c r="B77" s="754" t="s">
        <v>351</v>
      </c>
      <c r="C77" s="755" t="s">
        <v>429</v>
      </c>
      <c r="D77" s="596" t="s">
        <v>352</v>
      </c>
      <c r="E77" s="686">
        <f>E78+E79+E80+E81+E82+E83+E84</f>
        <v>10174.16</v>
      </c>
      <c r="F77" s="686">
        <f>F78+F79+F80+F81+F82+F83+F84</f>
        <v>4320507</v>
      </c>
      <c r="G77" s="686">
        <f>G78+G79+G80+G81+G82+G83+G84</f>
        <v>-2088000</v>
      </c>
      <c r="H77" s="756">
        <f>H78+H79+H80+H81+H82+H83+H84</f>
        <v>2232507</v>
      </c>
    </row>
    <row r="78" spans="1:8" ht="12" customHeight="1">
      <c r="A78" s="733"/>
      <c r="B78" s="755"/>
      <c r="C78" s="757" t="s">
        <v>453</v>
      </c>
      <c r="D78" s="446" t="s">
        <v>353</v>
      </c>
      <c r="E78" s="758"/>
      <c r="F78" s="484">
        <v>387</v>
      </c>
      <c r="G78" s="227"/>
      <c r="H78" s="667">
        <f>F78+G78</f>
        <v>387</v>
      </c>
    </row>
    <row r="79" spans="1:8" ht="12" customHeight="1">
      <c r="A79" s="733"/>
      <c r="B79" s="755"/>
      <c r="C79" s="757" t="s">
        <v>454</v>
      </c>
      <c r="D79" s="490" t="s">
        <v>354</v>
      </c>
      <c r="E79" s="758">
        <v>8</v>
      </c>
      <c r="F79" s="484">
        <v>3036679</v>
      </c>
      <c r="G79" s="242">
        <f>104719+-1100000-253</f>
        <v>-995534</v>
      </c>
      <c r="H79" s="667">
        <f aca="true" t="shared" si="4" ref="H79:H84">F79+G79</f>
        <v>2041145</v>
      </c>
    </row>
    <row r="80" spans="1:8" ht="15" customHeight="1">
      <c r="A80" s="733"/>
      <c r="B80" s="755"/>
      <c r="C80" s="757" t="s">
        <v>455</v>
      </c>
      <c r="D80" s="446" t="s">
        <v>355</v>
      </c>
      <c r="E80" s="758"/>
      <c r="F80" s="484">
        <v>237</v>
      </c>
      <c r="G80" s="242">
        <v>-237</v>
      </c>
      <c r="H80" s="667">
        <f t="shared" si="4"/>
        <v>0</v>
      </c>
    </row>
    <row r="81" spans="1:8" ht="12.75" customHeight="1">
      <c r="A81" s="747"/>
      <c r="B81" s="755"/>
      <c r="C81" s="757" t="s">
        <v>456</v>
      </c>
      <c r="D81" s="446" t="s">
        <v>356</v>
      </c>
      <c r="E81" s="758">
        <v>8003</v>
      </c>
      <c r="F81" s="484">
        <v>365149</v>
      </c>
      <c r="G81" s="242">
        <f>-104482-251890+215</f>
        <v>-356157</v>
      </c>
      <c r="H81" s="667">
        <f t="shared" si="4"/>
        <v>8992</v>
      </c>
    </row>
    <row r="82" spans="1:8" ht="14.25" customHeight="1">
      <c r="A82" s="748"/>
      <c r="B82" s="755"/>
      <c r="C82" s="757" t="s">
        <v>457</v>
      </c>
      <c r="D82" s="446" t="s">
        <v>357</v>
      </c>
      <c r="E82" s="758"/>
      <c r="F82" s="484"/>
      <c r="G82" s="227"/>
      <c r="H82" s="667">
        <f t="shared" si="4"/>
        <v>0</v>
      </c>
    </row>
    <row r="83" spans="1:8" ht="22.5">
      <c r="A83" s="748"/>
      <c r="B83" s="755"/>
      <c r="C83" s="757" t="s">
        <v>458</v>
      </c>
      <c r="D83" s="446" t="s">
        <v>387</v>
      </c>
      <c r="E83" s="758"/>
      <c r="F83" s="484"/>
      <c r="G83" s="227"/>
      <c r="H83" s="667">
        <f t="shared" si="4"/>
        <v>0</v>
      </c>
    </row>
    <row r="84" spans="1:8" ht="22.5">
      <c r="A84" s="747"/>
      <c r="B84" s="755"/>
      <c r="C84" s="757" t="s">
        <v>459</v>
      </c>
      <c r="D84" s="446" t="s">
        <v>358</v>
      </c>
      <c r="E84" s="758">
        <f>E79*0.27+2161</f>
        <v>2163.16</v>
      </c>
      <c r="F84" s="484">
        <v>918055</v>
      </c>
      <c r="G84" s="242">
        <f>-76110-660000+38</f>
        <v>-736072</v>
      </c>
      <c r="H84" s="667">
        <f t="shared" si="4"/>
        <v>181983</v>
      </c>
    </row>
    <row r="85" spans="1:8" ht="10.5">
      <c r="A85" s="73" t="s">
        <v>329</v>
      </c>
      <c r="B85" s="738" t="s">
        <v>359</v>
      </c>
      <c r="C85" s="738" t="s">
        <v>384</v>
      </c>
      <c r="D85" s="604" t="s">
        <v>360</v>
      </c>
      <c r="E85" s="740">
        <f>E86+E87+E88+E89</f>
        <v>2999.74</v>
      </c>
      <c r="F85" s="740">
        <f>F86+F87+F88+F89</f>
        <v>3600</v>
      </c>
      <c r="G85" s="740">
        <f>G86+G87+G88+G89</f>
        <v>0</v>
      </c>
      <c r="H85" s="759">
        <f>H86+H87+H88+H89</f>
        <v>3600</v>
      </c>
    </row>
    <row r="86" spans="1:8" ht="15.75" customHeight="1">
      <c r="A86" s="73"/>
      <c r="B86" s="745"/>
      <c r="C86" s="746" t="s">
        <v>432</v>
      </c>
      <c r="D86" s="446" t="s">
        <v>361</v>
      </c>
      <c r="E86" s="487">
        <v>2362</v>
      </c>
      <c r="F86" s="488">
        <v>2835</v>
      </c>
      <c r="G86" s="227"/>
      <c r="H86" s="667">
        <f>F86+G86</f>
        <v>2835</v>
      </c>
    </row>
    <row r="87" spans="1:8" ht="11.25">
      <c r="A87" s="73"/>
      <c r="B87" s="745"/>
      <c r="C87" s="746" t="s">
        <v>433</v>
      </c>
      <c r="D87" s="446" t="s">
        <v>362</v>
      </c>
      <c r="E87" s="487"/>
      <c r="F87" s="488"/>
      <c r="G87" s="227"/>
      <c r="H87" s="667">
        <f>F87+G87</f>
        <v>0</v>
      </c>
    </row>
    <row r="88" spans="1:8" ht="11.25">
      <c r="A88" s="73"/>
      <c r="B88" s="745"/>
      <c r="C88" s="746" t="s">
        <v>460</v>
      </c>
      <c r="D88" s="446" t="s">
        <v>363</v>
      </c>
      <c r="E88" s="487"/>
      <c r="F88" s="488"/>
      <c r="G88" s="227"/>
      <c r="H88" s="667">
        <f>F88+G88</f>
        <v>0</v>
      </c>
    </row>
    <row r="89" spans="1:8" ht="22.5">
      <c r="A89" s="73"/>
      <c r="B89" s="745"/>
      <c r="C89" s="746" t="s">
        <v>461</v>
      </c>
      <c r="D89" s="446" t="s">
        <v>364</v>
      </c>
      <c r="E89" s="487">
        <f>E86*0.27</f>
        <v>637.74</v>
      </c>
      <c r="F89" s="488">
        <v>765</v>
      </c>
      <c r="G89" s="227"/>
      <c r="H89" s="667">
        <f>F89+G89</f>
        <v>765</v>
      </c>
    </row>
    <row r="90" spans="1:8" ht="11.25">
      <c r="A90" s="73" t="s">
        <v>330</v>
      </c>
      <c r="B90" s="745" t="s">
        <v>365</v>
      </c>
      <c r="C90" s="745" t="s">
        <v>462</v>
      </c>
      <c r="D90" s="604" t="s">
        <v>366</v>
      </c>
      <c r="E90" s="740">
        <f>SUM(E91:E95)</f>
        <v>0</v>
      </c>
      <c r="F90" s="740">
        <f>SUM(F91:F95)</f>
        <v>17003</v>
      </c>
      <c r="G90" s="740">
        <f>SUM(G91:G95)</f>
        <v>-1480</v>
      </c>
      <c r="H90" s="759">
        <f>SUM(H91:H95)</f>
        <v>15523</v>
      </c>
    </row>
    <row r="91" spans="1:8" ht="22.5">
      <c r="A91" s="73"/>
      <c r="B91" s="745"/>
      <c r="C91" s="746" t="s">
        <v>463</v>
      </c>
      <c r="D91" s="446" t="s">
        <v>367</v>
      </c>
      <c r="E91" s="487"/>
      <c r="F91" s="488">
        <v>6701</v>
      </c>
      <c r="G91" s="227">
        <v>-5000</v>
      </c>
      <c r="H91" s="667">
        <f>F91+G91</f>
        <v>1701</v>
      </c>
    </row>
    <row r="92" spans="1:8" ht="22.5">
      <c r="A92" s="73"/>
      <c r="B92" s="745"/>
      <c r="C92" s="746" t="s">
        <v>464</v>
      </c>
      <c r="D92" s="446" t="s">
        <v>368</v>
      </c>
      <c r="E92" s="487"/>
      <c r="F92" s="488">
        <v>8405</v>
      </c>
      <c r="G92" s="242">
        <v>3520</v>
      </c>
      <c r="H92" s="667">
        <f>F92+G92</f>
        <v>11925</v>
      </c>
    </row>
    <row r="93" spans="1:8" ht="22.5">
      <c r="A93" s="73"/>
      <c r="B93" s="745"/>
      <c r="C93" s="746" t="s">
        <v>465</v>
      </c>
      <c r="D93" s="446" t="s">
        <v>369</v>
      </c>
      <c r="E93" s="487"/>
      <c r="F93" s="488">
        <v>1897</v>
      </c>
      <c r="G93" s="227"/>
      <c r="H93" s="667">
        <f>F93+G93</f>
        <v>1897</v>
      </c>
    </row>
    <row r="94" spans="1:8" ht="11.25">
      <c r="A94" s="73"/>
      <c r="B94" s="745"/>
      <c r="C94" s="746" t="s">
        <v>466</v>
      </c>
      <c r="D94" s="446" t="s">
        <v>370</v>
      </c>
      <c r="E94" s="487"/>
      <c r="F94" s="488"/>
      <c r="G94" s="227"/>
      <c r="H94" s="667">
        <f>F94+G94</f>
        <v>0</v>
      </c>
    </row>
    <row r="95" spans="1:8" ht="23.25" thickBot="1">
      <c r="A95" s="761"/>
      <c r="B95" s="750"/>
      <c r="C95" s="762" t="s">
        <v>467</v>
      </c>
      <c r="D95" s="673" t="s">
        <v>371</v>
      </c>
      <c r="E95" s="689"/>
      <c r="F95" s="494"/>
      <c r="G95" s="763"/>
      <c r="H95" s="764">
        <f>F95+G95</f>
        <v>0</v>
      </c>
    </row>
    <row r="96" spans="1:8" ht="12" thickBot="1">
      <c r="A96" s="730" t="s">
        <v>943</v>
      </c>
      <c r="B96" s="751"/>
      <c r="C96" s="752" t="s">
        <v>443</v>
      </c>
      <c r="D96" s="537" t="s">
        <v>447</v>
      </c>
      <c r="E96" s="712">
        <f>E64+E65+E66+E67+E68+E76</f>
        <v>144050.9</v>
      </c>
      <c r="F96" s="712">
        <f>F64+F65+F66+F67+F68+F76</f>
        <v>4567186</v>
      </c>
      <c r="G96" s="712">
        <f>G64+G65+G66+G67+G68+G76</f>
        <v>-2058684</v>
      </c>
      <c r="H96" s="713">
        <f>H64+H65+H66+H67+H68+H76</f>
        <v>2508502</v>
      </c>
    </row>
    <row r="97" spans="1:8" ht="11.25">
      <c r="A97" s="749" t="s">
        <v>944</v>
      </c>
      <c r="B97" s="765" t="s">
        <v>373</v>
      </c>
      <c r="C97" s="766" t="s">
        <v>569</v>
      </c>
      <c r="D97" s="616" t="s">
        <v>374</v>
      </c>
      <c r="E97" s="767">
        <f>E105</f>
        <v>395626</v>
      </c>
      <c r="F97" s="767">
        <f>F105</f>
        <v>507644</v>
      </c>
      <c r="G97" s="767">
        <f>G105</f>
        <v>-30716</v>
      </c>
      <c r="H97" s="768">
        <f>H105</f>
        <v>476928</v>
      </c>
    </row>
    <row r="98" spans="1:8" ht="22.5">
      <c r="A98" s="73"/>
      <c r="B98" s="739"/>
      <c r="C98" s="746" t="s">
        <v>956</v>
      </c>
      <c r="D98" s="446" t="s">
        <v>389</v>
      </c>
      <c r="E98" s="447">
        <f>E99+E100+E101</f>
        <v>0</v>
      </c>
      <c r="F98" s="448"/>
      <c r="G98" s="227"/>
      <c r="H98" s="667">
        <f>F98+G98</f>
        <v>0</v>
      </c>
    </row>
    <row r="99" spans="1:8" ht="11.25">
      <c r="A99" s="73"/>
      <c r="B99" s="739"/>
      <c r="C99" s="746" t="s">
        <v>957</v>
      </c>
      <c r="D99" s="446" t="s">
        <v>376</v>
      </c>
      <c r="E99" s="447"/>
      <c r="F99" s="448"/>
      <c r="G99" s="227"/>
      <c r="H99" s="667">
        <f aca="true" t="shared" si="5" ref="H99:H106">F99+G99</f>
        <v>0</v>
      </c>
    </row>
    <row r="100" spans="1:8" ht="22.5">
      <c r="A100" s="73"/>
      <c r="B100" s="739"/>
      <c r="C100" s="746" t="s">
        <v>958</v>
      </c>
      <c r="D100" s="446" t="s">
        <v>377</v>
      </c>
      <c r="E100" s="447"/>
      <c r="F100" s="448"/>
      <c r="G100" s="227"/>
      <c r="H100" s="667">
        <f t="shared" si="5"/>
        <v>0</v>
      </c>
    </row>
    <row r="101" spans="1:8" ht="11.25">
      <c r="A101" s="73"/>
      <c r="B101" s="739"/>
      <c r="C101" s="746" t="s">
        <v>959</v>
      </c>
      <c r="D101" s="490" t="s">
        <v>378</v>
      </c>
      <c r="E101" s="447"/>
      <c r="F101" s="448"/>
      <c r="G101" s="227"/>
      <c r="H101" s="667">
        <f t="shared" si="5"/>
        <v>0</v>
      </c>
    </row>
    <row r="102" spans="1:8" ht="11.25">
      <c r="A102" s="73"/>
      <c r="B102" s="739"/>
      <c r="C102" s="746" t="s">
        <v>960</v>
      </c>
      <c r="D102" s="446" t="s">
        <v>379</v>
      </c>
      <c r="E102" s="447"/>
      <c r="F102" s="448"/>
      <c r="G102" s="227"/>
      <c r="H102" s="667">
        <f t="shared" si="5"/>
        <v>0</v>
      </c>
    </row>
    <row r="103" spans="1:8" ht="12" customHeight="1">
      <c r="A103" s="73"/>
      <c r="B103" s="739"/>
      <c r="C103" s="746" t="s">
        <v>961</v>
      </c>
      <c r="D103" s="446" t="s">
        <v>380</v>
      </c>
      <c r="E103" s="447"/>
      <c r="F103" s="448"/>
      <c r="G103" s="227"/>
      <c r="H103" s="667">
        <f t="shared" si="5"/>
        <v>0</v>
      </c>
    </row>
    <row r="104" spans="1:8" ht="22.5">
      <c r="A104" s="227"/>
      <c r="B104" s="739"/>
      <c r="C104" s="746" t="s">
        <v>962</v>
      </c>
      <c r="D104" s="446" t="s">
        <v>381</v>
      </c>
      <c r="E104" s="447"/>
      <c r="F104" s="448"/>
      <c r="G104" s="227"/>
      <c r="H104" s="667">
        <f t="shared" si="5"/>
        <v>0</v>
      </c>
    </row>
    <row r="105" spans="1:8" ht="11.25">
      <c r="A105" s="73"/>
      <c r="B105" s="739"/>
      <c r="C105" s="746" t="s">
        <v>963</v>
      </c>
      <c r="D105" s="446" t="s">
        <v>382</v>
      </c>
      <c r="E105" s="447">
        <v>395626</v>
      </c>
      <c r="F105" s="448">
        <v>507644</v>
      </c>
      <c r="G105" s="227">
        <v>-30716</v>
      </c>
      <c r="H105" s="667">
        <f t="shared" si="5"/>
        <v>476928</v>
      </c>
    </row>
    <row r="106" spans="1:8" ht="22.5">
      <c r="A106" s="73"/>
      <c r="B106" s="739"/>
      <c r="C106" s="746" t="s">
        <v>964</v>
      </c>
      <c r="D106" s="446" t="s">
        <v>383</v>
      </c>
      <c r="E106" s="447"/>
      <c r="F106" s="448"/>
      <c r="G106" s="227"/>
      <c r="H106" s="667">
        <f t="shared" si="5"/>
        <v>0</v>
      </c>
    </row>
    <row r="107" spans="1:8" ht="12" thickBot="1">
      <c r="A107" s="73" t="s">
        <v>945</v>
      </c>
      <c r="B107" s="769"/>
      <c r="C107" s="770" t="s">
        <v>444</v>
      </c>
      <c r="D107" s="604" t="s">
        <v>448</v>
      </c>
      <c r="E107" s="447">
        <f>E96+E105+E106</f>
        <v>539676.9</v>
      </c>
      <c r="F107" s="447">
        <f>F96+F105+F106</f>
        <v>5074830</v>
      </c>
      <c r="G107" s="447">
        <f>G96+G105+G106</f>
        <v>-2089400</v>
      </c>
      <c r="H107" s="447">
        <f>H96+H105+H106</f>
        <v>2985430</v>
      </c>
    </row>
    <row r="108" spans="1:8" ht="12" thickBot="1">
      <c r="A108" s="772" t="s">
        <v>385</v>
      </c>
      <c r="B108" s="773"/>
      <c r="C108" s="774"/>
      <c r="D108" s="775"/>
      <c r="E108" s="776">
        <v>7</v>
      </c>
      <c r="F108" s="776">
        <v>7</v>
      </c>
      <c r="G108" s="776">
        <v>0</v>
      </c>
      <c r="H108" s="777">
        <v>7</v>
      </c>
    </row>
    <row r="109" spans="1:8" ht="12" thickBot="1">
      <c r="A109" s="772" t="s">
        <v>386</v>
      </c>
      <c r="B109" s="773"/>
      <c r="C109" s="774"/>
      <c r="D109" s="775"/>
      <c r="E109" s="776">
        <v>0</v>
      </c>
      <c r="F109" s="776"/>
      <c r="G109" s="776">
        <v>0</v>
      </c>
      <c r="H109" s="777">
        <v>0</v>
      </c>
    </row>
    <row r="110" spans="1:8" ht="10.5">
      <c r="A110" s="413"/>
      <c r="B110" s="414"/>
      <c r="C110" s="415"/>
      <c r="D110" s="416"/>
      <c r="E110" s="417"/>
      <c r="F110" s="417"/>
      <c r="G110" s="351"/>
      <c r="H110" s="351"/>
    </row>
    <row r="111" spans="1:8" ht="10.5">
      <c r="A111" s="972" t="s">
        <v>265</v>
      </c>
      <c r="B111" s="972"/>
      <c r="C111" s="972"/>
      <c r="D111" s="972"/>
      <c r="E111" s="972"/>
      <c r="F111" s="972"/>
      <c r="G111" s="972"/>
      <c r="H111" s="972"/>
    </row>
    <row r="112" spans="1:8" ht="15" customHeight="1">
      <c r="A112" s="971" t="s">
        <v>920</v>
      </c>
      <c r="B112" s="971"/>
      <c r="C112" s="971"/>
      <c r="D112" s="971"/>
      <c r="E112" s="971"/>
      <c r="F112" s="971"/>
      <c r="G112" s="971"/>
      <c r="H112" s="971"/>
    </row>
    <row r="113" spans="1:8" ht="11.25" thickBot="1">
      <c r="A113" s="973" t="s">
        <v>479</v>
      </c>
      <c r="B113" s="973"/>
      <c r="C113" s="973"/>
      <c r="D113" s="973"/>
      <c r="E113" s="973"/>
      <c r="F113" s="419"/>
      <c r="G113" s="351"/>
      <c r="H113" s="351"/>
    </row>
    <row r="114" spans="1:8" ht="45.75" thickBot="1">
      <c r="A114" s="899"/>
      <c r="B114" s="900" t="s">
        <v>321</v>
      </c>
      <c r="C114" s="901"/>
      <c r="D114" s="800" t="s">
        <v>323</v>
      </c>
      <c r="E114" s="902" t="s">
        <v>988</v>
      </c>
      <c r="F114" s="902" t="s">
        <v>1024</v>
      </c>
      <c r="G114" s="906" t="s">
        <v>990</v>
      </c>
      <c r="H114" s="905" t="s">
        <v>1025</v>
      </c>
    </row>
    <row r="115" spans="1:8" ht="22.5" thickBot="1">
      <c r="A115" s="664" t="s">
        <v>324</v>
      </c>
      <c r="B115" s="433" t="s">
        <v>266</v>
      </c>
      <c r="C115" s="434" t="s">
        <v>390</v>
      </c>
      <c r="D115" s="435" t="s">
        <v>486</v>
      </c>
      <c r="E115" s="436">
        <f>E116+E123+E124+E125+E126</f>
        <v>92090</v>
      </c>
      <c r="F115" s="436">
        <f>F116+F123+F124+F125+F126</f>
        <v>3270</v>
      </c>
      <c r="G115" s="436">
        <f>G116+G123+G124+G125+G126</f>
        <v>0</v>
      </c>
      <c r="H115" s="437">
        <f>H116+H123+H124+H125+H126</f>
        <v>3270</v>
      </c>
    </row>
    <row r="116" spans="1:8" ht="12.75">
      <c r="A116" s="665"/>
      <c r="B116" s="439"/>
      <c r="C116" s="440" t="s">
        <v>391</v>
      </c>
      <c r="D116" s="441" t="s">
        <v>487</v>
      </c>
      <c r="E116" s="442">
        <f>E117+E118+E119+E120+E121+E122</f>
        <v>0</v>
      </c>
      <c r="F116" s="442">
        <f>F117+F118+F119+F120+F121+F122</f>
        <v>0</v>
      </c>
      <c r="G116" s="442">
        <f>G117+G118+G119+G120+G121+G122</f>
        <v>0</v>
      </c>
      <c r="H116" s="778">
        <f>H117+H118+H119+H120+H121+H122</f>
        <v>0</v>
      </c>
    </row>
    <row r="117" spans="1:8" ht="22.5">
      <c r="A117" s="666"/>
      <c r="B117" s="444"/>
      <c r="C117" s="445" t="s">
        <v>480</v>
      </c>
      <c r="D117" s="446" t="s">
        <v>267</v>
      </c>
      <c r="E117" s="447"/>
      <c r="F117" s="448"/>
      <c r="G117" s="227"/>
      <c r="H117" s="667">
        <f>F117+G117</f>
        <v>0</v>
      </c>
    </row>
    <row r="118" spans="1:8" ht="22.5">
      <c r="A118" s="666"/>
      <c r="B118" s="444"/>
      <c r="C118" s="445" t="s">
        <v>481</v>
      </c>
      <c r="D118" s="446" t="s">
        <v>268</v>
      </c>
      <c r="E118" s="447"/>
      <c r="F118" s="448"/>
      <c r="G118" s="227"/>
      <c r="H118" s="667">
        <f aca="true" t="shared" si="6" ref="H118:H126">F118+G118</f>
        <v>0</v>
      </c>
    </row>
    <row r="119" spans="1:8" ht="22.5">
      <c r="A119" s="666"/>
      <c r="B119" s="444"/>
      <c r="C119" s="445" t="s">
        <v>482</v>
      </c>
      <c r="D119" s="446" t="s">
        <v>269</v>
      </c>
      <c r="E119" s="447"/>
      <c r="F119" s="448"/>
      <c r="G119" s="227"/>
      <c r="H119" s="667">
        <f t="shared" si="6"/>
        <v>0</v>
      </c>
    </row>
    <row r="120" spans="1:8" ht="22.5">
      <c r="A120" s="666"/>
      <c r="B120" s="444"/>
      <c r="C120" s="445" t="s">
        <v>483</v>
      </c>
      <c r="D120" s="446" t="s">
        <v>270</v>
      </c>
      <c r="E120" s="447"/>
      <c r="F120" s="448"/>
      <c r="G120" s="227"/>
      <c r="H120" s="667">
        <f t="shared" si="6"/>
        <v>0</v>
      </c>
    </row>
    <row r="121" spans="1:8" ht="12.75">
      <c r="A121" s="666"/>
      <c r="B121" s="444"/>
      <c r="C121" s="445" t="s">
        <v>484</v>
      </c>
      <c r="D121" s="446" t="s">
        <v>271</v>
      </c>
      <c r="E121" s="447"/>
      <c r="F121" s="448"/>
      <c r="G121" s="227"/>
      <c r="H121" s="667">
        <f t="shared" si="6"/>
        <v>0</v>
      </c>
    </row>
    <row r="122" spans="1:8" ht="12.75">
      <c r="A122" s="666"/>
      <c r="B122" s="444"/>
      <c r="C122" s="445" t="s">
        <v>485</v>
      </c>
      <c r="D122" s="446" t="s">
        <v>272</v>
      </c>
      <c r="E122" s="447"/>
      <c r="F122" s="448"/>
      <c r="G122" s="227"/>
      <c r="H122" s="667">
        <f t="shared" si="6"/>
        <v>0</v>
      </c>
    </row>
    <row r="123" spans="1:8" ht="12.75">
      <c r="A123" s="666"/>
      <c r="B123" s="444"/>
      <c r="C123" s="445" t="s">
        <v>392</v>
      </c>
      <c r="D123" s="451" t="s">
        <v>273</v>
      </c>
      <c r="E123" s="447"/>
      <c r="F123" s="448"/>
      <c r="G123" s="227"/>
      <c r="H123" s="667">
        <f t="shared" si="6"/>
        <v>0</v>
      </c>
    </row>
    <row r="124" spans="1:8" ht="22.5">
      <c r="A124" s="666"/>
      <c r="B124" s="444"/>
      <c r="C124" s="445" t="s">
        <v>393</v>
      </c>
      <c r="D124" s="451" t="s">
        <v>274</v>
      </c>
      <c r="E124" s="447"/>
      <c r="F124" s="448"/>
      <c r="G124" s="227"/>
      <c r="H124" s="667">
        <f t="shared" si="6"/>
        <v>0</v>
      </c>
    </row>
    <row r="125" spans="1:8" ht="22.5">
      <c r="A125" s="666"/>
      <c r="B125" s="444"/>
      <c r="C125" s="445" t="s">
        <v>394</v>
      </c>
      <c r="D125" s="451" t="s">
        <v>275</v>
      </c>
      <c r="E125" s="447"/>
      <c r="F125" s="448"/>
      <c r="G125" s="227"/>
      <c r="H125" s="667">
        <f t="shared" si="6"/>
        <v>0</v>
      </c>
    </row>
    <row r="126" spans="1:8" ht="23.25" thickBot="1">
      <c r="A126" s="668"/>
      <c r="B126" s="453"/>
      <c r="C126" s="445" t="s">
        <v>395</v>
      </c>
      <c r="D126" s="454" t="s">
        <v>276</v>
      </c>
      <c r="E126" s="455">
        <v>92090</v>
      </c>
      <c r="F126" s="456">
        <v>3270</v>
      </c>
      <c r="G126" s="227"/>
      <c r="H126" s="667">
        <f t="shared" si="6"/>
        <v>3270</v>
      </c>
    </row>
    <row r="127" spans="1:8" ht="22.5" thickBot="1">
      <c r="A127" s="664" t="s">
        <v>322</v>
      </c>
      <c r="B127" s="433" t="s">
        <v>277</v>
      </c>
      <c r="C127" s="457" t="s">
        <v>350</v>
      </c>
      <c r="D127" s="458" t="s">
        <v>402</v>
      </c>
      <c r="E127" s="436">
        <f>E128+E129+E130+E131</f>
        <v>0</v>
      </c>
      <c r="F127" s="436"/>
      <c r="G127" s="436">
        <f>G128+G129+G130+G131</f>
        <v>0</v>
      </c>
      <c r="H127" s="437">
        <f>H128+H129+H130+H131</f>
        <v>0</v>
      </c>
    </row>
    <row r="128" spans="1:8" ht="12.75">
      <c r="A128" s="669"/>
      <c r="B128" s="460"/>
      <c r="C128" s="461" t="s">
        <v>398</v>
      </c>
      <c r="D128" s="462" t="s">
        <v>278</v>
      </c>
      <c r="E128" s="463"/>
      <c r="F128" s="464"/>
      <c r="G128" s="227"/>
      <c r="H128" s="683"/>
    </row>
    <row r="129" spans="1:8" ht="22.5">
      <c r="A129" s="666"/>
      <c r="B129" s="465"/>
      <c r="C129" s="466" t="s">
        <v>399</v>
      </c>
      <c r="D129" s="446" t="s">
        <v>279</v>
      </c>
      <c r="E129" s="447"/>
      <c r="F129" s="448"/>
      <c r="G129" s="227"/>
      <c r="H129" s="683"/>
    </row>
    <row r="130" spans="1:8" ht="22.5">
      <c r="A130" s="666"/>
      <c r="B130" s="465"/>
      <c r="C130" s="466" t="s">
        <v>400</v>
      </c>
      <c r="D130" s="446" t="s">
        <v>280</v>
      </c>
      <c r="E130" s="447"/>
      <c r="F130" s="448"/>
      <c r="G130" s="227"/>
      <c r="H130" s="683"/>
    </row>
    <row r="131" spans="1:8" ht="23.25" thickBot="1">
      <c r="A131" s="670"/>
      <c r="B131" s="468"/>
      <c r="C131" s="469" t="s">
        <v>401</v>
      </c>
      <c r="D131" s="470" t="s">
        <v>281</v>
      </c>
      <c r="E131" s="471"/>
      <c r="F131" s="456"/>
      <c r="G131" s="227"/>
      <c r="H131" s="683"/>
    </row>
    <row r="132" spans="1:8" ht="13.5" thickBot="1">
      <c r="A132" s="664" t="s">
        <v>325</v>
      </c>
      <c r="B132" s="433" t="s">
        <v>282</v>
      </c>
      <c r="C132" s="434" t="s">
        <v>396</v>
      </c>
      <c r="D132" s="472" t="s">
        <v>408</v>
      </c>
      <c r="E132" s="436">
        <f>E134+E135+E136+E137</f>
        <v>0</v>
      </c>
      <c r="F132" s="436"/>
      <c r="G132" s="436">
        <f>G134+G135+G136+G137</f>
        <v>0</v>
      </c>
      <c r="H132" s="437">
        <f>H134+H135+H136+H137</f>
        <v>0</v>
      </c>
    </row>
    <row r="133" spans="1:8" ht="22.5">
      <c r="A133" s="669"/>
      <c r="B133" s="460"/>
      <c r="C133" s="461" t="s">
        <v>403</v>
      </c>
      <c r="D133" s="462" t="s">
        <v>283</v>
      </c>
      <c r="E133" s="463"/>
      <c r="F133" s="464"/>
      <c r="G133" s="227"/>
      <c r="H133" s="683"/>
    </row>
    <row r="134" spans="1:8" ht="12.75">
      <c r="A134" s="666"/>
      <c r="B134" s="465"/>
      <c r="C134" s="466" t="s">
        <v>404</v>
      </c>
      <c r="D134" s="446" t="s">
        <v>284</v>
      </c>
      <c r="E134" s="447"/>
      <c r="F134" s="448"/>
      <c r="G134" s="227"/>
      <c r="H134" s="683"/>
    </row>
    <row r="135" spans="1:8" ht="22.5">
      <c r="A135" s="666"/>
      <c r="B135" s="465"/>
      <c r="C135" s="466" t="s">
        <v>405</v>
      </c>
      <c r="D135" s="446" t="s">
        <v>285</v>
      </c>
      <c r="E135" s="447"/>
      <c r="F135" s="448"/>
      <c r="G135" s="227"/>
      <c r="H135" s="683"/>
    </row>
    <row r="136" spans="1:8" ht="12.75">
      <c r="A136" s="666"/>
      <c r="B136" s="465"/>
      <c r="C136" s="466" t="s">
        <v>406</v>
      </c>
      <c r="D136" s="446" t="s">
        <v>286</v>
      </c>
      <c r="E136" s="652"/>
      <c r="F136" s="660"/>
      <c r="G136" s="227"/>
      <c r="H136" s="683"/>
    </row>
    <row r="137" spans="1:8" ht="13.5" thickBot="1">
      <c r="A137" s="702"/>
      <c r="B137" s="474"/>
      <c r="C137" s="475" t="s">
        <v>407</v>
      </c>
      <c r="D137" s="476" t="s">
        <v>287</v>
      </c>
      <c r="E137" s="477"/>
      <c r="F137" s="478"/>
      <c r="G137" s="227"/>
      <c r="H137" s="683"/>
    </row>
    <row r="138" spans="1:8" ht="13.5" thickBot="1">
      <c r="A138" s="664" t="s">
        <v>326</v>
      </c>
      <c r="B138" s="479" t="s">
        <v>288</v>
      </c>
      <c r="C138" s="480" t="s">
        <v>397</v>
      </c>
      <c r="D138" s="472" t="s">
        <v>421</v>
      </c>
      <c r="E138" s="436">
        <f>SUM(E139:E150)</f>
        <v>889</v>
      </c>
      <c r="F138" s="436">
        <f>SUM(F139:F150)</f>
        <v>913</v>
      </c>
      <c r="G138" s="436">
        <f>SUM(G139:G150)</f>
        <v>145</v>
      </c>
      <c r="H138" s="437">
        <f>SUM(H139:H150)</f>
        <v>1058</v>
      </c>
    </row>
    <row r="139" spans="1:8" ht="12.75">
      <c r="A139" s="665"/>
      <c r="B139" s="481"/>
      <c r="C139" s="482" t="s">
        <v>409</v>
      </c>
      <c r="D139" s="462" t="s">
        <v>289</v>
      </c>
      <c r="E139" s="483"/>
      <c r="F139" s="484"/>
      <c r="G139" s="227"/>
      <c r="H139" s="667">
        <f>F139+G139</f>
        <v>0</v>
      </c>
    </row>
    <row r="140" spans="1:8" ht="12.75">
      <c r="A140" s="666"/>
      <c r="B140" s="485"/>
      <c r="C140" s="486" t="s">
        <v>410</v>
      </c>
      <c r="D140" s="446" t="s">
        <v>290</v>
      </c>
      <c r="E140" s="487"/>
      <c r="F140" s="488"/>
      <c r="G140" s="227"/>
      <c r="H140" s="667">
        <f aca="true" t="shared" si="7" ref="H140:H150">F140+G140</f>
        <v>0</v>
      </c>
    </row>
    <row r="141" spans="1:8" ht="12.75">
      <c r="A141" s="666"/>
      <c r="B141" s="485"/>
      <c r="C141" s="486" t="s">
        <v>411</v>
      </c>
      <c r="D141" s="446" t="s">
        <v>291</v>
      </c>
      <c r="E141" s="487">
        <v>700</v>
      </c>
      <c r="F141" s="488">
        <v>700</v>
      </c>
      <c r="G141" s="227">
        <f>68</f>
        <v>68</v>
      </c>
      <c r="H141" s="667">
        <f t="shared" si="7"/>
        <v>768</v>
      </c>
    </row>
    <row r="142" spans="1:8" ht="12.75">
      <c r="A142" s="666"/>
      <c r="B142" s="485"/>
      <c r="C142" s="486" t="s">
        <v>412</v>
      </c>
      <c r="D142" s="446" t="s">
        <v>292</v>
      </c>
      <c r="E142" s="487"/>
      <c r="F142" s="488"/>
      <c r="G142" s="227"/>
      <c r="H142" s="667">
        <f t="shared" si="7"/>
        <v>0</v>
      </c>
    </row>
    <row r="143" spans="1:8" ht="12.75">
      <c r="A143" s="666"/>
      <c r="B143" s="485"/>
      <c r="C143" s="486" t="s">
        <v>413</v>
      </c>
      <c r="D143" s="446" t="s">
        <v>293</v>
      </c>
      <c r="E143" s="487"/>
      <c r="F143" s="488"/>
      <c r="G143" s="227"/>
      <c r="H143" s="667">
        <f t="shared" si="7"/>
        <v>0</v>
      </c>
    </row>
    <row r="144" spans="1:8" ht="23.25" customHeight="1">
      <c r="A144" s="666"/>
      <c r="B144" s="485"/>
      <c r="C144" s="486" t="s">
        <v>414</v>
      </c>
      <c r="D144" s="446" t="s">
        <v>294</v>
      </c>
      <c r="E144" s="487"/>
      <c r="F144" s="488"/>
      <c r="G144" s="227"/>
      <c r="H144" s="667"/>
    </row>
    <row r="145" spans="1:8" ht="22.5">
      <c r="A145" s="666"/>
      <c r="B145" s="485"/>
      <c r="C145" s="486" t="s">
        <v>415</v>
      </c>
      <c r="D145" s="446" t="s">
        <v>295</v>
      </c>
      <c r="E145" s="487">
        <v>189</v>
      </c>
      <c r="F145" s="488">
        <v>189</v>
      </c>
      <c r="G145" s="227"/>
      <c r="H145" s="667">
        <f t="shared" si="7"/>
        <v>189</v>
      </c>
    </row>
    <row r="146" spans="1:8" ht="22.5">
      <c r="A146" s="666"/>
      <c r="B146" s="485"/>
      <c r="C146" s="486" t="s">
        <v>416</v>
      </c>
      <c r="D146" s="446" t="s">
        <v>296</v>
      </c>
      <c r="E146" s="487"/>
      <c r="F146" s="488"/>
      <c r="G146" s="227"/>
      <c r="H146" s="667">
        <f t="shared" si="7"/>
        <v>0</v>
      </c>
    </row>
    <row r="147" spans="1:8" ht="22.5">
      <c r="A147" s="666"/>
      <c r="B147" s="485"/>
      <c r="C147" s="486" t="s">
        <v>417</v>
      </c>
      <c r="D147" s="446" t="s">
        <v>297</v>
      </c>
      <c r="E147" s="487"/>
      <c r="F147" s="488"/>
      <c r="G147" s="227"/>
      <c r="H147" s="667">
        <f t="shared" si="7"/>
        <v>0</v>
      </c>
    </row>
    <row r="148" spans="1:8" ht="12.75">
      <c r="A148" s="666"/>
      <c r="B148" s="485"/>
      <c r="C148" s="486" t="s">
        <v>418</v>
      </c>
      <c r="D148" s="489" t="s">
        <v>298</v>
      </c>
      <c r="E148" s="487"/>
      <c r="F148" s="488">
        <v>24</v>
      </c>
      <c r="G148" s="227"/>
      <c r="H148" s="667">
        <f t="shared" si="7"/>
        <v>24</v>
      </c>
    </row>
    <row r="149" spans="1:8" ht="12.75">
      <c r="A149" s="666"/>
      <c r="B149" s="485"/>
      <c r="C149" s="486" t="s">
        <v>419</v>
      </c>
      <c r="D149" s="490" t="s">
        <v>299</v>
      </c>
      <c r="E149" s="487"/>
      <c r="F149" s="488"/>
      <c r="G149" s="227"/>
      <c r="H149" s="667">
        <f t="shared" si="7"/>
        <v>0</v>
      </c>
    </row>
    <row r="150" spans="1:8" ht="13.5" thickBot="1">
      <c r="A150" s="668"/>
      <c r="B150" s="491"/>
      <c r="C150" s="492" t="s">
        <v>420</v>
      </c>
      <c r="D150" s="470" t="s">
        <v>300</v>
      </c>
      <c r="E150" s="493"/>
      <c r="F150" s="494"/>
      <c r="G150" s="227">
        <v>77</v>
      </c>
      <c r="H150" s="667">
        <f t="shared" si="7"/>
        <v>77</v>
      </c>
    </row>
    <row r="151" spans="1:8" ht="13.5" thickBot="1">
      <c r="A151" s="664" t="s">
        <v>327</v>
      </c>
      <c r="B151" s="495" t="s">
        <v>301</v>
      </c>
      <c r="C151" s="496" t="s">
        <v>372</v>
      </c>
      <c r="D151" s="497" t="s">
        <v>427</v>
      </c>
      <c r="E151" s="779">
        <f>+E153+E154+E155</f>
        <v>0</v>
      </c>
      <c r="F151" s="436"/>
      <c r="G151" s="436">
        <f>+G153+G154+G155</f>
        <v>0</v>
      </c>
      <c r="H151" s="437">
        <f>+H153+H154+H155</f>
        <v>0</v>
      </c>
    </row>
    <row r="152" spans="1:8" ht="12.75">
      <c r="A152" s="665"/>
      <c r="B152" s="474"/>
      <c r="C152" s="475" t="s">
        <v>423</v>
      </c>
      <c r="D152" s="780" t="s">
        <v>302</v>
      </c>
      <c r="E152" s="463"/>
      <c r="F152" s="464"/>
      <c r="G152" s="227"/>
      <c r="H152" s="683"/>
    </row>
    <row r="153" spans="1:8" ht="12.75">
      <c r="A153" s="666"/>
      <c r="B153" s="684"/>
      <c r="C153" s="475" t="s">
        <v>424</v>
      </c>
      <c r="D153" s="781" t="s">
        <v>303</v>
      </c>
      <c r="E153" s="487"/>
      <c r="F153" s="488"/>
      <c r="G153" s="227"/>
      <c r="H153" s="683"/>
    </row>
    <row r="154" spans="1:8" ht="12.75">
      <c r="A154" s="666"/>
      <c r="B154" s="684"/>
      <c r="C154" s="475" t="s">
        <v>425</v>
      </c>
      <c r="D154" s="781" t="s">
        <v>304</v>
      </c>
      <c r="E154" s="686"/>
      <c r="F154" s="484"/>
      <c r="G154" s="227"/>
      <c r="H154" s="683"/>
    </row>
    <row r="155" spans="1:8" ht="13.5" thickBot="1">
      <c r="A155" s="668"/>
      <c r="B155" s="687"/>
      <c r="C155" s="475" t="s">
        <v>426</v>
      </c>
      <c r="D155" s="782" t="s">
        <v>305</v>
      </c>
      <c r="E155" s="689"/>
      <c r="F155" s="494"/>
      <c r="G155" s="227"/>
      <c r="H155" s="683"/>
    </row>
    <row r="156" spans="1:8" ht="13.5" thickBot="1">
      <c r="A156" s="664" t="s">
        <v>328</v>
      </c>
      <c r="B156" s="690" t="s">
        <v>306</v>
      </c>
      <c r="C156" s="783" t="s">
        <v>428</v>
      </c>
      <c r="D156" s="784" t="s">
        <v>431</v>
      </c>
      <c r="E156" s="693">
        <f>E157+E158</f>
        <v>0</v>
      </c>
      <c r="F156" s="693"/>
      <c r="G156" s="693">
        <f>G157+G158</f>
        <v>560</v>
      </c>
      <c r="H156" s="694">
        <f>H157+H158</f>
        <v>560</v>
      </c>
    </row>
    <row r="157" spans="1:8" ht="22.5">
      <c r="A157" s="669"/>
      <c r="B157" s="785"/>
      <c r="C157" s="696" t="s">
        <v>429</v>
      </c>
      <c r="D157" s="682" t="s">
        <v>308</v>
      </c>
      <c r="E157" s="483"/>
      <c r="F157" s="786"/>
      <c r="G157" s="700"/>
      <c r="H157" s="683"/>
    </row>
    <row r="158" spans="1:8" ht="13.5" thickBot="1">
      <c r="A158" s="702"/>
      <c r="B158" s="703"/>
      <c r="C158" s="787" t="s">
        <v>430</v>
      </c>
      <c r="D158" s="705" t="s">
        <v>309</v>
      </c>
      <c r="E158" s="706"/>
      <c r="F158" s="707"/>
      <c r="G158" s="708">
        <v>560</v>
      </c>
      <c r="H158" s="683">
        <f>G158</f>
        <v>560</v>
      </c>
    </row>
    <row r="159" spans="1:8" ht="13.5" thickBot="1">
      <c r="A159" s="664" t="s">
        <v>329</v>
      </c>
      <c r="B159" s="690" t="s">
        <v>310</v>
      </c>
      <c r="C159" s="788" t="s">
        <v>384</v>
      </c>
      <c r="D159" s="784" t="s">
        <v>434</v>
      </c>
      <c r="E159" s="693">
        <f>E160+E161</f>
        <v>0</v>
      </c>
      <c r="F159" s="693"/>
      <c r="G159" s="693">
        <f>G160+G161</f>
        <v>0</v>
      </c>
      <c r="H159" s="694">
        <f>H160+H161</f>
        <v>0</v>
      </c>
    </row>
    <row r="160" spans="1:8" ht="22.5">
      <c r="A160" s="669"/>
      <c r="B160" s="695"/>
      <c r="C160" s="696" t="s">
        <v>432</v>
      </c>
      <c r="D160" s="789" t="s">
        <v>311</v>
      </c>
      <c r="E160" s="483"/>
      <c r="F160" s="484"/>
      <c r="G160" s="227"/>
      <c r="H160" s="683"/>
    </row>
    <row r="161" spans="1:8" ht="13.5" thickBot="1">
      <c r="A161" s="702"/>
      <c r="B161" s="703"/>
      <c r="C161" s="790" t="s">
        <v>433</v>
      </c>
      <c r="D161" s="29" t="s">
        <v>312</v>
      </c>
      <c r="E161" s="706"/>
      <c r="F161" s="707"/>
      <c r="G161" s="227"/>
      <c r="H161" s="683"/>
    </row>
    <row r="162" spans="1:8" ht="13.5" thickBot="1">
      <c r="A162" s="664"/>
      <c r="B162" s="433"/>
      <c r="C162" s="791"/>
      <c r="D162" s="497" t="s">
        <v>313</v>
      </c>
      <c r="E162" s="712">
        <f>E115+E127+E132+E138+E151+E156+E159</f>
        <v>92979</v>
      </c>
      <c r="F162" s="712">
        <f>F115+F138</f>
        <v>4183</v>
      </c>
      <c r="G162" s="712">
        <f>G115+G127+G132+G138+G151+G156+G159</f>
        <v>705</v>
      </c>
      <c r="H162" s="713">
        <f>H115+H127+H132+H138+H151+H156+H159</f>
        <v>4888</v>
      </c>
    </row>
    <row r="163" spans="1:8" ht="13.5" thickBot="1">
      <c r="A163" s="664" t="s">
        <v>330</v>
      </c>
      <c r="B163" s="690" t="s">
        <v>314</v>
      </c>
      <c r="C163" s="690" t="s">
        <v>435</v>
      </c>
      <c r="D163" s="537" t="s">
        <v>442</v>
      </c>
      <c r="E163" s="436">
        <f>E169</f>
        <v>93786</v>
      </c>
      <c r="F163" s="436">
        <f>F169+F168</f>
        <v>188134</v>
      </c>
      <c r="G163" s="436">
        <f>G169+G168</f>
        <v>-34099</v>
      </c>
      <c r="H163" s="437">
        <f>H169+H168</f>
        <v>154035</v>
      </c>
    </row>
    <row r="164" spans="1:8" ht="12.75">
      <c r="A164" s="665"/>
      <c r="B164" s="716"/>
      <c r="C164" s="721" t="s">
        <v>436</v>
      </c>
      <c r="D164" s="441" t="s">
        <v>315</v>
      </c>
      <c r="E164" s="484"/>
      <c r="F164" s="484"/>
      <c r="G164" s="227"/>
      <c r="H164" s="667">
        <f aca="true" t="shared" si="8" ref="H164:H169">F164+G164</f>
        <v>0</v>
      </c>
    </row>
    <row r="165" spans="1:8" ht="22.5">
      <c r="A165" s="666"/>
      <c r="B165" s="684"/>
      <c r="C165" s="721" t="s">
        <v>437</v>
      </c>
      <c r="D165" s="451" t="s">
        <v>316</v>
      </c>
      <c r="E165" s="487"/>
      <c r="F165" s="488"/>
      <c r="G165" s="227"/>
      <c r="H165" s="667">
        <f t="shared" si="8"/>
        <v>0</v>
      </c>
    </row>
    <row r="166" spans="1:8" ht="12.75">
      <c r="A166" s="666"/>
      <c r="B166" s="684"/>
      <c r="C166" s="721" t="s">
        <v>438</v>
      </c>
      <c r="D166" s="451" t="s">
        <v>317</v>
      </c>
      <c r="E166" s="487"/>
      <c r="F166" s="488"/>
      <c r="G166" s="227"/>
      <c r="H166" s="667">
        <f t="shared" si="8"/>
        <v>0</v>
      </c>
    </row>
    <row r="167" spans="1:8" ht="12.75">
      <c r="A167" s="666"/>
      <c r="B167" s="684"/>
      <c r="C167" s="721" t="s">
        <v>439</v>
      </c>
      <c r="D167" s="227" t="s">
        <v>318</v>
      </c>
      <c r="E167" s="487"/>
      <c r="F167" s="488"/>
      <c r="G167" s="227"/>
      <c r="H167" s="667">
        <f t="shared" si="8"/>
        <v>0</v>
      </c>
    </row>
    <row r="168" spans="1:8" ht="12.75">
      <c r="A168" s="666"/>
      <c r="B168" s="684"/>
      <c r="C168" s="721" t="s">
        <v>440</v>
      </c>
      <c r="D168" s="451" t="s">
        <v>319</v>
      </c>
      <c r="E168" s="487"/>
      <c r="F168" s="488">
        <v>605</v>
      </c>
      <c r="G168" s="227"/>
      <c r="H168" s="667">
        <f t="shared" si="8"/>
        <v>605</v>
      </c>
    </row>
    <row r="169" spans="1:8" ht="13.5" thickBot="1">
      <c r="A169" s="668"/>
      <c r="B169" s="687"/>
      <c r="C169" s="721" t="s">
        <v>441</v>
      </c>
      <c r="D169" s="454" t="s">
        <v>320</v>
      </c>
      <c r="E169" s="493">
        <v>93786</v>
      </c>
      <c r="F169" s="494">
        <v>187529</v>
      </c>
      <c r="G169" s="227">
        <f>170-31738-2402+1184-589-19-68-560-77</f>
        <v>-34099</v>
      </c>
      <c r="H169" s="667">
        <f t="shared" si="8"/>
        <v>153430</v>
      </c>
    </row>
    <row r="170" spans="1:8" ht="13.5" thickBot="1">
      <c r="A170" s="664" t="s">
        <v>943</v>
      </c>
      <c r="B170" s="552"/>
      <c r="C170" s="553" t="s">
        <v>443</v>
      </c>
      <c r="D170" s="497" t="s">
        <v>331</v>
      </c>
      <c r="E170" s="436">
        <f>+E162+E163</f>
        <v>186765</v>
      </c>
      <c r="F170" s="436">
        <f>+F162+F163</f>
        <v>192317</v>
      </c>
      <c r="G170" s="436">
        <f>+G162+G163</f>
        <v>-33394</v>
      </c>
      <c r="H170" s="437">
        <f>+H162+H163</f>
        <v>158923</v>
      </c>
    </row>
    <row r="171" spans="1:8" ht="12.75">
      <c r="A171" s="27"/>
      <c r="B171" s="722"/>
      <c r="C171" s="723"/>
      <c r="D171" s="27"/>
      <c r="E171" s="27"/>
      <c r="F171" s="27"/>
      <c r="G171" s="724"/>
      <c r="H171" s="724"/>
    </row>
    <row r="172" spans="1:8" ht="12" thickBot="1">
      <c r="A172" s="725"/>
      <c r="B172" s="725"/>
      <c r="C172" s="726"/>
      <c r="D172" s="725" t="s">
        <v>478</v>
      </c>
      <c r="E172" s="727"/>
      <c r="F172" s="728"/>
      <c r="G172" s="729"/>
      <c r="H172" s="69"/>
    </row>
    <row r="173" spans="1:8" ht="11.25" thickBot="1">
      <c r="A173" s="730"/>
      <c r="B173" s="730"/>
      <c r="C173" s="731"/>
      <c r="D173" s="732" t="s">
        <v>449</v>
      </c>
      <c r="E173" s="436">
        <f>E174+E175+E176+E177+E178</f>
        <v>186165</v>
      </c>
      <c r="F173" s="436">
        <f>F174+F175+F176+F177+F178</f>
        <v>191118</v>
      </c>
      <c r="G173" s="436">
        <f>G174+G175+G176+G177+G178</f>
        <v>-33375</v>
      </c>
      <c r="H173" s="436">
        <f>H174+H175+H176+H177+H178</f>
        <v>157743</v>
      </c>
    </row>
    <row r="174" spans="1:8" ht="11.25">
      <c r="A174" s="733" t="s">
        <v>324</v>
      </c>
      <c r="B174" s="734" t="s">
        <v>333</v>
      </c>
      <c r="C174" s="734" t="s">
        <v>390</v>
      </c>
      <c r="D174" s="735" t="s">
        <v>334</v>
      </c>
      <c r="E174" s="736">
        <v>48985</v>
      </c>
      <c r="F174" s="737">
        <v>52121</v>
      </c>
      <c r="G174" s="227">
        <f>134-589-1</f>
        <v>-456</v>
      </c>
      <c r="H174" s="667">
        <f>F174+G174</f>
        <v>51665</v>
      </c>
    </row>
    <row r="175" spans="1:8" ht="21">
      <c r="A175" s="73" t="s">
        <v>322</v>
      </c>
      <c r="B175" s="738" t="s">
        <v>335</v>
      </c>
      <c r="C175" s="734" t="s">
        <v>350</v>
      </c>
      <c r="D175" s="739" t="s">
        <v>336</v>
      </c>
      <c r="E175" s="740">
        <v>13280</v>
      </c>
      <c r="F175" s="741">
        <v>12957</v>
      </c>
      <c r="G175" s="227">
        <f>36+1184-369</f>
        <v>851</v>
      </c>
      <c r="H175" s="667">
        <f>F175+G175</f>
        <v>13808</v>
      </c>
    </row>
    <row r="176" spans="1:8" ht="11.25">
      <c r="A176" s="73" t="s">
        <v>325</v>
      </c>
      <c r="B176" s="738" t="s">
        <v>337</v>
      </c>
      <c r="C176" s="734" t="s">
        <v>396</v>
      </c>
      <c r="D176" s="739" t="s">
        <v>338</v>
      </c>
      <c r="E176" s="740">
        <v>12300</v>
      </c>
      <c r="F176" s="741">
        <v>12557</v>
      </c>
      <c r="G176" s="227">
        <f>482-2402</f>
        <v>-1920</v>
      </c>
      <c r="H176" s="667">
        <f>F176+G176</f>
        <v>10637</v>
      </c>
    </row>
    <row r="177" spans="1:8" ht="11.25">
      <c r="A177" s="73" t="s">
        <v>326</v>
      </c>
      <c r="B177" s="738" t="s">
        <v>339</v>
      </c>
      <c r="C177" s="734" t="s">
        <v>397</v>
      </c>
      <c r="D177" s="739" t="s">
        <v>340</v>
      </c>
      <c r="E177" s="740">
        <v>111600</v>
      </c>
      <c r="F177" s="741">
        <v>111660</v>
      </c>
      <c r="G177" s="242">
        <f>-112-31738</f>
        <v>-31850</v>
      </c>
      <c r="H177" s="667">
        <f>F177+G177</f>
        <v>79810</v>
      </c>
    </row>
    <row r="178" spans="1:8" ht="10.5">
      <c r="A178" s="73" t="s">
        <v>327</v>
      </c>
      <c r="B178" s="738" t="s">
        <v>341</v>
      </c>
      <c r="C178" s="734" t="s">
        <v>372</v>
      </c>
      <c r="D178" s="742" t="s">
        <v>342</v>
      </c>
      <c r="E178" s="743">
        <f>SUM(E179:E185)</f>
        <v>0</v>
      </c>
      <c r="F178" s="743">
        <f>F179</f>
        <v>1823</v>
      </c>
      <c r="G178" s="743">
        <f>SUM(G179:G185)</f>
        <v>0</v>
      </c>
      <c r="H178" s="744">
        <f>SUM(H179:H185)</f>
        <v>1823</v>
      </c>
    </row>
    <row r="179" spans="1:8" ht="11.25">
      <c r="A179" s="73"/>
      <c r="B179" s="745"/>
      <c r="C179" s="746" t="s">
        <v>423</v>
      </c>
      <c r="D179" s="446" t="s">
        <v>343</v>
      </c>
      <c r="E179" s="487"/>
      <c r="F179" s="488">
        <v>1823</v>
      </c>
      <c r="G179" s="227"/>
      <c r="H179" s="667">
        <f>F179+G179</f>
        <v>1823</v>
      </c>
    </row>
    <row r="180" spans="1:8" ht="22.5">
      <c r="A180" s="73"/>
      <c r="B180" s="745"/>
      <c r="C180" s="746" t="s">
        <v>424</v>
      </c>
      <c r="D180" s="446" t="s">
        <v>344</v>
      </c>
      <c r="E180" s="487"/>
      <c r="F180" s="488"/>
      <c r="G180" s="227"/>
      <c r="H180" s="667">
        <f aca="true" t="shared" si="9" ref="H180:H185">E180+G180</f>
        <v>0</v>
      </c>
    </row>
    <row r="181" spans="1:8" ht="22.5">
      <c r="A181" s="747"/>
      <c r="B181" s="745"/>
      <c r="C181" s="746" t="s">
        <v>425</v>
      </c>
      <c r="D181" s="446" t="s">
        <v>345</v>
      </c>
      <c r="E181" s="487"/>
      <c r="F181" s="488"/>
      <c r="G181" s="227"/>
      <c r="H181" s="667">
        <f t="shared" si="9"/>
        <v>0</v>
      </c>
    </row>
    <row r="182" spans="1:8" ht="22.5">
      <c r="A182" s="748"/>
      <c r="B182" s="745"/>
      <c r="C182" s="746" t="s">
        <v>426</v>
      </c>
      <c r="D182" s="446" t="s">
        <v>346</v>
      </c>
      <c r="E182" s="487"/>
      <c r="F182" s="488">
        <v>0</v>
      </c>
      <c r="G182" s="227"/>
      <c r="H182" s="667">
        <f>F182+G182</f>
        <v>0</v>
      </c>
    </row>
    <row r="183" spans="1:8" ht="22.5">
      <c r="A183" s="73"/>
      <c r="B183" s="745"/>
      <c r="C183" s="746" t="s">
        <v>450</v>
      </c>
      <c r="D183" s="446" t="s">
        <v>347</v>
      </c>
      <c r="E183" s="487"/>
      <c r="F183" s="488"/>
      <c r="G183" s="227"/>
      <c r="H183" s="667">
        <f t="shared" si="9"/>
        <v>0</v>
      </c>
    </row>
    <row r="184" spans="1:8" ht="22.5">
      <c r="A184" s="73"/>
      <c r="B184" s="745"/>
      <c r="C184" s="746" t="s">
        <v>451</v>
      </c>
      <c r="D184" s="446" t="s">
        <v>348</v>
      </c>
      <c r="E184" s="487"/>
      <c r="F184" s="488"/>
      <c r="G184" s="227"/>
      <c r="H184" s="667">
        <f t="shared" si="9"/>
        <v>0</v>
      </c>
    </row>
    <row r="185" spans="1:8" ht="12" thickBot="1">
      <c r="A185" s="761"/>
      <c r="B185" s="750"/>
      <c r="C185" s="746" t="s">
        <v>452</v>
      </c>
      <c r="D185" s="673" t="s">
        <v>349</v>
      </c>
      <c r="E185" s="689"/>
      <c r="F185" s="494"/>
      <c r="G185" s="227"/>
      <c r="H185" s="667">
        <f t="shared" si="9"/>
        <v>0</v>
      </c>
    </row>
    <row r="186" spans="1:8" ht="11.25" thickBot="1">
      <c r="A186" s="730" t="s">
        <v>328</v>
      </c>
      <c r="B186" s="751"/>
      <c r="C186" s="752" t="s">
        <v>375</v>
      </c>
      <c r="D186" s="751" t="s">
        <v>388</v>
      </c>
      <c r="E186" s="436">
        <f>E187+E195</f>
        <v>600</v>
      </c>
      <c r="F186" s="436">
        <f>F187+F195</f>
        <v>1199</v>
      </c>
      <c r="G186" s="436">
        <f>G187+G195</f>
        <v>-19</v>
      </c>
      <c r="H186" s="437">
        <f>H187+H195</f>
        <v>1180</v>
      </c>
    </row>
    <row r="187" spans="1:8" ht="11.25">
      <c r="A187" s="753"/>
      <c r="B187" s="754" t="s">
        <v>351</v>
      </c>
      <c r="C187" s="755" t="s">
        <v>429</v>
      </c>
      <c r="D187" s="596" t="s">
        <v>352</v>
      </c>
      <c r="E187" s="686">
        <f>E188+E189+E190+E191+E192+E193+E194</f>
        <v>600</v>
      </c>
      <c r="F187" s="686">
        <f>F188+F189+F190+F191+F192+F193+F194</f>
        <v>1199</v>
      </c>
      <c r="G187" s="686">
        <f>G188+G189+G190+G191+G192+G193+G194</f>
        <v>-19</v>
      </c>
      <c r="H187" s="756">
        <f>H188+H189+H190+H191+H192+H193+H194</f>
        <v>1180</v>
      </c>
    </row>
    <row r="188" spans="1:8" ht="11.25">
      <c r="A188" s="733"/>
      <c r="B188" s="755"/>
      <c r="C188" s="757" t="s">
        <v>453</v>
      </c>
      <c r="D188" s="446" t="s">
        <v>353</v>
      </c>
      <c r="E188" s="758"/>
      <c r="F188" s="484">
        <v>0</v>
      </c>
      <c r="G188" s="227"/>
      <c r="H188" s="667">
        <f>F188+G188</f>
        <v>0</v>
      </c>
    </row>
    <row r="189" spans="1:8" ht="11.25">
      <c r="A189" s="733"/>
      <c r="B189" s="755"/>
      <c r="C189" s="757" t="s">
        <v>454</v>
      </c>
      <c r="D189" s="490" t="s">
        <v>354</v>
      </c>
      <c r="E189" s="758"/>
      <c r="F189" s="484"/>
      <c r="G189" s="227"/>
      <c r="H189" s="667">
        <f aca="true" t="shared" si="10" ref="H189:H194">F189+G189</f>
        <v>0</v>
      </c>
    </row>
    <row r="190" spans="1:8" ht="11.25">
      <c r="A190" s="733"/>
      <c r="B190" s="755"/>
      <c r="C190" s="757" t="s">
        <v>455</v>
      </c>
      <c r="D190" s="446" t="s">
        <v>355</v>
      </c>
      <c r="E190" s="758">
        <v>472</v>
      </c>
      <c r="F190" s="484">
        <v>913</v>
      </c>
      <c r="G190" s="227">
        <v>-16</v>
      </c>
      <c r="H190" s="667">
        <f t="shared" si="10"/>
        <v>897</v>
      </c>
    </row>
    <row r="191" spans="1:8" ht="11.25">
      <c r="A191" s="747"/>
      <c r="B191" s="755"/>
      <c r="C191" s="757" t="s">
        <v>456</v>
      </c>
      <c r="D191" s="446" t="s">
        <v>356</v>
      </c>
      <c r="E191" s="758"/>
      <c r="F191" s="484">
        <v>31</v>
      </c>
      <c r="G191" s="227"/>
      <c r="H191" s="667">
        <f t="shared" si="10"/>
        <v>31</v>
      </c>
    </row>
    <row r="192" spans="1:8" ht="11.25">
      <c r="A192" s="748"/>
      <c r="B192" s="755"/>
      <c r="C192" s="757" t="s">
        <v>457</v>
      </c>
      <c r="D192" s="446" t="s">
        <v>357</v>
      </c>
      <c r="E192" s="758"/>
      <c r="F192" s="484"/>
      <c r="G192" s="227"/>
      <c r="H192" s="667">
        <f t="shared" si="10"/>
        <v>0</v>
      </c>
    </row>
    <row r="193" spans="1:8" ht="22.5">
      <c r="A193" s="748"/>
      <c r="B193" s="755"/>
      <c r="C193" s="757" t="s">
        <v>458</v>
      </c>
      <c r="D193" s="446" t="s">
        <v>387</v>
      </c>
      <c r="E193" s="758"/>
      <c r="F193" s="484"/>
      <c r="G193" s="227"/>
      <c r="H193" s="667">
        <f t="shared" si="10"/>
        <v>0</v>
      </c>
    </row>
    <row r="194" spans="1:8" ht="22.5">
      <c r="A194" s="747"/>
      <c r="B194" s="755"/>
      <c r="C194" s="757" t="s">
        <v>459</v>
      </c>
      <c r="D194" s="446" t="s">
        <v>358</v>
      </c>
      <c r="E194" s="758">
        <v>128</v>
      </c>
      <c r="F194" s="484">
        <v>255</v>
      </c>
      <c r="G194" s="227">
        <v>-3</v>
      </c>
      <c r="H194" s="667">
        <f t="shared" si="10"/>
        <v>252</v>
      </c>
    </row>
    <row r="195" spans="1:8" ht="11.25">
      <c r="A195" s="73" t="s">
        <v>329</v>
      </c>
      <c r="B195" s="738" t="s">
        <v>359</v>
      </c>
      <c r="C195" s="738" t="s">
        <v>384</v>
      </c>
      <c r="D195" s="604" t="s">
        <v>360</v>
      </c>
      <c r="E195" s="740">
        <f>E196+E197+E198+E199</f>
        <v>0</v>
      </c>
      <c r="F195" s="741"/>
      <c r="G195" s="227"/>
      <c r="H195" s="683"/>
    </row>
    <row r="196" spans="1:8" ht="11.25">
      <c r="A196" s="73"/>
      <c r="B196" s="745"/>
      <c r="C196" s="746" t="s">
        <v>432</v>
      </c>
      <c r="D196" s="446" t="s">
        <v>361</v>
      </c>
      <c r="E196" s="487"/>
      <c r="F196" s="488"/>
      <c r="G196" s="227"/>
      <c r="H196" s="683"/>
    </row>
    <row r="197" spans="1:8" ht="11.25">
      <c r="A197" s="73"/>
      <c r="B197" s="745"/>
      <c r="C197" s="746" t="s">
        <v>433</v>
      </c>
      <c r="D197" s="446" t="s">
        <v>362</v>
      </c>
      <c r="E197" s="487"/>
      <c r="F197" s="488"/>
      <c r="G197" s="227"/>
      <c r="H197" s="683"/>
    </row>
    <row r="198" spans="1:8" ht="11.25">
      <c r="A198" s="73"/>
      <c r="B198" s="745"/>
      <c r="C198" s="746" t="s">
        <v>460</v>
      </c>
      <c r="D198" s="446" t="s">
        <v>363</v>
      </c>
      <c r="E198" s="487"/>
      <c r="F198" s="488"/>
      <c r="G198" s="227"/>
      <c r="H198" s="683"/>
    </row>
    <row r="199" spans="1:8" ht="22.5">
      <c r="A199" s="73"/>
      <c r="B199" s="745"/>
      <c r="C199" s="746" t="s">
        <v>461</v>
      </c>
      <c r="D199" s="446" t="s">
        <v>364</v>
      </c>
      <c r="E199" s="487"/>
      <c r="F199" s="488"/>
      <c r="G199" s="227"/>
      <c r="H199" s="683"/>
    </row>
    <row r="200" spans="1:8" ht="11.25">
      <c r="A200" s="73" t="s">
        <v>330</v>
      </c>
      <c r="B200" s="745" t="s">
        <v>365</v>
      </c>
      <c r="C200" s="745" t="s">
        <v>462</v>
      </c>
      <c r="D200" s="604" t="s">
        <v>366</v>
      </c>
      <c r="E200" s="487">
        <f>SUM(E201:E205)</f>
        <v>0</v>
      </c>
      <c r="F200" s="487"/>
      <c r="G200" s="487">
        <f>SUM(G201:G205)</f>
        <v>0</v>
      </c>
      <c r="H200" s="760">
        <f>SUM(H201:H205)</f>
        <v>0</v>
      </c>
    </row>
    <row r="201" spans="1:8" ht="22.5">
      <c r="A201" s="73"/>
      <c r="B201" s="745"/>
      <c r="C201" s="746" t="s">
        <v>463</v>
      </c>
      <c r="D201" s="446" t="s">
        <v>367</v>
      </c>
      <c r="E201" s="487"/>
      <c r="F201" s="488"/>
      <c r="G201" s="227"/>
      <c r="H201" s="667">
        <f>E201+G201</f>
        <v>0</v>
      </c>
    </row>
    <row r="202" spans="1:8" ht="22.5">
      <c r="A202" s="73"/>
      <c r="B202" s="745"/>
      <c r="C202" s="746" t="s">
        <v>464</v>
      </c>
      <c r="D202" s="446" t="s">
        <v>368</v>
      </c>
      <c r="E202" s="487"/>
      <c r="F202" s="488"/>
      <c r="G202" s="227"/>
      <c r="H202" s="683"/>
    </row>
    <row r="203" spans="1:8" ht="22.5">
      <c r="A203" s="73"/>
      <c r="B203" s="745"/>
      <c r="C203" s="746" t="s">
        <v>465</v>
      </c>
      <c r="D203" s="446" t="s">
        <v>369</v>
      </c>
      <c r="E203" s="487"/>
      <c r="F203" s="488"/>
      <c r="G203" s="227"/>
      <c r="H203" s="683"/>
    </row>
    <row r="204" spans="1:8" ht="11.25">
      <c r="A204" s="73"/>
      <c r="B204" s="745"/>
      <c r="C204" s="746" t="s">
        <v>466</v>
      </c>
      <c r="D204" s="446" t="s">
        <v>370</v>
      </c>
      <c r="E204" s="487"/>
      <c r="F204" s="488"/>
      <c r="G204" s="227"/>
      <c r="H204" s="683"/>
    </row>
    <row r="205" spans="1:8" ht="22.5">
      <c r="A205" s="73"/>
      <c r="B205" s="745"/>
      <c r="C205" s="746" t="s">
        <v>467</v>
      </c>
      <c r="D205" s="446" t="s">
        <v>371</v>
      </c>
      <c r="E205" s="487"/>
      <c r="F205" s="488"/>
      <c r="G205" s="227"/>
      <c r="H205" s="683"/>
    </row>
    <row r="206" spans="1:8" ht="11.25">
      <c r="A206" s="749"/>
      <c r="B206" s="739"/>
      <c r="C206" s="738"/>
      <c r="D206" s="604" t="s">
        <v>447</v>
      </c>
      <c r="E206" s="767">
        <f>E174+E175+E176+E177+E178+E186+E195+E200</f>
        <v>186765</v>
      </c>
      <c r="F206" s="767">
        <f>F174+F175+F176+F177+F178+F186+F195+F200</f>
        <v>192317</v>
      </c>
      <c r="G206" s="767">
        <f>G174+G175+G176+G177+G178+G186+G195+G200</f>
        <v>-33394</v>
      </c>
      <c r="H206" s="768">
        <f>H174+H175+H176+H177+H178+H186+H195+H200</f>
        <v>158923</v>
      </c>
    </row>
    <row r="207" spans="1:8" ht="11.25">
      <c r="A207" s="749" t="s">
        <v>468</v>
      </c>
      <c r="B207" s="765" t="s">
        <v>373</v>
      </c>
      <c r="C207" s="766" t="s">
        <v>443</v>
      </c>
      <c r="D207" s="616" t="s">
        <v>374</v>
      </c>
      <c r="E207" s="792"/>
      <c r="F207" s="793"/>
      <c r="G207" s="227"/>
      <c r="H207" s="683"/>
    </row>
    <row r="208" spans="1:8" ht="22.5">
      <c r="A208" s="73"/>
      <c r="B208" s="739"/>
      <c r="C208" s="746" t="s">
        <v>469</v>
      </c>
      <c r="D208" s="446" t="s">
        <v>389</v>
      </c>
      <c r="E208" s="447">
        <f>E209+E210+E211</f>
        <v>0</v>
      </c>
      <c r="F208" s="448"/>
      <c r="G208" s="227"/>
      <c r="H208" s="683"/>
    </row>
    <row r="209" spans="1:8" ht="11.25">
      <c r="A209" s="73"/>
      <c r="B209" s="739"/>
      <c r="C209" s="746" t="s">
        <v>470</v>
      </c>
      <c r="D209" s="446" t="s">
        <v>376</v>
      </c>
      <c r="E209" s="447"/>
      <c r="F209" s="448"/>
      <c r="G209" s="227"/>
      <c r="H209" s="683"/>
    </row>
    <row r="210" spans="1:8" ht="22.5">
      <c r="A210" s="73"/>
      <c r="B210" s="739"/>
      <c r="C210" s="746" t="s">
        <v>471</v>
      </c>
      <c r="D210" s="446" t="s">
        <v>377</v>
      </c>
      <c r="E210" s="447"/>
      <c r="F210" s="448"/>
      <c r="G210" s="227"/>
      <c r="H210" s="683"/>
    </row>
    <row r="211" spans="1:8" ht="11.25">
      <c r="A211" s="73"/>
      <c r="B211" s="739"/>
      <c r="C211" s="746" t="s">
        <v>472</v>
      </c>
      <c r="D211" s="490" t="s">
        <v>378</v>
      </c>
      <c r="E211" s="447"/>
      <c r="F211" s="448"/>
      <c r="G211" s="227"/>
      <c r="H211" s="683"/>
    </row>
    <row r="212" spans="1:8" ht="11.25">
      <c r="A212" s="73"/>
      <c r="B212" s="739"/>
      <c r="C212" s="746" t="s">
        <v>473</v>
      </c>
      <c r="D212" s="446" t="s">
        <v>379</v>
      </c>
      <c r="E212" s="447"/>
      <c r="F212" s="448"/>
      <c r="G212" s="227"/>
      <c r="H212" s="683"/>
    </row>
    <row r="213" spans="1:8" ht="11.25">
      <c r="A213" s="73"/>
      <c r="B213" s="739"/>
      <c r="C213" s="746" t="s">
        <v>474</v>
      </c>
      <c r="D213" s="446" t="s">
        <v>380</v>
      </c>
      <c r="E213" s="447"/>
      <c r="F213" s="448"/>
      <c r="G213" s="227"/>
      <c r="H213" s="683"/>
    </row>
    <row r="214" spans="1:8" ht="22.5">
      <c r="A214" s="227"/>
      <c r="B214" s="739"/>
      <c r="C214" s="746" t="s">
        <v>475</v>
      </c>
      <c r="D214" s="446" t="s">
        <v>381</v>
      </c>
      <c r="E214" s="447"/>
      <c r="F214" s="448"/>
      <c r="G214" s="227"/>
      <c r="H214" s="683"/>
    </row>
    <row r="215" spans="1:8" ht="11.25">
      <c r="A215" s="73"/>
      <c r="B215" s="739"/>
      <c r="C215" s="746" t="s">
        <v>476</v>
      </c>
      <c r="D215" s="446" t="s">
        <v>382</v>
      </c>
      <c r="E215" s="447"/>
      <c r="F215" s="448"/>
      <c r="G215" s="227"/>
      <c r="H215" s="683"/>
    </row>
    <row r="216" spans="1:8" ht="22.5">
      <c r="A216" s="73"/>
      <c r="B216" s="739"/>
      <c r="C216" s="746" t="s">
        <v>477</v>
      </c>
      <c r="D216" s="446" t="s">
        <v>383</v>
      </c>
      <c r="E216" s="447"/>
      <c r="F216" s="448"/>
      <c r="G216" s="227"/>
      <c r="H216" s="683"/>
    </row>
    <row r="217" spans="1:8" ht="12" thickBot="1">
      <c r="A217" s="73" t="s">
        <v>944</v>
      </c>
      <c r="B217" s="769"/>
      <c r="C217" s="794" t="s">
        <v>569</v>
      </c>
      <c r="D217" s="604" t="s">
        <v>448</v>
      </c>
      <c r="E217" s="447">
        <f>E206+E215+E216</f>
        <v>186765</v>
      </c>
      <c r="F217" s="447">
        <f>F206+F215+F216</f>
        <v>192317</v>
      </c>
      <c r="G217" s="447">
        <f>G206+G215+G216</f>
        <v>-33394</v>
      </c>
      <c r="H217" s="771">
        <f>H206+H215+H216</f>
        <v>158923</v>
      </c>
    </row>
    <row r="218" spans="1:8" ht="12" thickBot="1">
      <c r="A218" s="772" t="s">
        <v>385</v>
      </c>
      <c r="B218" s="773"/>
      <c r="C218" s="774"/>
      <c r="D218" s="775"/>
      <c r="E218" s="776">
        <v>19</v>
      </c>
      <c r="F218" s="776"/>
      <c r="G218" s="776"/>
      <c r="H218" s="777">
        <v>19</v>
      </c>
    </row>
    <row r="219" spans="1:8" ht="11.25" thickBot="1">
      <c r="A219" s="974" t="s">
        <v>979</v>
      </c>
      <c r="B219" s="975"/>
      <c r="C219" s="975"/>
      <c r="D219" s="976"/>
      <c r="E219" s="776">
        <v>20</v>
      </c>
      <c r="F219" s="776"/>
      <c r="G219" s="776"/>
      <c r="H219" s="777">
        <v>20</v>
      </c>
    </row>
    <row r="220" spans="1:8" ht="11.25" thickBot="1">
      <c r="A220" s="974" t="s">
        <v>980</v>
      </c>
      <c r="B220" s="975"/>
      <c r="C220" s="975"/>
      <c r="D220" s="976"/>
      <c r="E220" s="795">
        <v>21.5</v>
      </c>
      <c r="F220" s="795"/>
      <c r="G220" s="795"/>
      <c r="H220" s="796">
        <v>21.5</v>
      </c>
    </row>
    <row r="221" spans="1:8" ht="12.75" customHeight="1" thickBot="1">
      <c r="A221" s="772" t="s">
        <v>386</v>
      </c>
      <c r="B221" s="773"/>
      <c r="C221" s="774"/>
      <c r="D221" s="775"/>
      <c r="E221" s="776">
        <v>0</v>
      </c>
      <c r="F221" s="776"/>
      <c r="G221" s="776"/>
      <c r="H221" s="777">
        <v>0</v>
      </c>
    </row>
    <row r="222" spans="1:8" ht="38.25" customHeight="1">
      <c r="A222" s="413"/>
      <c r="B222" s="414"/>
      <c r="C222" s="415"/>
      <c r="D222" s="416"/>
      <c r="E222" s="417"/>
      <c r="F222" s="417"/>
      <c r="G222" s="351"/>
      <c r="H222" s="351"/>
    </row>
    <row r="223" spans="1:8" ht="10.5">
      <c r="A223" s="972" t="s">
        <v>264</v>
      </c>
      <c r="B223" s="972"/>
      <c r="C223" s="972"/>
      <c r="D223" s="972"/>
      <c r="E223" s="972"/>
      <c r="F223" s="972"/>
      <c r="G223" s="972"/>
      <c r="H223" s="972"/>
    </row>
    <row r="224" spans="1:8" ht="7.5" customHeight="1">
      <c r="A224" s="971" t="s">
        <v>919</v>
      </c>
      <c r="B224" s="971"/>
      <c r="C224" s="971"/>
      <c r="D224" s="971"/>
      <c r="E224" s="971"/>
      <c r="F224" s="971"/>
      <c r="G224" s="971"/>
      <c r="H224" s="971"/>
    </row>
    <row r="225" spans="1:8" ht="11.25" thickBot="1">
      <c r="A225" s="973" t="s">
        <v>479</v>
      </c>
      <c r="B225" s="973"/>
      <c r="C225" s="973"/>
      <c r="D225" s="973"/>
      <c r="E225" s="973"/>
      <c r="F225" s="419"/>
      <c r="G225" s="351"/>
      <c r="H225" s="351"/>
    </row>
    <row r="226" spans="1:8" ht="45.75" thickBot="1">
      <c r="A226" s="899"/>
      <c r="B226" s="900" t="s">
        <v>321</v>
      </c>
      <c r="C226" s="901"/>
      <c r="D226" s="800" t="s">
        <v>323</v>
      </c>
      <c r="E226" s="902" t="s">
        <v>988</v>
      </c>
      <c r="F226" s="902" t="s">
        <v>1024</v>
      </c>
      <c r="G226" s="906" t="s">
        <v>990</v>
      </c>
      <c r="H226" s="905" t="s">
        <v>1025</v>
      </c>
    </row>
    <row r="227" spans="1:8" ht="22.5" thickBot="1">
      <c r="A227" s="664" t="s">
        <v>324</v>
      </c>
      <c r="B227" s="433" t="s">
        <v>266</v>
      </c>
      <c r="C227" s="434" t="s">
        <v>390</v>
      </c>
      <c r="D227" s="435" t="s">
        <v>486</v>
      </c>
      <c r="E227" s="436">
        <f>E228+E235+E236+E237+E238</f>
        <v>0</v>
      </c>
      <c r="F227" s="436"/>
      <c r="G227" s="436">
        <f>G228+G235+G236+G237+G238</f>
        <v>0</v>
      </c>
      <c r="H227" s="437">
        <f>H228+H235+H236+H237+H238</f>
        <v>0</v>
      </c>
    </row>
    <row r="228" spans="1:8" ht="12.75">
      <c r="A228" s="665"/>
      <c r="B228" s="439"/>
      <c r="C228" s="440" t="s">
        <v>391</v>
      </c>
      <c r="D228" s="441" t="s">
        <v>487</v>
      </c>
      <c r="E228" s="442">
        <f>E229+E230+E231+E232+E233+E234</f>
        <v>0</v>
      </c>
      <c r="F228" s="442"/>
      <c r="G228" s="442">
        <f>G229+G230+G231+G232+G233+G234</f>
        <v>0</v>
      </c>
      <c r="H228" s="443">
        <f>H229+H230+H231+H232+H233+H234</f>
        <v>0</v>
      </c>
    </row>
    <row r="229" spans="1:8" ht="22.5">
      <c r="A229" s="666"/>
      <c r="B229" s="444"/>
      <c r="C229" s="445" t="s">
        <v>480</v>
      </c>
      <c r="D229" s="446" t="s">
        <v>267</v>
      </c>
      <c r="E229" s="447"/>
      <c r="F229" s="448"/>
      <c r="G229" s="227"/>
      <c r="H229" s="683"/>
    </row>
    <row r="230" spans="1:8" ht="22.5">
      <c r="A230" s="666"/>
      <c r="B230" s="444"/>
      <c r="C230" s="445" t="s">
        <v>481</v>
      </c>
      <c r="D230" s="446" t="s">
        <v>268</v>
      </c>
      <c r="E230" s="447"/>
      <c r="F230" s="448"/>
      <c r="G230" s="227"/>
      <c r="H230" s="683"/>
    </row>
    <row r="231" spans="1:8" ht="22.5">
      <c r="A231" s="666"/>
      <c r="B231" s="444"/>
      <c r="C231" s="445" t="s">
        <v>482</v>
      </c>
      <c r="D231" s="446" t="s">
        <v>269</v>
      </c>
      <c r="E231" s="447"/>
      <c r="F231" s="448"/>
      <c r="G231" s="227"/>
      <c r="H231" s="683"/>
    </row>
    <row r="232" spans="1:8" ht="22.5">
      <c r="A232" s="666"/>
      <c r="B232" s="444"/>
      <c r="C232" s="445" t="s">
        <v>483</v>
      </c>
      <c r="D232" s="446" t="s">
        <v>270</v>
      </c>
      <c r="E232" s="447"/>
      <c r="F232" s="448"/>
      <c r="G232" s="227"/>
      <c r="H232" s="683"/>
    </row>
    <row r="233" spans="1:8" ht="12.75">
      <c r="A233" s="666"/>
      <c r="B233" s="444"/>
      <c r="C233" s="445" t="s">
        <v>484</v>
      </c>
      <c r="D233" s="446" t="s">
        <v>271</v>
      </c>
      <c r="E233" s="447"/>
      <c r="F233" s="448"/>
      <c r="G233" s="227"/>
      <c r="H233" s="683"/>
    </row>
    <row r="234" spans="1:8" ht="12.75">
      <c r="A234" s="666"/>
      <c r="B234" s="444"/>
      <c r="C234" s="445" t="s">
        <v>485</v>
      </c>
      <c r="D234" s="446" t="s">
        <v>272</v>
      </c>
      <c r="E234" s="447"/>
      <c r="F234" s="448"/>
      <c r="G234" s="227"/>
      <c r="H234" s="683"/>
    </row>
    <row r="235" spans="1:8" ht="12.75">
      <c r="A235" s="666"/>
      <c r="B235" s="444"/>
      <c r="C235" s="445" t="s">
        <v>392</v>
      </c>
      <c r="D235" s="451" t="s">
        <v>273</v>
      </c>
      <c r="E235" s="447"/>
      <c r="F235" s="448"/>
      <c r="G235" s="227"/>
      <c r="H235" s="683"/>
    </row>
    <row r="236" spans="1:8" ht="22.5">
      <c r="A236" s="666"/>
      <c r="B236" s="444"/>
      <c r="C236" s="445" t="s">
        <v>393</v>
      </c>
      <c r="D236" s="451" t="s">
        <v>274</v>
      </c>
      <c r="E236" s="447"/>
      <c r="F236" s="448"/>
      <c r="G236" s="227"/>
      <c r="H236" s="683"/>
    </row>
    <row r="237" spans="1:8" ht="22.5">
      <c r="A237" s="666"/>
      <c r="B237" s="444"/>
      <c r="C237" s="445" t="s">
        <v>394</v>
      </c>
      <c r="D237" s="451" t="s">
        <v>275</v>
      </c>
      <c r="E237" s="447"/>
      <c r="F237" s="448"/>
      <c r="G237" s="227"/>
      <c r="H237" s="683"/>
    </row>
    <row r="238" spans="1:8" ht="23.25" thickBot="1">
      <c r="A238" s="668"/>
      <c r="B238" s="453"/>
      <c r="C238" s="445" t="s">
        <v>395</v>
      </c>
      <c r="D238" s="454" t="s">
        <v>276</v>
      </c>
      <c r="E238" s="455"/>
      <c r="F238" s="456"/>
      <c r="G238" s="763"/>
      <c r="H238" s="797"/>
    </row>
    <row r="239" spans="1:8" ht="22.5" thickBot="1">
      <c r="A239" s="664" t="s">
        <v>322</v>
      </c>
      <c r="B239" s="433" t="s">
        <v>277</v>
      </c>
      <c r="C239" s="457" t="s">
        <v>350</v>
      </c>
      <c r="D239" s="458" t="s">
        <v>402</v>
      </c>
      <c r="E239" s="436">
        <f>E240+E241+E242+E243</f>
        <v>0</v>
      </c>
      <c r="F239" s="436"/>
      <c r="G239" s="436">
        <f>G240+G241+G242+G243</f>
        <v>0</v>
      </c>
      <c r="H239" s="437">
        <f>H240+H241+H242+H243</f>
        <v>0</v>
      </c>
    </row>
    <row r="240" spans="1:8" ht="12.75">
      <c r="A240" s="669"/>
      <c r="B240" s="460"/>
      <c r="C240" s="461" t="s">
        <v>398</v>
      </c>
      <c r="D240" s="462" t="s">
        <v>278</v>
      </c>
      <c r="E240" s="442"/>
      <c r="F240" s="464"/>
      <c r="G240" s="708"/>
      <c r="H240" s="798"/>
    </row>
    <row r="241" spans="1:8" ht="22.5">
      <c r="A241" s="666"/>
      <c r="B241" s="465"/>
      <c r="C241" s="466" t="s">
        <v>399</v>
      </c>
      <c r="D241" s="446" t="s">
        <v>279</v>
      </c>
      <c r="E241" s="447"/>
      <c r="F241" s="448"/>
      <c r="G241" s="227"/>
      <c r="H241" s="683"/>
    </row>
    <row r="242" spans="1:8" ht="22.5">
      <c r="A242" s="666"/>
      <c r="B242" s="465"/>
      <c r="C242" s="466" t="s">
        <v>400</v>
      </c>
      <c r="D242" s="446" t="s">
        <v>280</v>
      </c>
      <c r="E242" s="447"/>
      <c r="F242" s="448"/>
      <c r="G242" s="227"/>
      <c r="H242" s="683"/>
    </row>
    <row r="243" spans="1:8" ht="23.25" thickBot="1">
      <c r="A243" s="670"/>
      <c r="B243" s="468"/>
      <c r="C243" s="469" t="s">
        <v>401</v>
      </c>
      <c r="D243" s="470" t="s">
        <v>281</v>
      </c>
      <c r="E243" s="455"/>
      <c r="F243" s="456"/>
      <c r="G243" s="763"/>
      <c r="H243" s="797"/>
    </row>
    <row r="244" spans="1:8" ht="13.5" thickBot="1">
      <c r="A244" s="664" t="s">
        <v>325</v>
      </c>
      <c r="B244" s="433" t="s">
        <v>282</v>
      </c>
      <c r="C244" s="434" t="s">
        <v>396</v>
      </c>
      <c r="D244" s="472" t="s">
        <v>408</v>
      </c>
      <c r="E244" s="436">
        <f>E246+E247+E248+E249</f>
        <v>0</v>
      </c>
      <c r="F244" s="799"/>
      <c r="G244" s="800"/>
      <c r="H244" s="801"/>
    </row>
    <row r="245" spans="1:8" ht="22.5">
      <c r="A245" s="669"/>
      <c r="B245" s="460"/>
      <c r="C245" s="461" t="s">
        <v>403</v>
      </c>
      <c r="D245" s="462" t="s">
        <v>283</v>
      </c>
      <c r="E245" s="442"/>
      <c r="F245" s="464"/>
      <c r="G245" s="708"/>
      <c r="H245" s="798"/>
    </row>
    <row r="246" spans="1:8" ht="12.75">
      <c r="A246" s="666"/>
      <c r="B246" s="465"/>
      <c r="C246" s="466" t="s">
        <v>404</v>
      </c>
      <c r="D246" s="446" t="s">
        <v>284</v>
      </c>
      <c r="E246" s="447"/>
      <c r="F246" s="448"/>
      <c r="G246" s="227"/>
      <c r="H246" s="683"/>
    </row>
    <row r="247" spans="1:8" ht="22.5">
      <c r="A247" s="666"/>
      <c r="B247" s="465"/>
      <c r="C247" s="466" t="s">
        <v>405</v>
      </c>
      <c r="D247" s="446" t="s">
        <v>285</v>
      </c>
      <c r="E247" s="447"/>
      <c r="F247" s="448"/>
      <c r="G247" s="227"/>
      <c r="H247" s="683"/>
    </row>
    <row r="248" spans="1:8" ht="12.75">
      <c r="A248" s="666"/>
      <c r="B248" s="671"/>
      <c r="C248" s="672" t="s">
        <v>406</v>
      </c>
      <c r="D248" s="673" t="s">
        <v>286</v>
      </c>
      <c r="E248" s="455"/>
      <c r="F248" s="456"/>
      <c r="G248" s="227"/>
      <c r="H248" s="683"/>
    </row>
    <row r="249" spans="1:8" ht="13.5" thickBot="1">
      <c r="A249" s="668"/>
      <c r="B249" s="468"/>
      <c r="C249" s="802" t="s">
        <v>407</v>
      </c>
      <c r="D249" s="803" t="s">
        <v>287</v>
      </c>
      <c r="E249" s="674"/>
      <c r="F249" s="675"/>
      <c r="G249" s="763"/>
      <c r="H249" s="797"/>
    </row>
    <row r="250" spans="1:8" ht="13.5" thickBot="1">
      <c r="A250" s="664" t="s">
        <v>326</v>
      </c>
      <c r="B250" s="479" t="s">
        <v>288</v>
      </c>
      <c r="C250" s="480" t="s">
        <v>397</v>
      </c>
      <c r="D250" s="472" t="s">
        <v>421</v>
      </c>
      <c r="E250" s="436">
        <f>SUM(E251:E262)</f>
        <v>0</v>
      </c>
      <c r="F250" s="799">
        <f>SUM(F251:F262)</f>
        <v>5</v>
      </c>
      <c r="G250" s="799">
        <f>SUM(G251:G262)</f>
        <v>0</v>
      </c>
      <c r="H250" s="804">
        <f>SUM(H251:H262)</f>
        <v>5</v>
      </c>
    </row>
    <row r="251" spans="1:8" ht="12.75">
      <c r="A251" s="665"/>
      <c r="B251" s="481"/>
      <c r="C251" s="482" t="s">
        <v>409</v>
      </c>
      <c r="D251" s="462" t="s">
        <v>289</v>
      </c>
      <c r="E251" s="758"/>
      <c r="F251" s="484"/>
      <c r="G251" s="708"/>
      <c r="H251" s="798"/>
    </row>
    <row r="252" spans="1:8" ht="12.75">
      <c r="A252" s="666"/>
      <c r="B252" s="485"/>
      <c r="C252" s="486" t="s">
        <v>410</v>
      </c>
      <c r="D252" s="446" t="s">
        <v>290</v>
      </c>
      <c r="E252" s="487"/>
      <c r="F252" s="488"/>
      <c r="G252" s="227"/>
      <c r="H252" s="683"/>
    </row>
    <row r="253" spans="1:8" ht="12.75">
      <c r="A253" s="666"/>
      <c r="B253" s="485"/>
      <c r="C253" s="486" t="s">
        <v>411</v>
      </c>
      <c r="D253" s="446" t="s">
        <v>291</v>
      </c>
      <c r="E253" s="487"/>
      <c r="F253" s="488"/>
      <c r="G253" s="227"/>
      <c r="H253" s="683"/>
    </row>
    <row r="254" spans="1:8" ht="12.75">
      <c r="A254" s="666"/>
      <c r="B254" s="485"/>
      <c r="C254" s="486" t="s">
        <v>412</v>
      </c>
      <c r="D254" s="446" t="s">
        <v>292</v>
      </c>
      <c r="E254" s="487"/>
      <c r="F254" s="488"/>
      <c r="G254" s="227"/>
      <c r="H254" s="683"/>
    </row>
    <row r="255" spans="1:8" ht="12.75">
      <c r="A255" s="666"/>
      <c r="B255" s="485"/>
      <c r="C255" s="486" t="s">
        <v>413</v>
      </c>
      <c r="D255" s="446" t="s">
        <v>293</v>
      </c>
      <c r="E255" s="487"/>
      <c r="F255" s="488"/>
      <c r="G255" s="227"/>
      <c r="H255" s="683"/>
    </row>
    <row r="256" spans="1:8" ht="22.5">
      <c r="A256" s="666"/>
      <c r="B256" s="485"/>
      <c r="C256" s="486" t="s">
        <v>414</v>
      </c>
      <c r="D256" s="446" t="s">
        <v>294</v>
      </c>
      <c r="E256" s="487"/>
      <c r="F256" s="488"/>
      <c r="G256" s="227"/>
      <c r="H256" s="683"/>
    </row>
    <row r="257" spans="1:8" ht="22.5">
      <c r="A257" s="666"/>
      <c r="B257" s="485"/>
      <c r="C257" s="486" t="s">
        <v>415</v>
      </c>
      <c r="D257" s="446" t="s">
        <v>295</v>
      </c>
      <c r="E257" s="487"/>
      <c r="F257" s="488"/>
      <c r="G257" s="227"/>
      <c r="H257" s="683"/>
    </row>
    <row r="258" spans="1:8" ht="22.5">
      <c r="A258" s="666"/>
      <c r="B258" s="485"/>
      <c r="C258" s="486" t="s">
        <v>416</v>
      </c>
      <c r="D258" s="446" t="s">
        <v>296</v>
      </c>
      <c r="E258" s="487"/>
      <c r="F258" s="488"/>
      <c r="G258" s="227"/>
      <c r="H258" s="683"/>
    </row>
    <row r="259" spans="1:8" ht="22.5">
      <c r="A259" s="666"/>
      <c r="B259" s="485"/>
      <c r="C259" s="486" t="s">
        <v>417</v>
      </c>
      <c r="D259" s="446" t="s">
        <v>297</v>
      </c>
      <c r="E259" s="487"/>
      <c r="F259" s="488"/>
      <c r="G259" s="227"/>
      <c r="H259" s="683"/>
    </row>
    <row r="260" spans="1:8" ht="12.75">
      <c r="A260" s="666"/>
      <c r="B260" s="485"/>
      <c r="C260" s="486" t="s">
        <v>418</v>
      </c>
      <c r="D260" s="489" t="s">
        <v>298</v>
      </c>
      <c r="E260" s="487"/>
      <c r="F260" s="488">
        <v>5</v>
      </c>
      <c r="G260" s="227"/>
      <c r="H260" s="667">
        <f>F260+G260</f>
        <v>5</v>
      </c>
    </row>
    <row r="261" spans="1:8" ht="12.75">
      <c r="A261" s="666"/>
      <c r="B261" s="485"/>
      <c r="C261" s="486" t="s">
        <v>419</v>
      </c>
      <c r="D261" s="490" t="s">
        <v>299</v>
      </c>
      <c r="E261" s="487"/>
      <c r="F261" s="488"/>
      <c r="G261" s="227"/>
      <c r="H261" s="683"/>
    </row>
    <row r="262" spans="1:8" ht="13.5" thickBot="1">
      <c r="A262" s="668"/>
      <c r="B262" s="491"/>
      <c r="C262" s="492" t="s">
        <v>420</v>
      </c>
      <c r="D262" s="470" t="s">
        <v>300</v>
      </c>
      <c r="E262" s="689"/>
      <c r="F262" s="494"/>
      <c r="G262" s="763"/>
      <c r="H262" s="797"/>
    </row>
    <row r="263" spans="1:8" ht="13.5" thickBot="1">
      <c r="A263" s="664" t="s">
        <v>327</v>
      </c>
      <c r="B263" s="495" t="s">
        <v>301</v>
      </c>
      <c r="C263" s="496" t="s">
        <v>372</v>
      </c>
      <c r="D263" s="497" t="s">
        <v>427</v>
      </c>
      <c r="E263" s="779">
        <f>+E265+E266+E267</f>
        <v>0</v>
      </c>
      <c r="F263" s="805"/>
      <c r="G263" s="800"/>
      <c r="H263" s="801"/>
    </row>
    <row r="264" spans="1:8" ht="12.75">
      <c r="A264" s="665"/>
      <c r="B264" s="474"/>
      <c r="C264" s="461" t="s">
        <v>423</v>
      </c>
      <c r="D264" s="780" t="s">
        <v>302</v>
      </c>
      <c r="E264" s="442"/>
      <c r="F264" s="464"/>
      <c r="G264" s="708"/>
      <c r="H264" s="798"/>
    </row>
    <row r="265" spans="1:8" ht="12.75">
      <c r="A265" s="666"/>
      <c r="B265" s="684"/>
      <c r="C265" s="466" t="s">
        <v>424</v>
      </c>
      <c r="D265" s="781" t="s">
        <v>303</v>
      </c>
      <c r="E265" s="487"/>
      <c r="F265" s="488"/>
      <c r="G265" s="227"/>
      <c r="H265" s="683"/>
    </row>
    <row r="266" spans="1:8" ht="12.75">
      <c r="A266" s="666"/>
      <c r="B266" s="684"/>
      <c r="C266" s="466" t="s">
        <v>425</v>
      </c>
      <c r="D266" s="781" t="s">
        <v>304</v>
      </c>
      <c r="E266" s="686"/>
      <c r="F266" s="484"/>
      <c r="G266" s="227"/>
      <c r="H266" s="683"/>
    </row>
    <row r="267" spans="1:8" ht="13.5" thickBot="1">
      <c r="A267" s="668"/>
      <c r="B267" s="687"/>
      <c r="C267" s="469" t="s">
        <v>426</v>
      </c>
      <c r="D267" s="782" t="s">
        <v>305</v>
      </c>
      <c r="E267" s="689"/>
      <c r="F267" s="494"/>
      <c r="G267" s="763"/>
      <c r="H267" s="797"/>
    </row>
    <row r="268" spans="1:8" ht="13.5" thickBot="1">
      <c r="A268" s="664" t="s">
        <v>328</v>
      </c>
      <c r="B268" s="690" t="s">
        <v>306</v>
      </c>
      <c r="C268" s="783" t="s">
        <v>428</v>
      </c>
      <c r="D268" s="784" t="s">
        <v>431</v>
      </c>
      <c r="E268" s="693">
        <f>E269+E270</f>
        <v>0</v>
      </c>
      <c r="F268" s="806"/>
      <c r="G268" s="800">
        <v>1</v>
      </c>
      <c r="H268" s="801">
        <v>1</v>
      </c>
    </row>
    <row r="269" spans="1:8" ht="22.5">
      <c r="A269" s="665"/>
      <c r="B269" s="695"/>
      <c r="C269" s="807" t="s">
        <v>429</v>
      </c>
      <c r="D269" s="789" t="s">
        <v>308</v>
      </c>
      <c r="E269" s="698"/>
      <c r="F269" s="808"/>
      <c r="G269" s="708"/>
      <c r="H269" s="798"/>
    </row>
    <row r="270" spans="1:8" ht="13.5" thickBot="1">
      <c r="A270" s="668"/>
      <c r="B270" s="703"/>
      <c r="C270" s="809" t="s">
        <v>430</v>
      </c>
      <c r="D270" s="810" t="s">
        <v>309</v>
      </c>
      <c r="E270" s="706"/>
      <c r="F270" s="707"/>
      <c r="G270" s="763">
        <v>1</v>
      </c>
      <c r="H270" s="797">
        <v>1</v>
      </c>
    </row>
    <row r="271" spans="1:8" ht="13.5" thickBot="1">
      <c r="A271" s="664" t="s">
        <v>329</v>
      </c>
      <c r="B271" s="690" t="s">
        <v>310</v>
      </c>
      <c r="C271" s="788" t="s">
        <v>384</v>
      </c>
      <c r="D271" s="784" t="s">
        <v>434</v>
      </c>
      <c r="E271" s="693">
        <f>E272+E273</f>
        <v>0</v>
      </c>
      <c r="F271" s="806"/>
      <c r="G271" s="800"/>
      <c r="H271" s="801"/>
    </row>
    <row r="272" spans="1:8" ht="22.5">
      <c r="A272" s="669"/>
      <c r="B272" s="695"/>
      <c r="C272" s="696" t="s">
        <v>432</v>
      </c>
      <c r="D272" s="789" t="s">
        <v>311</v>
      </c>
      <c r="E272" s="758"/>
      <c r="F272" s="484"/>
      <c r="G272" s="708"/>
      <c r="H272" s="798"/>
    </row>
    <row r="273" spans="1:8" ht="13.5" thickBot="1">
      <c r="A273" s="702"/>
      <c r="B273" s="703"/>
      <c r="C273" s="790" t="s">
        <v>433</v>
      </c>
      <c r="D273" s="29" t="s">
        <v>312</v>
      </c>
      <c r="E273" s="706"/>
      <c r="F273" s="707"/>
      <c r="G273" s="763"/>
      <c r="H273" s="797"/>
    </row>
    <row r="274" spans="1:8" ht="13.5" thickBot="1">
      <c r="A274" s="664"/>
      <c r="B274" s="433"/>
      <c r="C274" s="791"/>
      <c r="D274" s="497" t="s">
        <v>313</v>
      </c>
      <c r="E274" s="712">
        <f>E227+E239+E244+E250+E263+E268+E271</f>
        <v>0</v>
      </c>
      <c r="F274" s="712">
        <f>F227+F239+F244+F250+F263+F268+F271</f>
        <v>5</v>
      </c>
      <c r="G274" s="712">
        <f>G227+G239+G244+G250+G263+G268+G271</f>
        <v>1</v>
      </c>
      <c r="H274" s="713">
        <f>H227+H239+H244+H250+H263+H268+H271</f>
        <v>6</v>
      </c>
    </row>
    <row r="275" spans="1:8" ht="13.5" thickBot="1">
      <c r="A275" s="664" t="s">
        <v>330</v>
      </c>
      <c r="B275" s="690" t="s">
        <v>314</v>
      </c>
      <c r="C275" s="690" t="s">
        <v>435</v>
      </c>
      <c r="D275" s="537" t="s">
        <v>442</v>
      </c>
      <c r="E275" s="436">
        <f>+E276+E277+E278+E279+E280+E281</f>
        <v>85203</v>
      </c>
      <c r="F275" s="436">
        <f>+F276+F277+F278+F279+F280+F281</f>
        <v>87368</v>
      </c>
      <c r="G275" s="436">
        <f>+G276+G277+G278+G279+G280+G281</f>
        <v>1331</v>
      </c>
      <c r="H275" s="437">
        <f>+H276+H277+H278+H279+H280+H281</f>
        <v>88699</v>
      </c>
    </row>
    <row r="276" spans="1:8" ht="12.75">
      <c r="A276" s="665"/>
      <c r="B276" s="716"/>
      <c r="C276" s="721" t="s">
        <v>436</v>
      </c>
      <c r="D276" s="441" t="s">
        <v>315</v>
      </c>
      <c r="E276" s="484"/>
      <c r="F276" s="484"/>
      <c r="G276" s="708"/>
      <c r="H276" s="811">
        <f>E276+G276</f>
        <v>0</v>
      </c>
    </row>
    <row r="277" spans="1:8" ht="22.5">
      <c r="A277" s="666"/>
      <c r="B277" s="684"/>
      <c r="C277" s="721" t="s">
        <v>437</v>
      </c>
      <c r="D277" s="451" t="s">
        <v>316</v>
      </c>
      <c r="E277" s="487"/>
      <c r="F277" s="488"/>
      <c r="G277" s="227"/>
      <c r="H277" s="667">
        <f>E277+G277</f>
        <v>0</v>
      </c>
    </row>
    <row r="278" spans="1:8" ht="12.75">
      <c r="A278" s="666"/>
      <c r="B278" s="684"/>
      <c r="C278" s="721" t="s">
        <v>438</v>
      </c>
      <c r="D278" s="451" t="s">
        <v>317</v>
      </c>
      <c r="E278" s="487"/>
      <c r="F278" s="488"/>
      <c r="G278" s="227"/>
      <c r="H278" s="667">
        <f>E278+G278</f>
        <v>0</v>
      </c>
    </row>
    <row r="279" spans="1:8" ht="12.75">
      <c r="A279" s="666"/>
      <c r="B279" s="684"/>
      <c r="C279" s="721" t="s">
        <v>439</v>
      </c>
      <c r="D279" s="227" t="s">
        <v>318</v>
      </c>
      <c r="E279" s="487"/>
      <c r="F279" s="488"/>
      <c r="G279" s="227"/>
      <c r="H279" s="667">
        <f>E279+G279</f>
        <v>0</v>
      </c>
    </row>
    <row r="280" spans="1:8" ht="12.75">
      <c r="A280" s="666"/>
      <c r="B280" s="684"/>
      <c r="C280" s="721" t="s">
        <v>440</v>
      </c>
      <c r="D280" s="451" t="s">
        <v>319</v>
      </c>
      <c r="E280" s="487"/>
      <c r="F280" s="488">
        <v>508</v>
      </c>
      <c r="G280" s="227"/>
      <c r="H280" s="667">
        <f>F280+G280</f>
        <v>508</v>
      </c>
    </row>
    <row r="281" spans="1:8" ht="13.5" thickBot="1">
      <c r="A281" s="668"/>
      <c r="B281" s="687"/>
      <c r="C281" s="721" t="s">
        <v>441</v>
      </c>
      <c r="D281" s="454" t="s">
        <v>320</v>
      </c>
      <c r="E281" s="493">
        <v>85203</v>
      </c>
      <c r="F281" s="494">
        <v>86860</v>
      </c>
      <c r="G281" s="227">
        <f>130+1201</f>
        <v>1331</v>
      </c>
      <c r="H281" s="667">
        <f>F281+G281</f>
        <v>88191</v>
      </c>
    </row>
    <row r="282" spans="1:8" ht="13.5" thickBot="1">
      <c r="A282" s="812" t="s">
        <v>943</v>
      </c>
      <c r="B282" s="552"/>
      <c r="C282" s="553" t="s">
        <v>443</v>
      </c>
      <c r="D282" s="497" t="s">
        <v>331</v>
      </c>
      <c r="E282" s="436">
        <f>+E274+E275</f>
        <v>85203</v>
      </c>
      <c r="F282" s="436">
        <f>+F274+F275</f>
        <v>87373</v>
      </c>
      <c r="G282" s="436">
        <f>+G274+G275</f>
        <v>1332</v>
      </c>
      <c r="H282" s="437">
        <f>+H274+H275</f>
        <v>88705</v>
      </c>
    </row>
    <row r="283" spans="1:8" ht="12.75">
      <c r="A283" s="27"/>
      <c r="B283" s="722"/>
      <c r="C283" s="723"/>
      <c r="D283" s="27"/>
      <c r="E283" s="27"/>
      <c r="F283" s="27"/>
      <c r="G283" s="724"/>
      <c r="H283" s="724"/>
    </row>
    <row r="284" spans="1:8" ht="12" thickBot="1">
      <c r="A284" s="725"/>
      <c r="B284" s="725"/>
      <c r="C284" s="726"/>
      <c r="D284" s="725" t="s">
        <v>478</v>
      </c>
      <c r="E284" s="727"/>
      <c r="F284" s="813"/>
      <c r="G284" s="814"/>
      <c r="H284" s="69"/>
    </row>
    <row r="285" spans="1:8" ht="11.25" thickBot="1">
      <c r="A285" s="730"/>
      <c r="B285" s="730"/>
      <c r="C285" s="731"/>
      <c r="D285" s="732" t="s">
        <v>449</v>
      </c>
      <c r="E285" s="436">
        <f>E286+E287+E288+E289+E290</f>
        <v>84181</v>
      </c>
      <c r="F285" s="436">
        <f>F286+F287+F288+F289+F290</f>
        <v>85851</v>
      </c>
      <c r="G285" s="436">
        <f>G286+G287+G288+G289+G290</f>
        <v>1508</v>
      </c>
      <c r="H285" s="437">
        <f>H286+H287+H288+H289+H290</f>
        <v>87359</v>
      </c>
    </row>
    <row r="286" spans="1:8" ht="11.25">
      <c r="A286" s="733" t="s">
        <v>324</v>
      </c>
      <c r="B286" s="734" t="s">
        <v>333</v>
      </c>
      <c r="C286" s="734" t="s">
        <v>390</v>
      </c>
      <c r="D286" s="735" t="s">
        <v>334</v>
      </c>
      <c r="E286" s="736">
        <v>62394</v>
      </c>
      <c r="F286" s="737">
        <v>63487</v>
      </c>
      <c r="G286" s="227">
        <f>102-454+163</f>
        <v>-189</v>
      </c>
      <c r="H286" s="667">
        <f>F286+G286</f>
        <v>63298</v>
      </c>
    </row>
    <row r="287" spans="1:8" ht="21">
      <c r="A287" s="73" t="s">
        <v>322</v>
      </c>
      <c r="B287" s="738" t="s">
        <v>335</v>
      </c>
      <c r="C287" s="734" t="s">
        <v>350</v>
      </c>
      <c r="D287" s="739" t="s">
        <v>336</v>
      </c>
      <c r="E287" s="740">
        <v>15361</v>
      </c>
      <c r="F287" s="741">
        <v>14459</v>
      </c>
      <c r="G287" s="227">
        <f>28+1186+454+137-236</f>
        <v>1569</v>
      </c>
      <c r="H287" s="667">
        <f>F287+G287</f>
        <v>16028</v>
      </c>
    </row>
    <row r="288" spans="1:8" ht="11.25">
      <c r="A288" s="73" t="s">
        <v>325</v>
      </c>
      <c r="B288" s="738" t="s">
        <v>337</v>
      </c>
      <c r="C288" s="734" t="s">
        <v>396</v>
      </c>
      <c r="D288" s="739" t="s">
        <v>338</v>
      </c>
      <c r="E288" s="740">
        <v>6426</v>
      </c>
      <c r="F288" s="741">
        <v>6679</v>
      </c>
      <c r="G288" s="227">
        <f>15+19+20+1</f>
        <v>55</v>
      </c>
      <c r="H288" s="667">
        <f>F288+G288</f>
        <v>6734</v>
      </c>
    </row>
    <row r="289" spans="1:8" ht="11.25">
      <c r="A289" s="73" t="s">
        <v>326</v>
      </c>
      <c r="B289" s="738" t="s">
        <v>339</v>
      </c>
      <c r="C289" s="734" t="s">
        <v>397</v>
      </c>
      <c r="D289" s="739" t="s">
        <v>340</v>
      </c>
      <c r="E289" s="740"/>
      <c r="F289" s="741"/>
      <c r="G289" s="227"/>
      <c r="H289" s="667">
        <f>E289+G289</f>
        <v>0</v>
      </c>
    </row>
    <row r="290" spans="1:8" ht="10.5">
      <c r="A290" s="73" t="s">
        <v>327</v>
      </c>
      <c r="B290" s="738" t="s">
        <v>341</v>
      </c>
      <c r="C290" s="734" t="s">
        <v>372</v>
      </c>
      <c r="D290" s="742" t="s">
        <v>342</v>
      </c>
      <c r="E290" s="743">
        <f>SUM(E291:E297)</f>
        <v>0</v>
      </c>
      <c r="F290" s="743">
        <f>SUM(F291:F297)</f>
        <v>1226</v>
      </c>
      <c r="G290" s="743">
        <f>SUM(G291:G297)</f>
        <v>73</v>
      </c>
      <c r="H290" s="744">
        <f>SUM(H291:H297)</f>
        <v>1299</v>
      </c>
    </row>
    <row r="291" spans="1:8" ht="11.25">
      <c r="A291" s="73"/>
      <c r="B291" s="745"/>
      <c r="C291" s="746" t="s">
        <v>423</v>
      </c>
      <c r="D291" s="446" t="s">
        <v>343</v>
      </c>
      <c r="E291" s="487"/>
      <c r="F291" s="488">
        <v>1226</v>
      </c>
      <c r="G291" s="227">
        <v>73</v>
      </c>
      <c r="H291" s="667">
        <f>F291+G291</f>
        <v>1299</v>
      </c>
    </row>
    <row r="292" spans="1:8" ht="22.5">
      <c r="A292" s="73"/>
      <c r="B292" s="745"/>
      <c r="C292" s="746" t="s">
        <v>424</v>
      </c>
      <c r="D292" s="446" t="s">
        <v>344</v>
      </c>
      <c r="E292" s="487"/>
      <c r="F292" s="488"/>
      <c r="G292" s="227"/>
      <c r="H292" s="683"/>
    </row>
    <row r="293" spans="1:8" ht="22.5">
      <c r="A293" s="747"/>
      <c r="B293" s="745"/>
      <c r="C293" s="746" t="s">
        <v>425</v>
      </c>
      <c r="D293" s="446" t="s">
        <v>345</v>
      </c>
      <c r="E293" s="487"/>
      <c r="F293" s="488"/>
      <c r="G293" s="227"/>
      <c r="H293" s="683"/>
    </row>
    <row r="294" spans="1:8" ht="22.5">
      <c r="A294" s="748"/>
      <c r="B294" s="745"/>
      <c r="C294" s="746" t="s">
        <v>426</v>
      </c>
      <c r="D294" s="446" t="s">
        <v>346</v>
      </c>
      <c r="E294" s="487"/>
      <c r="F294" s="488">
        <v>0</v>
      </c>
      <c r="G294" s="227"/>
      <c r="H294" s="667">
        <f>F294+G294</f>
        <v>0</v>
      </c>
    </row>
    <row r="295" spans="1:8" ht="22.5">
      <c r="A295" s="73"/>
      <c r="B295" s="745"/>
      <c r="C295" s="746" t="s">
        <v>450</v>
      </c>
      <c r="D295" s="446" t="s">
        <v>347</v>
      </c>
      <c r="E295" s="487"/>
      <c r="F295" s="488"/>
      <c r="G295" s="227"/>
      <c r="H295" s="683"/>
    </row>
    <row r="296" spans="1:8" ht="22.5">
      <c r="A296" s="73"/>
      <c r="B296" s="745"/>
      <c r="C296" s="746" t="s">
        <v>451</v>
      </c>
      <c r="D296" s="446" t="s">
        <v>348</v>
      </c>
      <c r="E296" s="487"/>
      <c r="F296" s="488"/>
      <c r="G296" s="227"/>
      <c r="H296" s="683"/>
    </row>
    <row r="297" spans="1:8" ht="12" thickBot="1">
      <c r="A297" s="761"/>
      <c r="B297" s="750"/>
      <c r="C297" s="746" t="s">
        <v>452</v>
      </c>
      <c r="D297" s="673" t="s">
        <v>349</v>
      </c>
      <c r="E297" s="689"/>
      <c r="F297" s="494"/>
      <c r="G297" s="227"/>
      <c r="H297" s="683"/>
    </row>
    <row r="298" spans="1:8" ht="11.25" thickBot="1">
      <c r="A298" s="730" t="s">
        <v>328</v>
      </c>
      <c r="B298" s="751"/>
      <c r="C298" s="752" t="s">
        <v>375</v>
      </c>
      <c r="D298" s="751" t="s">
        <v>1026</v>
      </c>
      <c r="E298" s="436">
        <f>E299+E307</f>
        <v>1022</v>
      </c>
      <c r="F298" s="436">
        <f>F299+F307</f>
        <v>1522</v>
      </c>
      <c r="G298" s="436">
        <f>G299+G307</f>
        <v>-176</v>
      </c>
      <c r="H298" s="437">
        <f>H299+H307</f>
        <v>1346</v>
      </c>
    </row>
    <row r="299" spans="1:8" ht="11.25">
      <c r="A299" s="753"/>
      <c r="B299" s="754" t="s">
        <v>351</v>
      </c>
      <c r="C299" s="755" t="s">
        <v>429</v>
      </c>
      <c r="D299" s="596" t="s">
        <v>352</v>
      </c>
      <c r="E299" s="686">
        <f>E300+E301+E302+E303+E304+E305+E306</f>
        <v>1022</v>
      </c>
      <c r="F299" s="686">
        <f>F300+F301+F302+F303+F304+F305+F306</f>
        <v>1022</v>
      </c>
      <c r="G299" s="686">
        <f>G300+G301+G302+G303+G304+G305+G306</f>
        <v>-156</v>
      </c>
      <c r="H299" s="756">
        <f>H300+H301+H302+H303+H304+H305+H306</f>
        <v>866</v>
      </c>
    </row>
    <row r="300" spans="1:8" ht="11.25">
      <c r="A300" s="733"/>
      <c r="B300" s="755"/>
      <c r="C300" s="757" t="s">
        <v>453</v>
      </c>
      <c r="D300" s="446" t="s">
        <v>353</v>
      </c>
      <c r="E300" s="758"/>
      <c r="F300" s="484"/>
      <c r="G300" s="227"/>
      <c r="H300" s="667">
        <f>F300+G300</f>
        <v>0</v>
      </c>
    </row>
    <row r="301" spans="1:8" ht="11.25">
      <c r="A301" s="733"/>
      <c r="B301" s="755"/>
      <c r="C301" s="757" t="s">
        <v>454</v>
      </c>
      <c r="D301" s="490" t="s">
        <v>354</v>
      </c>
      <c r="E301" s="758">
        <v>240</v>
      </c>
      <c r="F301" s="484">
        <v>240</v>
      </c>
      <c r="G301" s="227"/>
      <c r="H301" s="667">
        <f aca="true" t="shared" si="11" ref="H301:H306">F301+G301</f>
        <v>240</v>
      </c>
    </row>
    <row r="302" spans="1:8" ht="11.25">
      <c r="A302" s="733"/>
      <c r="B302" s="755"/>
      <c r="C302" s="757" t="s">
        <v>455</v>
      </c>
      <c r="D302" s="446" t="s">
        <v>355</v>
      </c>
      <c r="E302" s="758">
        <v>565</v>
      </c>
      <c r="F302" s="484">
        <v>565</v>
      </c>
      <c r="G302" s="227">
        <f>-1</f>
        <v>-1</v>
      </c>
      <c r="H302" s="667">
        <f t="shared" si="11"/>
        <v>564</v>
      </c>
    </row>
    <row r="303" spans="1:8" ht="11.25">
      <c r="A303" s="747"/>
      <c r="B303" s="755"/>
      <c r="C303" s="757" t="s">
        <v>456</v>
      </c>
      <c r="D303" s="446" t="s">
        <v>356</v>
      </c>
      <c r="E303" s="758"/>
      <c r="F303" s="484"/>
      <c r="G303" s="227"/>
      <c r="H303" s="667">
        <f t="shared" si="11"/>
        <v>0</v>
      </c>
    </row>
    <row r="304" spans="1:8" ht="11.25">
      <c r="A304" s="748"/>
      <c r="B304" s="755"/>
      <c r="C304" s="757" t="s">
        <v>457</v>
      </c>
      <c r="D304" s="446" t="s">
        <v>357</v>
      </c>
      <c r="E304" s="758"/>
      <c r="F304" s="484"/>
      <c r="G304" s="227"/>
      <c r="H304" s="667">
        <f t="shared" si="11"/>
        <v>0</v>
      </c>
    </row>
    <row r="305" spans="1:8" ht="22.5">
      <c r="A305" s="748"/>
      <c r="B305" s="755"/>
      <c r="C305" s="757" t="s">
        <v>458</v>
      </c>
      <c r="D305" s="446" t="s">
        <v>387</v>
      </c>
      <c r="E305" s="758"/>
      <c r="F305" s="484"/>
      <c r="G305" s="227"/>
      <c r="H305" s="667">
        <f t="shared" si="11"/>
        <v>0</v>
      </c>
    </row>
    <row r="306" spans="1:8" ht="22.5">
      <c r="A306" s="747"/>
      <c r="B306" s="755"/>
      <c r="C306" s="757" t="s">
        <v>459</v>
      </c>
      <c r="D306" s="446" t="s">
        <v>358</v>
      </c>
      <c r="E306" s="758">
        <v>217</v>
      </c>
      <c r="F306" s="484">
        <v>217</v>
      </c>
      <c r="G306" s="227">
        <f>-155</f>
        <v>-155</v>
      </c>
      <c r="H306" s="667">
        <f t="shared" si="11"/>
        <v>62</v>
      </c>
    </row>
    <row r="307" spans="1:8" ht="10.5">
      <c r="A307" s="73" t="s">
        <v>329</v>
      </c>
      <c r="B307" s="738" t="s">
        <v>359</v>
      </c>
      <c r="C307" s="738" t="s">
        <v>384</v>
      </c>
      <c r="D307" s="604" t="s">
        <v>360</v>
      </c>
      <c r="E307" s="740">
        <f>E308+E309+E310+E311</f>
        <v>0</v>
      </c>
      <c r="F307" s="740">
        <f>F308+F309+F310+F311</f>
        <v>500</v>
      </c>
      <c r="G307" s="740">
        <f>G308+G309+G310+G311</f>
        <v>-20</v>
      </c>
      <c r="H307" s="740">
        <f>H308+H309+H310+H311</f>
        <v>480</v>
      </c>
    </row>
    <row r="308" spans="1:8" ht="11.25">
      <c r="A308" s="73"/>
      <c r="B308" s="745"/>
      <c r="C308" s="746" t="s">
        <v>432</v>
      </c>
      <c r="D308" s="446" t="s">
        <v>361</v>
      </c>
      <c r="E308" s="487"/>
      <c r="F308" s="488">
        <v>500</v>
      </c>
      <c r="G308" s="227">
        <f>-4-16</f>
        <v>-20</v>
      </c>
      <c r="H308" s="667">
        <f>F308+G308</f>
        <v>480</v>
      </c>
    </row>
    <row r="309" spans="1:8" ht="11.25">
      <c r="A309" s="73"/>
      <c r="B309" s="745"/>
      <c r="C309" s="746" t="s">
        <v>433</v>
      </c>
      <c r="D309" s="446" t="s">
        <v>362</v>
      </c>
      <c r="E309" s="487"/>
      <c r="F309" s="488"/>
      <c r="G309" s="227"/>
      <c r="H309" s="683"/>
    </row>
    <row r="310" spans="1:8" ht="11.25">
      <c r="A310" s="73"/>
      <c r="B310" s="745"/>
      <c r="C310" s="746" t="s">
        <v>460</v>
      </c>
      <c r="D310" s="446" t="s">
        <v>363</v>
      </c>
      <c r="E310" s="487"/>
      <c r="F310" s="488"/>
      <c r="G310" s="227"/>
      <c r="H310" s="683"/>
    </row>
    <row r="311" spans="1:8" ht="22.5">
      <c r="A311" s="73"/>
      <c r="B311" s="745"/>
      <c r="C311" s="746" t="s">
        <v>461</v>
      </c>
      <c r="D311" s="446" t="s">
        <v>364</v>
      </c>
      <c r="E311" s="487"/>
      <c r="F311" s="488"/>
      <c r="G311" s="227"/>
      <c r="H311" s="683"/>
    </row>
    <row r="312" spans="1:8" ht="11.25">
      <c r="A312" s="73" t="s">
        <v>330</v>
      </c>
      <c r="B312" s="745" t="s">
        <v>365</v>
      </c>
      <c r="C312" s="745" t="s">
        <v>462</v>
      </c>
      <c r="D312" s="604" t="s">
        <v>366</v>
      </c>
      <c r="E312" s="487">
        <f>SUM(E313:E317)</f>
        <v>0</v>
      </c>
      <c r="F312" s="488"/>
      <c r="G312" s="227"/>
      <c r="H312" s="683"/>
    </row>
    <row r="313" spans="1:8" ht="22.5">
      <c r="A313" s="73"/>
      <c r="B313" s="745"/>
      <c r="C313" s="746" t="s">
        <v>463</v>
      </c>
      <c r="D313" s="446" t="s">
        <v>367</v>
      </c>
      <c r="E313" s="487"/>
      <c r="F313" s="488"/>
      <c r="G313" s="227"/>
      <c r="H313" s="683"/>
    </row>
    <row r="314" spans="1:8" ht="22.5">
      <c r="A314" s="73"/>
      <c r="B314" s="745"/>
      <c r="C314" s="746" t="s">
        <v>464</v>
      </c>
      <c r="D314" s="446" t="s">
        <v>368</v>
      </c>
      <c r="E314" s="487"/>
      <c r="F314" s="488"/>
      <c r="G314" s="227"/>
      <c r="H314" s="683"/>
    </row>
    <row r="315" spans="1:8" ht="22.5">
      <c r="A315" s="73"/>
      <c r="B315" s="745"/>
      <c r="C315" s="746" t="s">
        <v>465</v>
      </c>
      <c r="D315" s="446" t="s">
        <v>369</v>
      </c>
      <c r="E315" s="487"/>
      <c r="F315" s="488"/>
      <c r="G315" s="227"/>
      <c r="H315" s="683"/>
    </row>
    <row r="316" spans="1:8" ht="11.25">
      <c r="A316" s="73"/>
      <c r="B316" s="745"/>
      <c r="C316" s="746" t="s">
        <v>466</v>
      </c>
      <c r="D316" s="446" t="s">
        <v>370</v>
      </c>
      <c r="E316" s="487"/>
      <c r="F316" s="488"/>
      <c r="G316" s="227"/>
      <c r="H316" s="683"/>
    </row>
    <row r="317" spans="1:8" ht="22.5">
      <c r="A317" s="73"/>
      <c r="B317" s="745"/>
      <c r="C317" s="746" t="s">
        <v>467</v>
      </c>
      <c r="D317" s="446" t="s">
        <v>371</v>
      </c>
      <c r="E317" s="487"/>
      <c r="F317" s="488"/>
      <c r="G317" s="227"/>
      <c r="H317" s="683"/>
    </row>
    <row r="318" spans="1:8" ht="11.25">
      <c r="A318" s="749"/>
      <c r="B318" s="739"/>
      <c r="C318" s="738"/>
      <c r="D318" s="604" t="s">
        <v>447</v>
      </c>
      <c r="E318" s="767">
        <f>E286+E287+E288+E289+E290+E298+E307+E312</f>
        <v>85203</v>
      </c>
      <c r="F318" s="767">
        <f>F286+F287+F288+F289+F290+F298</f>
        <v>87373</v>
      </c>
      <c r="G318" s="767">
        <f>G286+G287+G288+G289+G290+G298+G312</f>
        <v>1332</v>
      </c>
      <c r="H318" s="768">
        <f>H286+H287+H288+H289+H290+H298+H312</f>
        <v>88705</v>
      </c>
    </row>
    <row r="319" spans="1:8" ht="11.25">
      <c r="A319" s="749" t="s">
        <v>468</v>
      </c>
      <c r="B319" s="765" t="s">
        <v>373</v>
      </c>
      <c r="C319" s="766" t="s">
        <v>443</v>
      </c>
      <c r="D319" s="616" t="s">
        <v>374</v>
      </c>
      <c r="E319" s="792"/>
      <c r="F319" s="793"/>
      <c r="G319" s="227"/>
      <c r="H319" s="683"/>
    </row>
    <row r="320" spans="1:8" ht="22.5">
      <c r="A320" s="73"/>
      <c r="B320" s="739"/>
      <c r="C320" s="746" t="s">
        <v>469</v>
      </c>
      <c r="D320" s="446" t="s">
        <v>389</v>
      </c>
      <c r="E320" s="447">
        <f>E321+E322+E323</f>
        <v>0</v>
      </c>
      <c r="F320" s="448"/>
      <c r="G320" s="227"/>
      <c r="H320" s="683"/>
    </row>
    <row r="321" spans="1:8" ht="11.25">
      <c r="A321" s="73"/>
      <c r="B321" s="739"/>
      <c r="C321" s="746" t="s">
        <v>470</v>
      </c>
      <c r="D321" s="446" t="s">
        <v>376</v>
      </c>
      <c r="E321" s="447"/>
      <c r="F321" s="448"/>
      <c r="G321" s="227"/>
      <c r="H321" s="683"/>
    </row>
    <row r="322" spans="1:8" ht="22.5">
      <c r="A322" s="73"/>
      <c r="B322" s="739"/>
      <c r="C322" s="746" t="s">
        <v>471</v>
      </c>
      <c r="D322" s="446" t="s">
        <v>377</v>
      </c>
      <c r="E322" s="447"/>
      <c r="F322" s="448"/>
      <c r="G322" s="227"/>
      <c r="H322" s="683"/>
    </row>
    <row r="323" spans="1:8" ht="11.25">
      <c r="A323" s="73"/>
      <c r="B323" s="739"/>
      <c r="C323" s="746" t="s">
        <v>472</v>
      </c>
      <c r="D323" s="490" t="s">
        <v>378</v>
      </c>
      <c r="E323" s="447"/>
      <c r="F323" s="448"/>
      <c r="G323" s="227"/>
      <c r="H323" s="683"/>
    </row>
    <row r="324" spans="1:8" ht="11.25">
      <c r="A324" s="73"/>
      <c r="B324" s="739"/>
      <c r="C324" s="746" t="s">
        <v>473</v>
      </c>
      <c r="D324" s="446" t="s">
        <v>379</v>
      </c>
      <c r="E324" s="447"/>
      <c r="F324" s="448"/>
      <c r="G324" s="227"/>
      <c r="H324" s="683"/>
    </row>
    <row r="325" spans="1:8" ht="11.25">
      <c r="A325" s="73"/>
      <c r="B325" s="739"/>
      <c r="C325" s="746" t="s">
        <v>474</v>
      </c>
      <c r="D325" s="446" t="s">
        <v>380</v>
      </c>
      <c r="E325" s="447"/>
      <c r="F325" s="448"/>
      <c r="G325" s="227"/>
      <c r="H325" s="683"/>
    </row>
    <row r="326" spans="1:8" ht="22.5">
      <c r="A326" s="227"/>
      <c r="B326" s="739"/>
      <c r="C326" s="746" t="s">
        <v>475</v>
      </c>
      <c r="D326" s="446" t="s">
        <v>381</v>
      </c>
      <c r="E326" s="447"/>
      <c r="F326" s="448"/>
      <c r="G326" s="227"/>
      <c r="H326" s="683"/>
    </row>
    <row r="327" spans="1:8" ht="11.25">
      <c r="A327" s="73"/>
      <c r="B327" s="739"/>
      <c r="C327" s="746" t="s">
        <v>476</v>
      </c>
      <c r="D327" s="446" t="s">
        <v>382</v>
      </c>
      <c r="E327" s="447"/>
      <c r="F327" s="448"/>
      <c r="G327" s="227"/>
      <c r="H327" s="683"/>
    </row>
    <row r="328" spans="1:8" ht="22.5">
      <c r="A328" s="73"/>
      <c r="B328" s="739"/>
      <c r="C328" s="746" t="s">
        <v>477</v>
      </c>
      <c r="D328" s="446" t="s">
        <v>383</v>
      </c>
      <c r="E328" s="447"/>
      <c r="F328" s="448"/>
      <c r="G328" s="227"/>
      <c r="H328" s="683"/>
    </row>
    <row r="329" spans="1:8" ht="12" thickBot="1">
      <c r="A329" s="73" t="s">
        <v>944</v>
      </c>
      <c r="B329" s="769"/>
      <c r="C329" s="770" t="s">
        <v>569</v>
      </c>
      <c r="D329" s="604" t="s">
        <v>448</v>
      </c>
      <c r="E329" s="447">
        <f>E318+E327+E328</f>
        <v>85203</v>
      </c>
      <c r="F329" s="447">
        <f>F318+F327+F328</f>
        <v>87373</v>
      </c>
      <c r="G329" s="447">
        <f>G318+G327+G328</f>
        <v>1332</v>
      </c>
      <c r="H329" s="771">
        <f>H318+H327+H328</f>
        <v>88705</v>
      </c>
    </row>
    <row r="330" spans="1:8" ht="12" thickBot="1">
      <c r="A330" s="772" t="s">
        <v>385</v>
      </c>
      <c r="B330" s="773"/>
      <c r="C330" s="774"/>
      <c r="D330" s="775"/>
      <c r="E330" s="815">
        <v>22</v>
      </c>
      <c r="F330" s="815">
        <v>22</v>
      </c>
      <c r="G330" s="815"/>
      <c r="H330" s="816">
        <v>22</v>
      </c>
    </row>
    <row r="331" spans="1:8" ht="11.25" thickBot="1">
      <c r="A331" s="978" t="s">
        <v>981</v>
      </c>
      <c r="B331" s="979"/>
      <c r="C331" s="979"/>
      <c r="D331" s="980"/>
      <c r="E331" s="815">
        <v>24</v>
      </c>
      <c r="F331" s="815">
        <v>24</v>
      </c>
      <c r="G331" s="815"/>
      <c r="H331" s="816">
        <v>24</v>
      </c>
    </row>
    <row r="332" spans="1:8" ht="12" thickBot="1">
      <c r="A332" s="772" t="s">
        <v>386</v>
      </c>
      <c r="B332" s="773"/>
      <c r="C332" s="774"/>
      <c r="D332" s="775"/>
      <c r="E332" s="776">
        <v>0</v>
      </c>
      <c r="F332" s="776"/>
      <c r="G332" s="776"/>
      <c r="H332" s="777">
        <v>0</v>
      </c>
    </row>
    <row r="333" spans="1:8" ht="10.5">
      <c r="A333" s="351"/>
      <c r="B333" s="394"/>
      <c r="C333" s="412"/>
      <c r="D333" s="351"/>
      <c r="E333" s="351"/>
      <c r="F333" s="351"/>
      <c r="G333" s="421"/>
      <c r="H333" s="421"/>
    </row>
    <row r="334" spans="1:8" ht="10.5">
      <c r="A334" s="972" t="s">
        <v>263</v>
      </c>
      <c r="B334" s="972"/>
      <c r="C334" s="972"/>
      <c r="D334" s="972"/>
      <c r="E334" s="972"/>
      <c r="F334" s="972"/>
      <c r="G334" s="972"/>
      <c r="H334" s="972"/>
    </row>
    <row r="335" spans="1:8" ht="12.75" customHeight="1">
      <c r="A335" s="971" t="s">
        <v>924</v>
      </c>
      <c r="B335" s="971"/>
      <c r="C335" s="971"/>
      <c r="D335" s="971"/>
      <c r="E335" s="971"/>
      <c r="F335" s="971"/>
      <c r="G335" s="971"/>
      <c r="H335" s="971"/>
    </row>
    <row r="336" spans="1:8" ht="11.25" thickBot="1">
      <c r="A336" s="973" t="s">
        <v>479</v>
      </c>
      <c r="B336" s="973"/>
      <c r="C336" s="973"/>
      <c r="D336" s="973"/>
      <c r="E336" s="973"/>
      <c r="F336" s="419"/>
      <c r="G336" s="420"/>
      <c r="H336" s="420"/>
    </row>
    <row r="337" spans="1:8" ht="45.75" thickBot="1">
      <c r="A337" s="899"/>
      <c r="B337" s="900" t="s">
        <v>321</v>
      </c>
      <c r="C337" s="901"/>
      <c r="D337" s="800" t="s">
        <v>323</v>
      </c>
      <c r="E337" s="902" t="s">
        <v>988</v>
      </c>
      <c r="F337" s="902" t="s">
        <v>1024</v>
      </c>
      <c r="G337" s="906" t="s">
        <v>990</v>
      </c>
      <c r="H337" s="905" t="s">
        <v>1025</v>
      </c>
    </row>
    <row r="338" spans="1:8" ht="22.5" thickBot="1">
      <c r="A338" s="664" t="s">
        <v>324</v>
      </c>
      <c r="B338" s="433" t="s">
        <v>266</v>
      </c>
      <c r="C338" s="434" t="s">
        <v>390</v>
      </c>
      <c r="D338" s="435" t="s">
        <v>486</v>
      </c>
      <c r="E338" s="436">
        <f>E339+E346+E347+E348+E349</f>
        <v>76135</v>
      </c>
      <c r="F338" s="436">
        <f>F339+F346+F347+F348+F349</f>
        <v>211470</v>
      </c>
      <c r="G338" s="436">
        <f>G339+G346+G347+G348+G349</f>
        <v>2317</v>
      </c>
      <c r="H338" s="437">
        <f>H339+H346+H347+H348+H349</f>
        <v>213787</v>
      </c>
    </row>
    <row r="339" spans="1:8" ht="12.75">
      <c r="A339" s="665"/>
      <c r="B339" s="439"/>
      <c r="C339" s="440" t="s">
        <v>391</v>
      </c>
      <c r="D339" s="441" t="s">
        <v>487</v>
      </c>
      <c r="E339" s="442">
        <f>E340+E341+E342+E343+E344+E345</f>
        <v>0</v>
      </c>
      <c r="F339" s="442"/>
      <c r="G339" s="442">
        <f>G340+G341+G342+G343+G344+G345</f>
        <v>0</v>
      </c>
      <c r="H339" s="443">
        <f>H340+H341+H342+H343+H344+H345</f>
        <v>0</v>
      </c>
    </row>
    <row r="340" spans="1:8" ht="22.5">
      <c r="A340" s="666"/>
      <c r="B340" s="444"/>
      <c r="C340" s="445" t="s">
        <v>480</v>
      </c>
      <c r="D340" s="446" t="s">
        <v>267</v>
      </c>
      <c r="E340" s="447"/>
      <c r="F340" s="448"/>
      <c r="G340" s="227"/>
      <c r="H340" s="667">
        <f>E340+G340</f>
        <v>0</v>
      </c>
    </row>
    <row r="341" spans="1:8" ht="22.5">
      <c r="A341" s="666"/>
      <c r="B341" s="444"/>
      <c r="C341" s="445" t="s">
        <v>481</v>
      </c>
      <c r="D341" s="446" t="s">
        <v>268</v>
      </c>
      <c r="E341" s="447"/>
      <c r="F341" s="448"/>
      <c r="G341" s="227"/>
      <c r="H341" s="667">
        <f aca="true" t="shared" si="12" ref="H341:H348">E341+G341</f>
        <v>0</v>
      </c>
    </row>
    <row r="342" spans="1:8" ht="22.5">
      <c r="A342" s="666"/>
      <c r="B342" s="444"/>
      <c r="C342" s="445" t="s">
        <v>482</v>
      </c>
      <c r="D342" s="446" t="s">
        <v>269</v>
      </c>
      <c r="E342" s="447"/>
      <c r="F342" s="448"/>
      <c r="G342" s="227"/>
      <c r="H342" s="667">
        <f t="shared" si="12"/>
        <v>0</v>
      </c>
    </row>
    <row r="343" spans="1:8" ht="22.5">
      <c r="A343" s="666"/>
      <c r="B343" s="444"/>
      <c r="C343" s="445" t="s">
        <v>483</v>
      </c>
      <c r="D343" s="446" t="s">
        <v>270</v>
      </c>
      <c r="E343" s="447"/>
      <c r="F343" s="448"/>
      <c r="G343" s="227"/>
      <c r="H343" s="667">
        <f t="shared" si="12"/>
        <v>0</v>
      </c>
    </row>
    <row r="344" spans="1:8" ht="12.75">
      <c r="A344" s="666"/>
      <c r="B344" s="444"/>
      <c r="C344" s="445" t="s">
        <v>484</v>
      </c>
      <c r="D344" s="446" t="s">
        <v>271</v>
      </c>
      <c r="E344" s="447"/>
      <c r="F344" s="448"/>
      <c r="G344" s="227"/>
      <c r="H344" s="667">
        <f t="shared" si="12"/>
        <v>0</v>
      </c>
    </row>
    <row r="345" spans="1:8" ht="12.75">
      <c r="A345" s="666"/>
      <c r="B345" s="444"/>
      <c r="C345" s="445" t="s">
        <v>485</v>
      </c>
      <c r="D345" s="446" t="s">
        <v>272</v>
      </c>
      <c r="E345" s="447"/>
      <c r="F345" s="448"/>
      <c r="G345" s="227"/>
      <c r="H345" s="667">
        <f t="shared" si="12"/>
        <v>0</v>
      </c>
    </row>
    <row r="346" spans="1:8" ht="12.75">
      <c r="A346" s="666"/>
      <c r="B346" s="444"/>
      <c r="C346" s="445" t="s">
        <v>392</v>
      </c>
      <c r="D346" s="451" t="s">
        <v>273</v>
      </c>
      <c r="E346" s="447"/>
      <c r="F346" s="448"/>
      <c r="G346" s="227"/>
      <c r="H346" s="667">
        <f t="shared" si="12"/>
        <v>0</v>
      </c>
    </row>
    <row r="347" spans="1:8" ht="22.5">
      <c r="A347" s="666"/>
      <c r="B347" s="444"/>
      <c r="C347" s="445" t="s">
        <v>393</v>
      </c>
      <c r="D347" s="451" t="s">
        <v>274</v>
      </c>
      <c r="E347" s="447"/>
      <c r="F347" s="448"/>
      <c r="G347" s="227"/>
      <c r="H347" s="667">
        <f t="shared" si="12"/>
        <v>0</v>
      </c>
    </row>
    <row r="348" spans="1:8" ht="22.5">
      <c r="A348" s="666"/>
      <c r="B348" s="444"/>
      <c r="C348" s="445" t="s">
        <v>394</v>
      </c>
      <c r="D348" s="451" t="s">
        <v>275</v>
      </c>
      <c r="E348" s="447"/>
      <c r="F348" s="448"/>
      <c r="G348" s="227"/>
      <c r="H348" s="667">
        <f t="shared" si="12"/>
        <v>0</v>
      </c>
    </row>
    <row r="349" spans="1:8" ht="23.25" thickBot="1">
      <c r="A349" s="668"/>
      <c r="B349" s="453"/>
      <c r="C349" s="445" t="s">
        <v>395</v>
      </c>
      <c r="D349" s="454" t="s">
        <v>276</v>
      </c>
      <c r="E349" s="455">
        <v>76135</v>
      </c>
      <c r="F349" s="456">
        <v>211470</v>
      </c>
      <c r="G349" s="227">
        <v>2317</v>
      </c>
      <c r="H349" s="667">
        <f>F349+G349</f>
        <v>213787</v>
      </c>
    </row>
    <row r="350" spans="1:8" ht="22.5" thickBot="1">
      <c r="A350" s="664" t="s">
        <v>322</v>
      </c>
      <c r="B350" s="433" t="s">
        <v>277</v>
      </c>
      <c r="C350" s="457" t="s">
        <v>350</v>
      </c>
      <c r="D350" s="458" t="s">
        <v>402</v>
      </c>
      <c r="E350" s="436">
        <f>E351+E352+E353+E354</f>
        <v>0</v>
      </c>
      <c r="F350" s="436">
        <f>F351+F352+F353+F354</f>
        <v>11002</v>
      </c>
      <c r="G350" s="436">
        <f>G351+G352+G353+G354</f>
        <v>-1786</v>
      </c>
      <c r="H350" s="437">
        <f>H351+H352+H353+H354</f>
        <v>9216</v>
      </c>
    </row>
    <row r="351" spans="1:8" ht="12.75">
      <c r="A351" s="669"/>
      <c r="B351" s="460"/>
      <c r="C351" s="461" t="s">
        <v>398</v>
      </c>
      <c r="D351" s="462" t="s">
        <v>278</v>
      </c>
      <c r="E351" s="463"/>
      <c r="F351" s="464"/>
      <c r="G351" s="227"/>
      <c r="H351" s="667">
        <f>E351+G351</f>
        <v>0</v>
      </c>
    </row>
    <row r="352" spans="1:8" ht="22.5">
      <c r="A352" s="666"/>
      <c r="B352" s="465"/>
      <c r="C352" s="466" t="s">
        <v>399</v>
      </c>
      <c r="D352" s="446" t="s">
        <v>279</v>
      </c>
      <c r="E352" s="447"/>
      <c r="F352" s="448"/>
      <c r="G352" s="227"/>
      <c r="H352" s="667">
        <f>E352+G352</f>
        <v>0</v>
      </c>
    </row>
    <row r="353" spans="1:8" ht="22.5">
      <c r="A353" s="666"/>
      <c r="B353" s="465"/>
      <c r="C353" s="466" t="s">
        <v>400</v>
      </c>
      <c r="D353" s="446" t="s">
        <v>280</v>
      </c>
      <c r="E353" s="447"/>
      <c r="F353" s="448"/>
      <c r="G353" s="227"/>
      <c r="H353" s="667">
        <f>E353+G353</f>
        <v>0</v>
      </c>
    </row>
    <row r="354" spans="1:8" ht="23.25" thickBot="1">
      <c r="A354" s="670"/>
      <c r="B354" s="468"/>
      <c r="C354" s="469" t="s">
        <v>401</v>
      </c>
      <c r="D354" s="470" t="s">
        <v>281</v>
      </c>
      <c r="E354" s="471"/>
      <c r="F354" s="456">
        <v>11002</v>
      </c>
      <c r="G354" s="227">
        <v>-1786</v>
      </c>
      <c r="H354" s="667">
        <f>F354+G354</f>
        <v>9216</v>
      </c>
    </row>
    <row r="355" spans="1:8" ht="13.5" thickBot="1">
      <c r="A355" s="664" t="s">
        <v>325</v>
      </c>
      <c r="B355" s="433" t="s">
        <v>282</v>
      </c>
      <c r="C355" s="434" t="s">
        <v>396</v>
      </c>
      <c r="D355" s="472" t="s">
        <v>408</v>
      </c>
      <c r="E355" s="436">
        <f>E357+E358+E359+E360</f>
        <v>0</v>
      </c>
      <c r="F355" s="436"/>
      <c r="G355" s="436">
        <f>G357+G358+G359+G360</f>
        <v>0</v>
      </c>
      <c r="H355" s="437">
        <f>H357+H358+H359+H360</f>
        <v>0</v>
      </c>
    </row>
    <row r="356" spans="1:8" ht="22.5">
      <c r="A356" s="669"/>
      <c r="B356" s="460"/>
      <c r="C356" s="461" t="s">
        <v>403</v>
      </c>
      <c r="D356" s="462" t="s">
        <v>283</v>
      </c>
      <c r="E356" s="463"/>
      <c r="F356" s="464"/>
      <c r="G356" s="227"/>
      <c r="H356" s="683"/>
    </row>
    <row r="357" spans="1:8" ht="12.75">
      <c r="A357" s="666"/>
      <c r="B357" s="465"/>
      <c r="C357" s="466" t="s">
        <v>404</v>
      </c>
      <c r="D357" s="446" t="s">
        <v>284</v>
      </c>
      <c r="E357" s="447"/>
      <c r="F357" s="448"/>
      <c r="G357" s="227"/>
      <c r="H357" s="683"/>
    </row>
    <row r="358" spans="1:8" ht="22.5">
      <c r="A358" s="666"/>
      <c r="B358" s="465"/>
      <c r="C358" s="466" t="s">
        <v>405</v>
      </c>
      <c r="D358" s="446" t="s">
        <v>285</v>
      </c>
      <c r="E358" s="447"/>
      <c r="F358" s="448"/>
      <c r="G358" s="227"/>
      <c r="H358" s="683"/>
    </row>
    <row r="359" spans="1:8" ht="12.75">
      <c r="A359" s="666"/>
      <c r="B359" s="465"/>
      <c r="C359" s="466" t="s">
        <v>406</v>
      </c>
      <c r="D359" s="446" t="s">
        <v>286</v>
      </c>
      <c r="E359" s="652"/>
      <c r="F359" s="660"/>
      <c r="G359" s="227"/>
      <c r="H359" s="683"/>
    </row>
    <row r="360" spans="1:8" ht="13.5" thickBot="1">
      <c r="A360" s="670"/>
      <c r="B360" s="468"/>
      <c r="C360" s="469" t="s">
        <v>407</v>
      </c>
      <c r="D360" s="470" t="s">
        <v>287</v>
      </c>
      <c r="E360" s="674"/>
      <c r="F360" s="675"/>
      <c r="G360" s="227"/>
      <c r="H360" s="683"/>
    </row>
    <row r="361" spans="1:8" ht="13.5" thickBot="1">
      <c r="A361" s="664" t="s">
        <v>326</v>
      </c>
      <c r="B361" s="479" t="s">
        <v>288</v>
      </c>
      <c r="C361" s="480" t="s">
        <v>397</v>
      </c>
      <c r="D361" s="472" t="s">
        <v>421</v>
      </c>
      <c r="E361" s="436">
        <f>SUM(E362:E373)</f>
        <v>1924</v>
      </c>
      <c r="F361" s="436">
        <f>SUM(F362:F373)</f>
        <v>10357</v>
      </c>
      <c r="G361" s="436">
        <f>SUM(G362:G373)</f>
        <v>-325</v>
      </c>
      <c r="H361" s="437">
        <f>SUM(H362:H373)</f>
        <v>10032</v>
      </c>
    </row>
    <row r="362" spans="1:8" ht="12.75">
      <c r="A362" s="665"/>
      <c r="B362" s="481"/>
      <c r="C362" s="482" t="s">
        <v>409</v>
      </c>
      <c r="D362" s="462" t="s">
        <v>289</v>
      </c>
      <c r="E362" s="483"/>
      <c r="F362" s="484">
        <v>5875</v>
      </c>
      <c r="G362" s="227">
        <v>-181</v>
      </c>
      <c r="H362" s="667">
        <f>F362+G362</f>
        <v>5694</v>
      </c>
    </row>
    <row r="363" spans="1:8" ht="12.75">
      <c r="A363" s="666"/>
      <c r="B363" s="485"/>
      <c r="C363" s="486" t="s">
        <v>410</v>
      </c>
      <c r="D363" s="446" t="s">
        <v>290</v>
      </c>
      <c r="E363" s="487"/>
      <c r="F363" s="488">
        <v>420</v>
      </c>
      <c r="G363" s="227">
        <v>731</v>
      </c>
      <c r="H363" s="667">
        <f>F363+G363</f>
        <v>1151</v>
      </c>
    </row>
    <row r="364" spans="1:8" ht="12.75">
      <c r="A364" s="666"/>
      <c r="B364" s="485"/>
      <c r="C364" s="486" t="s">
        <v>411</v>
      </c>
      <c r="D364" s="446" t="s">
        <v>291</v>
      </c>
      <c r="E364" s="487">
        <v>800</v>
      </c>
      <c r="F364" s="488">
        <v>800</v>
      </c>
      <c r="G364" s="227">
        <v>-152</v>
      </c>
      <c r="H364" s="667">
        <f>F364+G364</f>
        <v>648</v>
      </c>
    </row>
    <row r="365" spans="1:8" ht="12.75">
      <c r="A365" s="666"/>
      <c r="B365" s="485"/>
      <c r="C365" s="486" t="s">
        <v>412</v>
      </c>
      <c r="D365" s="446" t="s">
        <v>292</v>
      </c>
      <c r="E365" s="487"/>
      <c r="F365" s="488"/>
      <c r="G365" s="227"/>
      <c r="H365" s="667">
        <f aca="true" t="shared" si="13" ref="H365:H373">F365+G365</f>
        <v>0</v>
      </c>
    </row>
    <row r="366" spans="1:8" ht="12.75">
      <c r="A366" s="666"/>
      <c r="B366" s="485"/>
      <c r="C366" s="486" t="s">
        <v>413</v>
      </c>
      <c r="D366" s="446" t="s">
        <v>293</v>
      </c>
      <c r="E366" s="487"/>
      <c r="F366" s="488"/>
      <c r="G366" s="227"/>
      <c r="H366" s="667">
        <f t="shared" si="13"/>
        <v>0</v>
      </c>
    </row>
    <row r="367" spans="1:8" ht="22.5">
      <c r="A367" s="666"/>
      <c r="B367" s="485"/>
      <c r="C367" s="486" t="s">
        <v>414</v>
      </c>
      <c r="D367" s="446" t="s">
        <v>294</v>
      </c>
      <c r="E367" s="487">
        <v>324</v>
      </c>
      <c r="F367" s="488">
        <v>2024</v>
      </c>
      <c r="G367" s="227">
        <v>-124</v>
      </c>
      <c r="H367" s="667">
        <f t="shared" si="13"/>
        <v>1900</v>
      </c>
    </row>
    <row r="368" spans="1:8" ht="22.5">
      <c r="A368" s="666"/>
      <c r="B368" s="485"/>
      <c r="C368" s="486" t="s">
        <v>415</v>
      </c>
      <c r="D368" s="446" t="s">
        <v>295</v>
      </c>
      <c r="E368" s="487"/>
      <c r="F368" s="488"/>
      <c r="G368" s="227"/>
      <c r="H368" s="667">
        <f t="shared" si="13"/>
        <v>0</v>
      </c>
    </row>
    <row r="369" spans="1:8" ht="22.5">
      <c r="A369" s="666"/>
      <c r="B369" s="485"/>
      <c r="C369" s="486" t="s">
        <v>416</v>
      </c>
      <c r="D369" s="446" t="s">
        <v>296</v>
      </c>
      <c r="E369" s="487"/>
      <c r="F369" s="488"/>
      <c r="G369" s="227"/>
      <c r="H369" s="667">
        <f t="shared" si="13"/>
        <v>0</v>
      </c>
    </row>
    <row r="370" spans="1:8" ht="22.5">
      <c r="A370" s="666"/>
      <c r="B370" s="485"/>
      <c r="C370" s="486" t="s">
        <v>417</v>
      </c>
      <c r="D370" s="446" t="s">
        <v>297</v>
      </c>
      <c r="E370" s="487"/>
      <c r="F370" s="488"/>
      <c r="G370" s="227"/>
      <c r="H370" s="667">
        <f t="shared" si="13"/>
        <v>0</v>
      </c>
    </row>
    <row r="371" spans="1:8" ht="12.75">
      <c r="A371" s="666"/>
      <c r="B371" s="485"/>
      <c r="C371" s="486" t="s">
        <v>418</v>
      </c>
      <c r="D371" s="489" t="s">
        <v>298</v>
      </c>
      <c r="E371" s="487">
        <v>400</v>
      </c>
      <c r="F371" s="488">
        <v>273</v>
      </c>
      <c r="G371" s="227">
        <v>-96</v>
      </c>
      <c r="H371" s="667">
        <f t="shared" si="13"/>
        <v>177</v>
      </c>
    </row>
    <row r="372" spans="1:8" ht="12.75">
      <c r="A372" s="666"/>
      <c r="B372" s="485"/>
      <c r="C372" s="486" t="s">
        <v>419</v>
      </c>
      <c r="D372" s="490" t="s">
        <v>299</v>
      </c>
      <c r="E372" s="487"/>
      <c r="F372" s="488"/>
      <c r="G372" s="227"/>
      <c r="H372" s="667">
        <f t="shared" si="13"/>
        <v>0</v>
      </c>
    </row>
    <row r="373" spans="1:8" ht="13.5" thickBot="1">
      <c r="A373" s="668"/>
      <c r="B373" s="491"/>
      <c r="C373" s="492" t="s">
        <v>420</v>
      </c>
      <c r="D373" s="470" t="s">
        <v>300</v>
      </c>
      <c r="E373" s="493">
        <v>400</v>
      </c>
      <c r="F373" s="494">
        <v>965</v>
      </c>
      <c r="G373" s="227">
        <v>-503</v>
      </c>
      <c r="H373" s="667">
        <f t="shared" si="13"/>
        <v>462</v>
      </c>
    </row>
    <row r="374" spans="1:8" ht="13.5" thickBot="1">
      <c r="A374" s="664" t="s">
        <v>327</v>
      </c>
      <c r="B374" s="495" t="s">
        <v>301</v>
      </c>
      <c r="C374" s="496" t="s">
        <v>372</v>
      </c>
      <c r="D374" s="817" t="s">
        <v>427</v>
      </c>
      <c r="E374" s="436">
        <f>+E376+E377+E378</f>
        <v>0</v>
      </c>
      <c r="F374" s="436"/>
      <c r="G374" s="436">
        <f>+G376+G377+G378</f>
        <v>0</v>
      </c>
      <c r="H374" s="437">
        <f>+H376+H377+H378</f>
        <v>0</v>
      </c>
    </row>
    <row r="375" spans="1:8" ht="12.75">
      <c r="A375" s="665"/>
      <c r="B375" s="474"/>
      <c r="C375" s="475" t="s">
        <v>423</v>
      </c>
      <c r="D375" s="780" t="s">
        <v>302</v>
      </c>
      <c r="E375" s="463"/>
      <c r="F375" s="464"/>
      <c r="G375" s="227"/>
      <c r="H375" s="683"/>
    </row>
    <row r="376" spans="1:8" ht="12.75">
      <c r="A376" s="666"/>
      <c r="B376" s="684"/>
      <c r="C376" s="475" t="s">
        <v>424</v>
      </c>
      <c r="D376" s="781" t="s">
        <v>303</v>
      </c>
      <c r="E376" s="487"/>
      <c r="F376" s="488"/>
      <c r="G376" s="227"/>
      <c r="H376" s="683"/>
    </row>
    <row r="377" spans="1:8" ht="12.75">
      <c r="A377" s="666"/>
      <c r="B377" s="684"/>
      <c r="C377" s="475" t="s">
        <v>425</v>
      </c>
      <c r="D377" s="781" t="s">
        <v>304</v>
      </c>
      <c r="E377" s="686"/>
      <c r="F377" s="484"/>
      <c r="G377" s="227"/>
      <c r="H377" s="683"/>
    </row>
    <row r="378" spans="1:8" ht="13.5" thickBot="1">
      <c r="A378" s="668"/>
      <c r="B378" s="687"/>
      <c r="C378" s="475" t="s">
        <v>426</v>
      </c>
      <c r="D378" s="782" t="s">
        <v>305</v>
      </c>
      <c r="E378" s="689"/>
      <c r="F378" s="494"/>
      <c r="G378" s="227"/>
      <c r="H378" s="683"/>
    </row>
    <row r="379" spans="1:8" ht="13.5" thickBot="1">
      <c r="A379" s="664" t="s">
        <v>328</v>
      </c>
      <c r="B379" s="690" t="s">
        <v>306</v>
      </c>
      <c r="C379" s="783" t="s">
        <v>428</v>
      </c>
      <c r="D379" s="784" t="s">
        <v>431</v>
      </c>
      <c r="E379" s="693">
        <f>E380+E381</f>
        <v>0</v>
      </c>
      <c r="F379" s="693"/>
      <c r="G379" s="693">
        <f>G380+G381</f>
        <v>0</v>
      </c>
      <c r="H379" s="694">
        <f>H380+H381</f>
        <v>0</v>
      </c>
    </row>
    <row r="380" spans="1:8" ht="22.5">
      <c r="A380" s="665"/>
      <c r="B380" s="695"/>
      <c r="C380" s="696" t="s">
        <v>429</v>
      </c>
      <c r="D380" s="682" t="s">
        <v>308</v>
      </c>
      <c r="E380" s="698"/>
      <c r="F380" s="808"/>
      <c r="G380" s="227"/>
      <c r="H380" s="683"/>
    </row>
    <row r="381" spans="1:8" ht="13.5" thickBot="1">
      <c r="A381" s="668"/>
      <c r="B381" s="703"/>
      <c r="C381" s="790" t="s">
        <v>430</v>
      </c>
      <c r="D381" s="705" t="s">
        <v>309</v>
      </c>
      <c r="E381" s="706"/>
      <c r="F381" s="707"/>
      <c r="G381" s="227"/>
      <c r="H381" s="683"/>
    </row>
    <row r="382" spans="1:8" ht="13.5" thickBot="1">
      <c r="A382" s="664" t="s">
        <v>329</v>
      </c>
      <c r="B382" s="818" t="s">
        <v>310</v>
      </c>
      <c r="C382" s="788" t="s">
        <v>384</v>
      </c>
      <c r="D382" s="784" t="s">
        <v>434</v>
      </c>
      <c r="E382" s="693">
        <f>E383+E384</f>
        <v>0</v>
      </c>
      <c r="F382" s="693"/>
      <c r="G382" s="693">
        <f>G383+G384</f>
        <v>0</v>
      </c>
      <c r="H382" s="694">
        <f>H383+H384</f>
        <v>0</v>
      </c>
    </row>
    <row r="383" spans="1:8" ht="22.5">
      <c r="A383" s="669"/>
      <c r="B383" s="695"/>
      <c r="C383" s="696" t="s">
        <v>432</v>
      </c>
      <c r="D383" s="789" t="s">
        <v>193</v>
      </c>
      <c r="E383" s="483"/>
      <c r="F383" s="484"/>
      <c r="G383" s="227"/>
      <c r="H383" s="683"/>
    </row>
    <row r="384" spans="1:8" ht="13.5" thickBot="1">
      <c r="A384" s="702"/>
      <c r="B384" s="703"/>
      <c r="C384" s="809" t="s">
        <v>433</v>
      </c>
      <c r="D384" s="29" t="s">
        <v>312</v>
      </c>
      <c r="E384" s="706"/>
      <c r="F384" s="707"/>
      <c r="G384" s="227"/>
      <c r="H384" s="683"/>
    </row>
    <row r="385" spans="1:8" ht="13.5" thickBot="1">
      <c r="A385" s="664"/>
      <c r="B385" s="433"/>
      <c r="C385" s="791"/>
      <c r="D385" s="497" t="s">
        <v>313</v>
      </c>
      <c r="E385" s="712">
        <f>E338+E350+E355+E361+E374+E379+E382</f>
        <v>78059</v>
      </c>
      <c r="F385" s="712">
        <f>F338+F350+F355+F361+F374+F379+F382</f>
        <v>232829</v>
      </c>
      <c r="G385" s="712">
        <f>G338+G350+G355+G361+G374+G379+G382</f>
        <v>206</v>
      </c>
      <c r="H385" s="713">
        <f>H338+H350+H355+H361+H374+H379+H382</f>
        <v>233035</v>
      </c>
    </row>
    <row r="386" spans="1:8" ht="13.5" thickBot="1">
      <c r="A386" s="664" t="s">
        <v>330</v>
      </c>
      <c r="B386" s="690" t="s">
        <v>314</v>
      </c>
      <c r="C386" s="690" t="s">
        <v>435</v>
      </c>
      <c r="D386" s="537" t="s">
        <v>442</v>
      </c>
      <c r="E386" s="436">
        <f>+E387+E388+E389+E390+E391+E392</f>
        <v>71916</v>
      </c>
      <c r="F386" s="436">
        <f>+F387+F388+F389+F390+F391+F392</f>
        <v>81722</v>
      </c>
      <c r="G386" s="436">
        <f>+G387+G388+G389+G390+G391+G392</f>
        <v>408</v>
      </c>
      <c r="H386" s="437">
        <f>+H387+H388+H389+H390+H391+H392</f>
        <v>82130</v>
      </c>
    </row>
    <row r="387" spans="1:8" ht="12.75">
      <c r="A387" s="665"/>
      <c r="B387" s="716"/>
      <c r="C387" s="721" t="s">
        <v>436</v>
      </c>
      <c r="D387" s="441" t="s">
        <v>315</v>
      </c>
      <c r="E387" s="484"/>
      <c r="F387" s="484"/>
      <c r="G387" s="227"/>
      <c r="H387" s="667">
        <f>E387+G387</f>
        <v>0</v>
      </c>
    </row>
    <row r="388" spans="1:8" ht="22.5">
      <c r="A388" s="666"/>
      <c r="B388" s="684"/>
      <c r="C388" s="721" t="s">
        <v>437</v>
      </c>
      <c r="D388" s="451" t="s">
        <v>316</v>
      </c>
      <c r="E388" s="487"/>
      <c r="F388" s="488"/>
      <c r="G388" s="227"/>
      <c r="H388" s="667">
        <f>E388+G388</f>
        <v>0</v>
      </c>
    </row>
    <row r="389" spans="1:8" ht="12.75">
      <c r="A389" s="666"/>
      <c r="B389" s="684"/>
      <c r="C389" s="721" t="s">
        <v>438</v>
      </c>
      <c r="D389" s="451" t="s">
        <v>317</v>
      </c>
      <c r="E389" s="487"/>
      <c r="F389" s="488"/>
      <c r="G389" s="227"/>
      <c r="H389" s="667">
        <f>E389+G389</f>
        <v>0</v>
      </c>
    </row>
    <row r="390" spans="1:8" ht="12.75">
      <c r="A390" s="666"/>
      <c r="B390" s="684"/>
      <c r="C390" s="721" t="s">
        <v>439</v>
      </c>
      <c r="D390" s="227" t="s">
        <v>318</v>
      </c>
      <c r="E390" s="487"/>
      <c r="F390" s="488"/>
      <c r="G390" s="227"/>
      <c r="H390" s="667">
        <f>E390+G390</f>
        <v>0</v>
      </c>
    </row>
    <row r="391" spans="1:8" ht="12.75">
      <c r="A391" s="666"/>
      <c r="B391" s="684"/>
      <c r="C391" s="721" t="s">
        <v>440</v>
      </c>
      <c r="D391" s="451" t="s">
        <v>319</v>
      </c>
      <c r="E391" s="487"/>
      <c r="F391" s="488">
        <v>4382</v>
      </c>
      <c r="G391" s="227"/>
      <c r="H391" s="667">
        <f>F391+G391</f>
        <v>4382</v>
      </c>
    </row>
    <row r="392" spans="1:8" ht="13.5" thickBot="1">
      <c r="A392" s="668"/>
      <c r="B392" s="687"/>
      <c r="C392" s="721" t="s">
        <v>441</v>
      </c>
      <c r="D392" s="454" t="s">
        <v>320</v>
      </c>
      <c r="E392" s="493">
        <v>71916</v>
      </c>
      <c r="F392" s="494">
        <v>77340</v>
      </c>
      <c r="G392" s="227">
        <v>408</v>
      </c>
      <c r="H392" s="667">
        <f>F392+G392</f>
        <v>77748</v>
      </c>
    </row>
    <row r="393" spans="1:8" ht="13.5" thickBot="1">
      <c r="A393" s="664" t="s">
        <v>943</v>
      </c>
      <c r="B393" s="552"/>
      <c r="C393" s="553" t="s">
        <v>443</v>
      </c>
      <c r="D393" s="497" t="s">
        <v>331</v>
      </c>
      <c r="E393" s="436">
        <f>+E385+E386</f>
        <v>149975</v>
      </c>
      <c r="F393" s="436">
        <f>+F385+F386</f>
        <v>314551</v>
      </c>
      <c r="G393" s="436">
        <f>+G385+G386</f>
        <v>614</v>
      </c>
      <c r="H393" s="437">
        <f>+H385+H386</f>
        <v>315165</v>
      </c>
    </row>
    <row r="394" spans="1:8" ht="12.75">
      <c r="A394" s="27"/>
      <c r="B394" s="722"/>
      <c r="C394" s="723"/>
      <c r="D394" s="27"/>
      <c r="E394" s="27"/>
      <c r="F394" s="27"/>
      <c r="G394" s="819"/>
      <c r="H394" s="819"/>
    </row>
    <row r="395" spans="1:8" ht="12" thickBot="1">
      <c r="A395" s="725"/>
      <c r="B395" s="725"/>
      <c r="C395" s="726"/>
      <c r="D395" s="725" t="s">
        <v>478</v>
      </c>
      <c r="E395" s="727"/>
      <c r="F395" s="813"/>
      <c r="G395" s="814"/>
      <c r="H395" s="69"/>
    </row>
    <row r="396" spans="1:8" ht="11.25" thickBot="1">
      <c r="A396" s="730"/>
      <c r="B396" s="730"/>
      <c r="C396" s="731"/>
      <c r="D396" s="732" t="s">
        <v>449</v>
      </c>
      <c r="E396" s="436">
        <f>E397+E398+E399+E400+E401</f>
        <v>147964</v>
      </c>
      <c r="F396" s="436">
        <f>F397+F398+F399+F400+F401</f>
        <v>300414</v>
      </c>
      <c r="G396" s="436">
        <f>G397+G398+G399+G400+G401</f>
        <v>959</v>
      </c>
      <c r="H396" s="437">
        <f>H397+H398+H399+H400+H401</f>
        <v>301373</v>
      </c>
    </row>
    <row r="397" spans="1:8" ht="11.25">
      <c r="A397" s="733" t="s">
        <v>324</v>
      </c>
      <c r="B397" s="734" t="s">
        <v>333</v>
      </c>
      <c r="C397" s="734" t="s">
        <v>390</v>
      </c>
      <c r="D397" s="735" t="s">
        <v>334</v>
      </c>
      <c r="E397" s="736">
        <v>94076</v>
      </c>
      <c r="F397" s="737">
        <v>203841</v>
      </c>
      <c r="G397" s="227">
        <v>-4989</v>
      </c>
      <c r="H397" s="667">
        <f>F397+G397</f>
        <v>198852</v>
      </c>
    </row>
    <row r="398" spans="1:8" ht="21">
      <c r="A398" s="73" t="s">
        <v>322</v>
      </c>
      <c r="B398" s="738" t="s">
        <v>335</v>
      </c>
      <c r="C398" s="734" t="s">
        <v>350</v>
      </c>
      <c r="D398" s="739" t="s">
        <v>336</v>
      </c>
      <c r="E398" s="740">
        <v>17654</v>
      </c>
      <c r="F398" s="741">
        <v>31285</v>
      </c>
      <c r="G398" s="227">
        <v>-583</v>
      </c>
      <c r="H398" s="667">
        <f>F398+G398</f>
        <v>30702</v>
      </c>
    </row>
    <row r="399" spans="1:8" ht="11.25">
      <c r="A399" s="73" t="s">
        <v>325</v>
      </c>
      <c r="B399" s="738" t="s">
        <v>337</v>
      </c>
      <c r="C399" s="734" t="s">
        <v>396</v>
      </c>
      <c r="D399" s="739" t="s">
        <v>338</v>
      </c>
      <c r="E399" s="740">
        <v>36234</v>
      </c>
      <c r="F399" s="741">
        <v>60049</v>
      </c>
      <c r="G399" s="227">
        <v>6482</v>
      </c>
      <c r="H399" s="667">
        <f>F399+G399</f>
        <v>66531</v>
      </c>
    </row>
    <row r="400" spans="1:8" ht="11.25">
      <c r="A400" s="73" t="s">
        <v>326</v>
      </c>
      <c r="B400" s="738" t="s">
        <v>339</v>
      </c>
      <c r="C400" s="734" t="s">
        <v>397</v>
      </c>
      <c r="D400" s="739" t="s">
        <v>340</v>
      </c>
      <c r="E400" s="740"/>
      <c r="F400" s="741"/>
      <c r="G400" s="227"/>
      <c r="H400" s="667">
        <f>F400+G400</f>
        <v>0</v>
      </c>
    </row>
    <row r="401" spans="1:8" ht="10.5">
      <c r="A401" s="73" t="s">
        <v>327</v>
      </c>
      <c r="B401" s="738" t="s">
        <v>341</v>
      </c>
      <c r="C401" s="734" t="s">
        <v>372</v>
      </c>
      <c r="D401" s="742" t="s">
        <v>342</v>
      </c>
      <c r="E401" s="743">
        <f>SUM(E402:E408)</f>
        <v>0</v>
      </c>
      <c r="F401" s="743">
        <f>SUM(F402:F408)</f>
        <v>5239</v>
      </c>
      <c r="G401" s="743">
        <f>SUM(G402:G408)</f>
        <v>49</v>
      </c>
      <c r="H401" s="759">
        <f>SUM(H402:H408)</f>
        <v>5288</v>
      </c>
    </row>
    <row r="402" spans="1:8" ht="11.25">
      <c r="A402" s="73"/>
      <c r="B402" s="745"/>
      <c r="C402" s="746" t="s">
        <v>423</v>
      </c>
      <c r="D402" s="446" t="s">
        <v>343</v>
      </c>
      <c r="E402" s="487"/>
      <c r="F402" s="488">
        <v>5239</v>
      </c>
      <c r="G402" s="227">
        <v>49</v>
      </c>
      <c r="H402" s="667">
        <f>F402+G402</f>
        <v>5288</v>
      </c>
    </row>
    <row r="403" spans="1:8" ht="22.5">
      <c r="A403" s="73"/>
      <c r="B403" s="745"/>
      <c r="C403" s="746" t="s">
        <v>424</v>
      </c>
      <c r="D403" s="446" t="s">
        <v>344</v>
      </c>
      <c r="E403" s="487"/>
      <c r="F403" s="488"/>
      <c r="G403" s="227"/>
      <c r="H403" s="667">
        <f aca="true" t="shared" si="14" ref="H403:H408">E403+G403</f>
        <v>0</v>
      </c>
    </row>
    <row r="404" spans="1:8" ht="22.5">
      <c r="A404" s="747"/>
      <c r="B404" s="745"/>
      <c r="C404" s="746" t="s">
        <v>425</v>
      </c>
      <c r="D404" s="446" t="s">
        <v>345</v>
      </c>
      <c r="E404" s="487"/>
      <c r="F404" s="488"/>
      <c r="G404" s="227"/>
      <c r="H404" s="667">
        <f t="shared" si="14"/>
        <v>0</v>
      </c>
    </row>
    <row r="405" spans="1:8" ht="22.5">
      <c r="A405" s="748"/>
      <c r="B405" s="745"/>
      <c r="C405" s="746" t="s">
        <v>426</v>
      </c>
      <c r="D405" s="446" t="s">
        <v>346</v>
      </c>
      <c r="E405" s="487"/>
      <c r="F405" s="488">
        <v>0</v>
      </c>
      <c r="G405" s="227"/>
      <c r="H405" s="667">
        <f>F405+G405</f>
        <v>0</v>
      </c>
    </row>
    <row r="406" spans="1:8" ht="22.5">
      <c r="A406" s="73"/>
      <c r="B406" s="745"/>
      <c r="C406" s="746" t="s">
        <v>450</v>
      </c>
      <c r="D406" s="446" t="s">
        <v>347</v>
      </c>
      <c r="E406" s="487"/>
      <c r="F406" s="488"/>
      <c r="G406" s="227"/>
      <c r="H406" s="667">
        <f t="shared" si="14"/>
        <v>0</v>
      </c>
    </row>
    <row r="407" spans="1:8" ht="22.5">
      <c r="A407" s="73"/>
      <c r="B407" s="745"/>
      <c r="C407" s="746" t="s">
        <v>451</v>
      </c>
      <c r="D407" s="446" t="s">
        <v>348</v>
      </c>
      <c r="E407" s="487"/>
      <c r="F407" s="488"/>
      <c r="G407" s="227"/>
      <c r="H407" s="667">
        <f t="shared" si="14"/>
        <v>0</v>
      </c>
    </row>
    <row r="408" spans="1:8" ht="12" thickBot="1">
      <c r="A408" s="761"/>
      <c r="B408" s="750"/>
      <c r="C408" s="746" t="s">
        <v>452</v>
      </c>
      <c r="D408" s="673" t="s">
        <v>349</v>
      </c>
      <c r="E408" s="689"/>
      <c r="F408" s="494"/>
      <c r="G408" s="227"/>
      <c r="H408" s="667">
        <f t="shared" si="14"/>
        <v>0</v>
      </c>
    </row>
    <row r="409" spans="1:8" ht="11.25" thickBot="1">
      <c r="A409" s="730" t="s">
        <v>328</v>
      </c>
      <c r="B409" s="751"/>
      <c r="C409" s="752" t="s">
        <v>375</v>
      </c>
      <c r="D409" s="751" t="s">
        <v>388</v>
      </c>
      <c r="E409" s="436">
        <f>E410+E418</f>
        <v>2011</v>
      </c>
      <c r="F409" s="436">
        <f>F410+F418</f>
        <v>14137</v>
      </c>
      <c r="G409" s="436">
        <f>G410+G418</f>
        <v>-345</v>
      </c>
      <c r="H409" s="437">
        <f>H410+H418</f>
        <v>13792</v>
      </c>
    </row>
    <row r="410" spans="1:8" ht="11.25">
      <c r="A410" s="753"/>
      <c r="B410" s="754" t="s">
        <v>351</v>
      </c>
      <c r="C410" s="755" t="s">
        <v>429</v>
      </c>
      <c r="D410" s="596" t="s">
        <v>352</v>
      </c>
      <c r="E410" s="686">
        <f>E411+E412+E413+E414+E415+E416+E417</f>
        <v>2011</v>
      </c>
      <c r="F410" s="686">
        <f>F411+F412+F413+F414+F415+F416+F417</f>
        <v>14137</v>
      </c>
      <c r="G410" s="686">
        <f>G411+G412+G413+G414+G415+G416+G417</f>
        <v>-345</v>
      </c>
      <c r="H410" s="756">
        <f>H411+H412+H413+H414+H415+H416+H417</f>
        <v>13792</v>
      </c>
    </row>
    <row r="411" spans="1:8" ht="11.25">
      <c r="A411" s="733"/>
      <c r="B411" s="755"/>
      <c r="C411" s="757" t="s">
        <v>453</v>
      </c>
      <c r="D411" s="446" t="s">
        <v>353</v>
      </c>
      <c r="E411" s="758"/>
      <c r="F411" s="484"/>
      <c r="G411" s="227">
        <v>451</v>
      </c>
      <c r="H411" s="667">
        <f>F411+G411</f>
        <v>451</v>
      </c>
    </row>
    <row r="412" spans="1:8" ht="11.25">
      <c r="A412" s="733"/>
      <c r="B412" s="755"/>
      <c r="C412" s="757" t="s">
        <v>454</v>
      </c>
      <c r="D412" s="490" t="s">
        <v>354</v>
      </c>
      <c r="E412" s="758"/>
      <c r="F412" s="484"/>
      <c r="G412" s="227"/>
      <c r="H412" s="667">
        <f aca="true" t="shared" si="15" ref="H412:H417">F412+G412</f>
        <v>0</v>
      </c>
    </row>
    <row r="413" spans="1:8" ht="11.25">
      <c r="A413" s="733"/>
      <c r="B413" s="755"/>
      <c r="C413" s="757" t="s">
        <v>455</v>
      </c>
      <c r="D413" s="446" t="s">
        <v>355</v>
      </c>
      <c r="E413" s="758">
        <v>145</v>
      </c>
      <c r="F413" s="484">
        <v>1339</v>
      </c>
      <c r="G413" s="227">
        <v>-528</v>
      </c>
      <c r="H413" s="667">
        <f t="shared" si="15"/>
        <v>811</v>
      </c>
    </row>
    <row r="414" spans="1:8" ht="11.25">
      <c r="A414" s="747"/>
      <c r="B414" s="755"/>
      <c r="C414" s="757" t="s">
        <v>456</v>
      </c>
      <c r="D414" s="446" t="s">
        <v>356</v>
      </c>
      <c r="E414" s="758">
        <v>1438</v>
      </c>
      <c r="F414" s="484">
        <v>9791</v>
      </c>
      <c r="G414" s="227">
        <v>-183</v>
      </c>
      <c r="H414" s="667">
        <f t="shared" si="15"/>
        <v>9608</v>
      </c>
    </row>
    <row r="415" spans="1:8" ht="11.25">
      <c r="A415" s="748"/>
      <c r="B415" s="755"/>
      <c r="C415" s="757" t="s">
        <v>457</v>
      </c>
      <c r="D415" s="446" t="s">
        <v>357</v>
      </c>
      <c r="E415" s="758"/>
      <c r="F415" s="484"/>
      <c r="G415" s="227"/>
      <c r="H415" s="667">
        <f t="shared" si="15"/>
        <v>0</v>
      </c>
    </row>
    <row r="416" spans="1:8" ht="22.5">
      <c r="A416" s="748"/>
      <c r="B416" s="755"/>
      <c r="C416" s="757" t="s">
        <v>458</v>
      </c>
      <c r="D416" s="446" t="s">
        <v>387</v>
      </c>
      <c r="E416" s="758"/>
      <c r="F416" s="484"/>
      <c r="G416" s="227"/>
      <c r="H416" s="667">
        <f t="shared" si="15"/>
        <v>0</v>
      </c>
    </row>
    <row r="417" spans="1:8" ht="22.5">
      <c r="A417" s="747"/>
      <c r="B417" s="755"/>
      <c r="C417" s="757" t="s">
        <v>459</v>
      </c>
      <c r="D417" s="446" t="s">
        <v>358</v>
      </c>
      <c r="E417" s="758">
        <v>428</v>
      </c>
      <c r="F417" s="484">
        <v>3007</v>
      </c>
      <c r="G417" s="227">
        <v>-85</v>
      </c>
      <c r="H417" s="667">
        <f t="shared" si="15"/>
        <v>2922</v>
      </c>
    </row>
    <row r="418" spans="1:8" ht="11.25">
      <c r="A418" s="73" t="s">
        <v>329</v>
      </c>
      <c r="B418" s="738" t="s">
        <v>359</v>
      </c>
      <c r="C418" s="738" t="s">
        <v>384</v>
      </c>
      <c r="D418" s="604" t="s">
        <v>360</v>
      </c>
      <c r="E418" s="740">
        <f>E419+E420+E421+E422</f>
        <v>0</v>
      </c>
      <c r="F418" s="741"/>
      <c r="G418" s="227"/>
      <c r="H418" s="683"/>
    </row>
    <row r="419" spans="1:8" ht="11.25">
      <c r="A419" s="73"/>
      <c r="B419" s="745"/>
      <c r="C419" s="746" t="s">
        <v>432</v>
      </c>
      <c r="D419" s="446" t="s">
        <v>361</v>
      </c>
      <c r="E419" s="487"/>
      <c r="F419" s="488"/>
      <c r="G419" s="227"/>
      <c r="H419" s="683"/>
    </row>
    <row r="420" spans="1:8" ht="11.25">
      <c r="A420" s="73"/>
      <c r="B420" s="745"/>
      <c r="C420" s="746" t="s">
        <v>433</v>
      </c>
      <c r="D420" s="446" t="s">
        <v>362</v>
      </c>
      <c r="E420" s="487"/>
      <c r="F420" s="488"/>
      <c r="G420" s="227"/>
      <c r="H420" s="683"/>
    </row>
    <row r="421" spans="1:8" ht="11.25">
      <c r="A421" s="73"/>
      <c r="B421" s="745"/>
      <c r="C421" s="746" t="s">
        <v>460</v>
      </c>
      <c r="D421" s="446" t="s">
        <v>363</v>
      </c>
      <c r="E421" s="487"/>
      <c r="F421" s="488"/>
      <c r="G421" s="227"/>
      <c r="H421" s="683"/>
    </row>
    <row r="422" spans="1:8" ht="22.5">
      <c r="A422" s="73"/>
      <c r="B422" s="745"/>
      <c r="C422" s="746" t="s">
        <v>461</v>
      </c>
      <c r="D422" s="446" t="s">
        <v>364</v>
      </c>
      <c r="E422" s="487"/>
      <c r="F422" s="488"/>
      <c r="G422" s="227"/>
      <c r="H422" s="683"/>
    </row>
    <row r="423" spans="1:8" ht="11.25">
      <c r="A423" s="73" t="s">
        <v>330</v>
      </c>
      <c r="B423" s="745" t="s">
        <v>365</v>
      </c>
      <c r="C423" s="745" t="s">
        <v>462</v>
      </c>
      <c r="D423" s="604" t="s">
        <v>366</v>
      </c>
      <c r="E423" s="487">
        <f>SUM(E424:E428)</f>
        <v>0</v>
      </c>
      <c r="F423" s="488"/>
      <c r="G423" s="227"/>
      <c r="H423" s="683"/>
    </row>
    <row r="424" spans="1:8" ht="22.5">
      <c r="A424" s="73"/>
      <c r="B424" s="745"/>
      <c r="C424" s="746" t="s">
        <v>463</v>
      </c>
      <c r="D424" s="446" t="s">
        <v>367</v>
      </c>
      <c r="E424" s="487"/>
      <c r="F424" s="488"/>
      <c r="G424" s="227"/>
      <c r="H424" s="683"/>
    </row>
    <row r="425" spans="1:8" ht="22.5">
      <c r="A425" s="73"/>
      <c r="B425" s="745"/>
      <c r="C425" s="746" t="s">
        <v>464</v>
      </c>
      <c r="D425" s="446" t="s">
        <v>368</v>
      </c>
      <c r="E425" s="487"/>
      <c r="F425" s="488"/>
      <c r="G425" s="227"/>
      <c r="H425" s="683"/>
    </row>
    <row r="426" spans="1:8" ht="22.5">
      <c r="A426" s="73"/>
      <c r="B426" s="745"/>
      <c r="C426" s="746" t="s">
        <v>465</v>
      </c>
      <c r="D426" s="446" t="s">
        <v>369</v>
      </c>
      <c r="E426" s="487"/>
      <c r="F426" s="488"/>
      <c r="G426" s="227"/>
      <c r="H426" s="683"/>
    </row>
    <row r="427" spans="1:8" ht="11.25">
      <c r="A427" s="73"/>
      <c r="B427" s="745"/>
      <c r="C427" s="746" t="s">
        <v>466</v>
      </c>
      <c r="D427" s="446" t="s">
        <v>370</v>
      </c>
      <c r="E427" s="487"/>
      <c r="F427" s="488"/>
      <c r="G427" s="227"/>
      <c r="H427" s="683"/>
    </row>
    <row r="428" spans="1:8" ht="22.5">
      <c r="A428" s="73"/>
      <c r="B428" s="745"/>
      <c r="C428" s="746" t="s">
        <v>467</v>
      </c>
      <c r="D428" s="446" t="s">
        <v>371</v>
      </c>
      <c r="E428" s="487"/>
      <c r="F428" s="488"/>
      <c r="G428" s="227"/>
      <c r="H428" s="683"/>
    </row>
    <row r="429" spans="1:8" ht="11.25">
      <c r="A429" s="749"/>
      <c r="B429" s="765"/>
      <c r="C429" s="820"/>
      <c r="D429" s="821" t="s">
        <v>447</v>
      </c>
      <c r="E429" s="767">
        <f>E397+E398+E399+E400+E401+E409+E418+E423</f>
        <v>149975</v>
      </c>
      <c r="F429" s="767">
        <f>F397+F398+F399+F400+F401+F409+F418+F423</f>
        <v>314551</v>
      </c>
      <c r="G429" s="767">
        <f>G397+G398+G399+G400+G401+G409+G418+G423</f>
        <v>614</v>
      </c>
      <c r="H429" s="768">
        <f>H397+H398+H399+H400+H401+H409+H418+H423</f>
        <v>315165</v>
      </c>
    </row>
    <row r="430" spans="1:8" ht="11.25">
      <c r="A430" s="749" t="s">
        <v>468</v>
      </c>
      <c r="B430" s="765" t="s">
        <v>373</v>
      </c>
      <c r="C430" s="766" t="s">
        <v>443</v>
      </c>
      <c r="D430" s="616" t="s">
        <v>374</v>
      </c>
      <c r="E430" s="792"/>
      <c r="F430" s="793"/>
      <c r="G430" s="227"/>
      <c r="H430" s="683"/>
    </row>
    <row r="431" spans="1:8" ht="22.5">
      <c r="A431" s="73"/>
      <c r="B431" s="739"/>
      <c r="C431" s="746" t="s">
        <v>469</v>
      </c>
      <c r="D431" s="446" t="s">
        <v>389</v>
      </c>
      <c r="E431" s="447">
        <f>E432+E433+E434</f>
        <v>0</v>
      </c>
      <c r="F431" s="448"/>
      <c r="G431" s="227"/>
      <c r="H431" s="683"/>
    </row>
    <row r="432" spans="1:8" ht="11.25">
      <c r="A432" s="73"/>
      <c r="B432" s="739"/>
      <c r="C432" s="746" t="s">
        <v>470</v>
      </c>
      <c r="D432" s="446" t="s">
        <v>376</v>
      </c>
      <c r="E432" s="447"/>
      <c r="F432" s="448"/>
      <c r="G432" s="227"/>
      <c r="H432" s="683"/>
    </row>
    <row r="433" spans="1:8" ht="22.5">
      <c r="A433" s="73"/>
      <c r="B433" s="739"/>
      <c r="C433" s="746" t="s">
        <v>471</v>
      </c>
      <c r="D433" s="446" t="s">
        <v>377</v>
      </c>
      <c r="E433" s="447"/>
      <c r="F433" s="448"/>
      <c r="G433" s="227"/>
      <c r="H433" s="683"/>
    </row>
    <row r="434" spans="1:8" ht="11.25">
      <c r="A434" s="73"/>
      <c r="B434" s="739"/>
      <c r="C434" s="746" t="s">
        <v>472</v>
      </c>
      <c r="D434" s="490" t="s">
        <v>378</v>
      </c>
      <c r="E434" s="447"/>
      <c r="F434" s="448"/>
      <c r="G434" s="227"/>
      <c r="H434" s="683"/>
    </row>
    <row r="435" spans="1:8" ht="11.25">
      <c r="A435" s="73"/>
      <c r="B435" s="739"/>
      <c r="C435" s="746" t="s">
        <v>473</v>
      </c>
      <c r="D435" s="446" t="s">
        <v>379</v>
      </c>
      <c r="E435" s="447"/>
      <c r="F435" s="448"/>
      <c r="G435" s="227"/>
      <c r="H435" s="683"/>
    </row>
    <row r="436" spans="1:8" ht="11.25">
      <c r="A436" s="73"/>
      <c r="B436" s="739"/>
      <c r="C436" s="746" t="s">
        <v>474</v>
      </c>
      <c r="D436" s="446" t="s">
        <v>380</v>
      </c>
      <c r="E436" s="447"/>
      <c r="F436" s="448"/>
      <c r="G436" s="227"/>
      <c r="H436" s="683"/>
    </row>
    <row r="437" spans="1:8" ht="22.5">
      <c r="A437" s="227"/>
      <c r="B437" s="739"/>
      <c r="C437" s="746" t="s">
        <v>475</v>
      </c>
      <c r="D437" s="446" t="s">
        <v>381</v>
      </c>
      <c r="E437" s="447"/>
      <c r="F437" s="448"/>
      <c r="G437" s="227"/>
      <c r="H437" s="683"/>
    </row>
    <row r="438" spans="1:8" ht="11.25">
      <c r="A438" s="73"/>
      <c r="B438" s="739"/>
      <c r="C438" s="746" t="s">
        <v>476</v>
      </c>
      <c r="D438" s="446" t="s">
        <v>382</v>
      </c>
      <c r="E438" s="447"/>
      <c r="F438" s="448"/>
      <c r="G438" s="227"/>
      <c r="H438" s="683"/>
    </row>
    <row r="439" spans="1:8" ht="22.5">
      <c r="A439" s="73"/>
      <c r="B439" s="739"/>
      <c r="C439" s="746" t="s">
        <v>477</v>
      </c>
      <c r="D439" s="446" t="s">
        <v>383</v>
      </c>
      <c r="E439" s="447"/>
      <c r="F439" s="448"/>
      <c r="G439" s="227"/>
      <c r="H439" s="683"/>
    </row>
    <row r="440" spans="1:8" ht="12" thickBot="1">
      <c r="A440" s="73" t="s">
        <v>944</v>
      </c>
      <c r="B440" s="769"/>
      <c r="C440" s="822" t="s">
        <v>569</v>
      </c>
      <c r="D440" s="604" t="s">
        <v>448</v>
      </c>
      <c r="E440" s="447">
        <f>E429+E438+E439</f>
        <v>149975</v>
      </c>
      <c r="F440" s="447">
        <f>F429+F438+F439</f>
        <v>314551</v>
      </c>
      <c r="G440" s="447">
        <f>G429+G438+G439</f>
        <v>614</v>
      </c>
      <c r="H440" s="771">
        <f>H429+H438+H439</f>
        <v>315165</v>
      </c>
    </row>
    <row r="441" spans="1:8" ht="12" thickBot="1">
      <c r="A441" s="772" t="s">
        <v>385</v>
      </c>
      <c r="B441" s="773"/>
      <c r="C441" s="774"/>
      <c r="D441" s="775"/>
      <c r="E441" s="815">
        <v>20.25</v>
      </c>
      <c r="F441" s="815">
        <v>20.25</v>
      </c>
      <c r="G441" s="815"/>
      <c r="H441" s="816">
        <v>20.25</v>
      </c>
    </row>
    <row r="442" spans="1:8" ht="11.25" thickBot="1">
      <c r="A442" s="978" t="s">
        <v>982</v>
      </c>
      <c r="B442" s="979"/>
      <c r="C442" s="979"/>
      <c r="D442" s="980"/>
      <c r="E442" s="815">
        <v>21.25</v>
      </c>
      <c r="F442" s="815">
        <v>21.25</v>
      </c>
      <c r="G442" s="815"/>
      <c r="H442" s="816">
        <v>21.25</v>
      </c>
    </row>
    <row r="443" spans="1:8" ht="12" thickBot="1">
      <c r="A443" s="772" t="s">
        <v>386</v>
      </c>
      <c r="B443" s="773"/>
      <c r="C443" s="774"/>
      <c r="D443" s="775"/>
      <c r="E443" s="776">
        <v>61</v>
      </c>
      <c r="F443" s="776">
        <v>159</v>
      </c>
      <c r="G443" s="776"/>
      <c r="H443" s="777">
        <f>F443+G443</f>
        <v>159</v>
      </c>
    </row>
    <row r="444" spans="1:8" ht="21.75" customHeight="1">
      <c r="A444" s="351"/>
      <c r="B444" s="394"/>
      <c r="C444" s="412"/>
      <c r="D444" s="351"/>
      <c r="E444" s="351"/>
      <c r="F444" s="351"/>
      <c r="G444" s="422"/>
      <c r="H444" s="422"/>
    </row>
    <row r="445" spans="1:8" ht="10.5">
      <c r="A445" s="972" t="s">
        <v>262</v>
      </c>
      <c r="B445" s="972"/>
      <c r="C445" s="972"/>
      <c r="D445" s="972"/>
      <c r="E445" s="972"/>
      <c r="F445" s="972"/>
      <c r="G445" s="972"/>
      <c r="H445" s="972"/>
    </row>
    <row r="446" spans="1:8" ht="15.75" customHeight="1">
      <c r="A446" s="971" t="s">
        <v>922</v>
      </c>
      <c r="B446" s="971"/>
      <c r="C446" s="971"/>
      <c r="D446" s="971"/>
      <c r="E446" s="971"/>
      <c r="F446" s="971"/>
      <c r="G446" s="971"/>
      <c r="H446" s="971"/>
    </row>
    <row r="447" spans="1:8" ht="11.25" thickBot="1">
      <c r="A447" s="418"/>
      <c r="B447" s="418"/>
      <c r="C447" s="418"/>
      <c r="D447" s="418" t="s">
        <v>921</v>
      </c>
      <c r="E447" s="418"/>
      <c r="F447" s="418"/>
      <c r="G447" s="420"/>
      <c r="H447" s="420"/>
    </row>
    <row r="448" spans="1:8" ht="39" customHeight="1" thickBot="1">
      <c r="A448" s="899"/>
      <c r="B448" s="900" t="s">
        <v>321</v>
      </c>
      <c r="C448" s="901"/>
      <c r="D448" s="800" t="s">
        <v>323</v>
      </c>
      <c r="E448" s="902" t="s">
        <v>988</v>
      </c>
      <c r="F448" s="902" t="s">
        <v>1024</v>
      </c>
      <c r="G448" s="906" t="s">
        <v>990</v>
      </c>
      <c r="H448" s="905" t="s">
        <v>1025</v>
      </c>
    </row>
    <row r="449" spans="1:8" ht="22.5" thickBot="1">
      <c r="A449" s="664" t="s">
        <v>324</v>
      </c>
      <c r="B449" s="433" t="s">
        <v>266</v>
      </c>
      <c r="C449" s="434" t="s">
        <v>390</v>
      </c>
      <c r="D449" s="435" t="s">
        <v>486</v>
      </c>
      <c r="E449" s="436">
        <f>E450+E457+E458+E459+E460</f>
        <v>0</v>
      </c>
      <c r="F449" s="436"/>
      <c r="G449" s="436">
        <f>G450+G457+G458+G459+G460</f>
        <v>0</v>
      </c>
      <c r="H449" s="437">
        <f>H450+H457+H458+H459+H460</f>
        <v>0</v>
      </c>
    </row>
    <row r="450" spans="1:8" ht="12.75">
      <c r="A450" s="665"/>
      <c r="B450" s="439"/>
      <c r="C450" s="440" t="s">
        <v>391</v>
      </c>
      <c r="D450" s="441" t="s">
        <v>487</v>
      </c>
      <c r="E450" s="442">
        <f>E451+E452+E453+E454+E455+E456</f>
        <v>0</v>
      </c>
      <c r="F450" s="464"/>
      <c r="G450" s="227"/>
      <c r="H450" s="683"/>
    </row>
    <row r="451" spans="1:8" ht="22.5">
      <c r="A451" s="666"/>
      <c r="B451" s="444"/>
      <c r="C451" s="445" t="s">
        <v>480</v>
      </c>
      <c r="D451" s="446" t="s">
        <v>267</v>
      </c>
      <c r="E451" s="447"/>
      <c r="F451" s="448"/>
      <c r="G451" s="227"/>
      <c r="H451" s="683"/>
    </row>
    <row r="452" spans="1:8" ht="22.5">
      <c r="A452" s="666"/>
      <c r="B452" s="444"/>
      <c r="C452" s="445" t="s">
        <v>481</v>
      </c>
      <c r="D452" s="446" t="s">
        <v>268</v>
      </c>
      <c r="E452" s="447"/>
      <c r="F452" s="448"/>
      <c r="G452" s="227"/>
      <c r="H452" s="683"/>
    </row>
    <row r="453" spans="1:8" ht="22.5">
      <c r="A453" s="666"/>
      <c r="B453" s="444"/>
      <c r="C453" s="445" t="s">
        <v>482</v>
      </c>
      <c r="D453" s="446" t="s">
        <v>269</v>
      </c>
      <c r="E453" s="447"/>
      <c r="F453" s="448"/>
      <c r="G453" s="227"/>
      <c r="H453" s="683"/>
    </row>
    <row r="454" spans="1:8" ht="22.5">
      <c r="A454" s="666"/>
      <c r="B454" s="444"/>
      <c r="C454" s="445" t="s">
        <v>483</v>
      </c>
      <c r="D454" s="446" t="s">
        <v>270</v>
      </c>
      <c r="E454" s="447"/>
      <c r="F454" s="448"/>
      <c r="G454" s="227"/>
      <c r="H454" s="683"/>
    </row>
    <row r="455" spans="1:8" ht="12.75">
      <c r="A455" s="666"/>
      <c r="B455" s="444"/>
      <c r="C455" s="445" t="s">
        <v>484</v>
      </c>
      <c r="D455" s="446" t="s">
        <v>271</v>
      </c>
      <c r="E455" s="447"/>
      <c r="F455" s="448"/>
      <c r="G455" s="227"/>
      <c r="H455" s="683"/>
    </row>
    <row r="456" spans="1:8" ht="12.75">
      <c r="A456" s="666"/>
      <c r="B456" s="444"/>
      <c r="C456" s="445" t="s">
        <v>485</v>
      </c>
      <c r="D456" s="446" t="s">
        <v>272</v>
      </c>
      <c r="E456" s="447"/>
      <c r="F456" s="448"/>
      <c r="G456" s="227"/>
      <c r="H456" s="683"/>
    </row>
    <row r="457" spans="1:8" ht="12.75">
      <c r="A457" s="666"/>
      <c r="B457" s="444"/>
      <c r="C457" s="445" t="s">
        <v>392</v>
      </c>
      <c r="D457" s="451" t="s">
        <v>273</v>
      </c>
      <c r="E457" s="447"/>
      <c r="F457" s="448"/>
      <c r="G457" s="227"/>
      <c r="H457" s="683"/>
    </row>
    <row r="458" spans="1:8" ht="22.5">
      <c r="A458" s="666"/>
      <c r="B458" s="444"/>
      <c r="C458" s="445" t="s">
        <v>393</v>
      </c>
      <c r="D458" s="451" t="s">
        <v>274</v>
      </c>
      <c r="E458" s="447"/>
      <c r="F458" s="448"/>
      <c r="G458" s="227"/>
      <c r="H458" s="683"/>
    </row>
    <row r="459" spans="1:8" ht="22.5">
      <c r="A459" s="666"/>
      <c r="B459" s="444"/>
      <c r="C459" s="445" t="s">
        <v>394</v>
      </c>
      <c r="D459" s="451" t="s">
        <v>275</v>
      </c>
      <c r="E459" s="447"/>
      <c r="F459" s="448"/>
      <c r="G459" s="227"/>
      <c r="H459" s="683"/>
    </row>
    <row r="460" spans="1:8" ht="23.25" thickBot="1">
      <c r="A460" s="668"/>
      <c r="B460" s="453"/>
      <c r="C460" s="445" t="s">
        <v>395</v>
      </c>
      <c r="D460" s="454" t="s">
        <v>276</v>
      </c>
      <c r="E460" s="455"/>
      <c r="F460" s="456"/>
      <c r="G460" s="763"/>
      <c r="H460" s="797"/>
    </row>
    <row r="461" spans="1:8" ht="22.5" thickBot="1">
      <c r="A461" s="664" t="s">
        <v>322</v>
      </c>
      <c r="B461" s="433" t="s">
        <v>277</v>
      </c>
      <c r="C461" s="457" t="s">
        <v>350</v>
      </c>
      <c r="D461" s="458" t="s">
        <v>402</v>
      </c>
      <c r="E461" s="436">
        <f>E462+E463+E464+E465</f>
        <v>0</v>
      </c>
      <c r="F461" s="799"/>
      <c r="G461" s="800"/>
      <c r="H461" s="801"/>
    </row>
    <row r="462" spans="1:8" ht="12.75">
      <c r="A462" s="669"/>
      <c r="B462" s="460"/>
      <c r="C462" s="461" t="s">
        <v>398</v>
      </c>
      <c r="D462" s="462" t="s">
        <v>278</v>
      </c>
      <c r="E462" s="442"/>
      <c r="F462" s="464"/>
      <c r="G462" s="708"/>
      <c r="H462" s="798"/>
    </row>
    <row r="463" spans="1:8" ht="22.5">
      <c r="A463" s="666"/>
      <c r="B463" s="465"/>
      <c r="C463" s="466" t="s">
        <v>399</v>
      </c>
      <c r="D463" s="446" t="s">
        <v>279</v>
      </c>
      <c r="E463" s="447"/>
      <c r="F463" s="448"/>
      <c r="G463" s="227"/>
      <c r="H463" s="683"/>
    </row>
    <row r="464" spans="1:8" ht="22.5">
      <c r="A464" s="666"/>
      <c r="B464" s="465"/>
      <c r="C464" s="466" t="s">
        <v>400</v>
      </c>
      <c r="D464" s="446" t="s">
        <v>280</v>
      </c>
      <c r="E464" s="447"/>
      <c r="F464" s="448"/>
      <c r="G464" s="227"/>
      <c r="H464" s="683"/>
    </row>
    <row r="465" spans="1:8" ht="23.25" thickBot="1">
      <c r="A465" s="670"/>
      <c r="B465" s="468"/>
      <c r="C465" s="469" t="s">
        <v>401</v>
      </c>
      <c r="D465" s="470" t="s">
        <v>281</v>
      </c>
      <c r="E465" s="455"/>
      <c r="F465" s="456"/>
      <c r="G465" s="763"/>
      <c r="H465" s="797"/>
    </row>
    <row r="466" spans="1:8" ht="13.5" thickBot="1">
      <c r="A466" s="664" t="s">
        <v>325</v>
      </c>
      <c r="B466" s="433" t="s">
        <v>282</v>
      </c>
      <c r="C466" s="434" t="s">
        <v>396</v>
      </c>
      <c r="D466" s="472" t="s">
        <v>408</v>
      </c>
      <c r="E466" s="436">
        <f>E468+E469+E470+E471</f>
        <v>0</v>
      </c>
      <c r="F466" s="799"/>
      <c r="G466" s="800"/>
      <c r="H466" s="801"/>
    </row>
    <row r="467" spans="1:8" ht="22.5">
      <c r="A467" s="669"/>
      <c r="B467" s="460"/>
      <c r="C467" s="461" t="s">
        <v>403</v>
      </c>
      <c r="D467" s="462" t="s">
        <v>283</v>
      </c>
      <c r="E467" s="442"/>
      <c r="F467" s="464"/>
      <c r="G467" s="708"/>
      <c r="H467" s="798"/>
    </row>
    <row r="468" spans="1:8" ht="12.75">
      <c r="A468" s="666"/>
      <c r="B468" s="465"/>
      <c r="C468" s="466" t="s">
        <v>404</v>
      </c>
      <c r="D468" s="446" t="s">
        <v>284</v>
      </c>
      <c r="E468" s="447"/>
      <c r="F468" s="448"/>
      <c r="G468" s="227"/>
      <c r="H468" s="683"/>
    </row>
    <row r="469" spans="1:8" ht="22.5">
      <c r="A469" s="666"/>
      <c r="B469" s="465"/>
      <c r="C469" s="466" t="s">
        <v>405</v>
      </c>
      <c r="D469" s="446" t="s">
        <v>285</v>
      </c>
      <c r="E469" s="447"/>
      <c r="F469" s="448"/>
      <c r="G469" s="227"/>
      <c r="H469" s="683"/>
    </row>
    <row r="470" spans="1:8" ht="12.75">
      <c r="A470" s="666"/>
      <c r="B470" s="671"/>
      <c r="C470" s="672" t="s">
        <v>406</v>
      </c>
      <c r="D470" s="673" t="s">
        <v>286</v>
      </c>
      <c r="E470" s="455"/>
      <c r="F470" s="456"/>
      <c r="G470" s="227"/>
      <c r="H470" s="683"/>
    </row>
    <row r="471" spans="1:8" ht="13.5" thickBot="1">
      <c r="A471" s="668"/>
      <c r="B471" s="474"/>
      <c r="C471" s="475" t="s">
        <v>407</v>
      </c>
      <c r="D471" s="476" t="s">
        <v>287</v>
      </c>
      <c r="E471" s="477"/>
      <c r="F471" s="478"/>
      <c r="G471" s="227"/>
      <c r="H471" s="683"/>
    </row>
    <row r="472" spans="1:8" ht="13.5" thickBot="1">
      <c r="A472" s="664" t="s">
        <v>326</v>
      </c>
      <c r="B472" s="479" t="s">
        <v>288</v>
      </c>
      <c r="C472" s="480" t="s">
        <v>397</v>
      </c>
      <c r="D472" s="472" t="s">
        <v>421</v>
      </c>
      <c r="E472" s="436">
        <f>SUM(E473:E484)</f>
        <v>52318</v>
      </c>
      <c r="F472" s="436">
        <f>SUM(F473:F484)</f>
        <v>51315</v>
      </c>
      <c r="G472" s="436">
        <f>SUM(G473:G484)</f>
        <v>-3057</v>
      </c>
      <c r="H472" s="437">
        <f>SUM(H473:H484)</f>
        <v>48258</v>
      </c>
    </row>
    <row r="473" spans="1:8" ht="12.75">
      <c r="A473" s="665"/>
      <c r="B473" s="481"/>
      <c r="C473" s="482" t="s">
        <v>409</v>
      </c>
      <c r="D473" s="462" t="s">
        <v>289</v>
      </c>
      <c r="E473" s="483"/>
      <c r="F473" s="484"/>
      <c r="G473" s="227"/>
      <c r="H473" s="667">
        <f>E473+G473</f>
        <v>0</v>
      </c>
    </row>
    <row r="474" spans="1:8" ht="12.75">
      <c r="A474" s="666"/>
      <c r="B474" s="485"/>
      <c r="C474" s="486" t="s">
        <v>410</v>
      </c>
      <c r="D474" s="446" t="s">
        <v>290</v>
      </c>
      <c r="E474" s="487"/>
      <c r="F474" s="488">
        <v>4848</v>
      </c>
      <c r="G474" s="227">
        <v>-1042</v>
      </c>
      <c r="H474" s="667">
        <f>F474+G474</f>
        <v>3806</v>
      </c>
    </row>
    <row r="475" spans="1:8" ht="12.75">
      <c r="A475" s="666"/>
      <c r="B475" s="485"/>
      <c r="C475" s="486" t="s">
        <v>411</v>
      </c>
      <c r="D475" s="446" t="s">
        <v>291</v>
      </c>
      <c r="E475" s="487"/>
      <c r="F475" s="488"/>
      <c r="G475" s="227">
        <v>113</v>
      </c>
      <c r="H475" s="667">
        <f aca="true" t="shared" si="16" ref="H475:H483">F475+G475</f>
        <v>113</v>
      </c>
    </row>
    <row r="476" spans="1:8" ht="12.75">
      <c r="A476" s="666"/>
      <c r="B476" s="485"/>
      <c r="C476" s="486" t="s">
        <v>412</v>
      </c>
      <c r="D476" s="446" t="s">
        <v>292</v>
      </c>
      <c r="E476" s="487"/>
      <c r="F476" s="488"/>
      <c r="G476" s="227"/>
      <c r="H476" s="667">
        <f t="shared" si="16"/>
        <v>0</v>
      </c>
    </row>
    <row r="477" spans="1:8" ht="12.75">
      <c r="A477" s="666"/>
      <c r="B477" s="485"/>
      <c r="C477" s="486" t="s">
        <v>413</v>
      </c>
      <c r="D477" s="446" t="s">
        <v>293</v>
      </c>
      <c r="E477" s="487">
        <v>46292</v>
      </c>
      <c r="F477" s="488">
        <v>40657</v>
      </c>
      <c r="G477" s="227">
        <v>-1079</v>
      </c>
      <c r="H477" s="667">
        <f t="shared" si="16"/>
        <v>39578</v>
      </c>
    </row>
    <row r="478" spans="1:8" ht="22.5">
      <c r="A478" s="666"/>
      <c r="B478" s="485"/>
      <c r="C478" s="486" t="s">
        <v>414</v>
      </c>
      <c r="D478" s="446" t="s">
        <v>294</v>
      </c>
      <c r="E478" s="487">
        <f>445+2599+1521+614</f>
        <v>5179</v>
      </c>
      <c r="F478" s="488">
        <v>4963</v>
      </c>
      <c r="G478" s="227">
        <v>-324</v>
      </c>
      <c r="H478" s="667">
        <f t="shared" si="16"/>
        <v>4639</v>
      </c>
    </row>
    <row r="479" spans="1:8" ht="22.5">
      <c r="A479" s="666"/>
      <c r="B479" s="485"/>
      <c r="C479" s="486" t="s">
        <v>415</v>
      </c>
      <c r="D479" s="446" t="s">
        <v>295</v>
      </c>
      <c r="E479" s="487"/>
      <c r="F479" s="488"/>
      <c r="G479" s="227"/>
      <c r="H479" s="667">
        <f t="shared" si="16"/>
        <v>0</v>
      </c>
    </row>
    <row r="480" spans="1:8" ht="22.5">
      <c r="A480" s="666"/>
      <c r="B480" s="485"/>
      <c r="C480" s="486" t="s">
        <v>416</v>
      </c>
      <c r="D480" s="446" t="s">
        <v>296</v>
      </c>
      <c r="E480" s="487">
        <f>83+392+205+167</f>
        <v>847</v>
      </c>
      <c r="F480" s="488">
        <v>847</v>
      </c>
      <c r="G480" s="227">
        <v>-847</v>
      </c>
      <c r="H480" s="667">
        <f t="shared" si="16"/>
        <v>0</v>
      </c>
    </row>
    <row r="481" spans="1:8" ht="22.5">
      <c r="A481" s="666"/>
      <c r="B481" s="485"/>
      <c r="C481" s="486" t="s">
        <v>417</v>
      </c>
      <c r="D481" s="446" t="s">
        <v>297</v>
      </c>
      <c r="E481" s="487"/>
      <c r="F481" s="488"/>
      <c r="G481" s="227"/>
      <c r="H481" s="667">
        <f t="shared" si="16"/>
        <v>0</v>
      </c>
    </row>
    <row r="482" spans="1:8" ht="12.75">
      <c r="A482" s="666"/>
      <c r="B482" s="485"/>
      <c r="C482" s="486" t="s">
        <v>418</v>
      </c>
      <c r="D482" s="489" t="s">
        <v>298</v>
      </c>
      <c r="E482" s="487"/>
      <c r="F482" s="488"/>
      <c r="G482" s="227">
        <v>8</v>
      </c>
      <c r="H482" s="667">
        <f t="shared" si="16"/>
        <v>8</v>
      </c>
    </row>
    <row r="483" spans="1:8" ht="12.75">
      <c r="A483" s="666"/>
      <c r="B483" s="485"/>
      <c r="C483" s="486" t="s">
        <v>419</v>
      </c>
      <c r="D483" s="490" t="s">
        <v>299</v>
      </c>
      <c r="E483" s="487"/>
      <c r="F483" s="488"/>
      <c r="G483" s="227"/>
      <c r="H483" s="667">
        <f t="shared" si="16"/>
        <v>0</v>
      </c>
    </row>
    <row r="484" spans="1:8" ht="13.5" thickBot="1">
      <c r="A484" s="668"/>
      <c r="B484" s="491"/>
      <c r="C484" s="492" t="s">
        <v>420</v>
      </c>
      <c r="D484" s="470" t="s">
        <v>300</v>
      </c>
      <c r="E484" s="493"/>
      <c r="F484" s="494"/>
      <c r="G484" s="227">
        <v>114</v>
      </c>
      <c r="H484" s="667">
        <f>E484+G484</f>
        <v>114</v>
      </c>
    </row>
    <row r="485" spans="1:8" ht="13.5" thickBot="1">
      <c r="A485" s="664" t="s">
        <v>327</v>
      </c>
      <c r="B485" s="495" t="s">
        <v>301</v>
      </c>
      <c r="C485" s="496" t="s">
        <v>372</v>
      </c>
      <c r="D485" s="497" t="s">
        <v>427</v>
      </c>
      <c r="E485" s="779">
        <f>+E487+E488+E489</f>
        <v>0</v>
      </c>
      <c r="F485" s="436"/>
      <c r="G485" s="436">
        <f>+G487+G488+G489</f>
        <v>0</v>
      </c>
      <c r="H485" s="437">
        <f>+H487+H488+H489</f>
        <v>0</v>
      </c>
    </row>
    <row r="486" spans="1:8" ht="12.75">
      <c r="A486" s="665"/>
      <c r="B486" s="474"/>
      <c r="C486" s="461" t="s">
        <v>423</v>
      </c>
      <c r="D486" s="780" t="s">
        <v>302</v>
      </c>
      <c r="E486" s="463"/>
      <c r="F486" s="464"/>
      <c r="G486" s="227"/>
      <c r="H486" s="683"/>
    </row>
    <row r="487" spans="1:8" ht="12.75">
      <c r="A487" s="666"/>
      <c r="B487" s="684"/>
      <c r="C487" s="466" t="s">
        <v>424</v>
      </c>
      <c r="D487" s="781" t="s">
        <v>303</v>
      </c>
      <c r="E487" s="487"/>
      <c r="F487" s="488"/>
      <c r="G487" s="227"/>
      <c r="H487" s="683"/>
    </row>
    <row r="488" spans="1:8" ht="12.75">
      <c r="A488" s="666"/>
      <c r="B488" s="684"/>
      <c r="C488" s="466" t="s">
        <v>425</v>
      </c>
      <c r="D488" s="781" t="s">
        <v>304</v>
      </c>
      <c r="E488" s="686"/>
      <c r="F488" s="484"/>
      <c r="G488" s="227"/>
      <c r="H488" s="683"/>
    </row>
    <row r="489" spans="1:8" ht="13.5" thickBot="1">
      <c r="A489" s="668"/>
      <c r="B489" s="687"/>
      <c r="C489" s="469" t="s">
        <v>426</v>
      </c>
      <c r="D489" s="782" t="s">
        <v>305</v>
      </c>
      <c r="E489" s="689"/>
      <c r="F489" s="494"/>
      <c r="G489" s="227"/>
      <c r="H489" s="683"/>
    </row>
    <row r="490" spans="1:8" ht="13.5" thickBot="1">
      <c r="A490" s="664" t="s">
        <v>328</v>
      </c>
      <c r="B490" s="690" t="s">
        <v>306</v>
      </c>
      <c r="C490" s="783" t="s">
        <v>428</v>
      </c>
      <c r="D490" s="784" t="s">
        <v>431</v>
      </c>
      <c r="E490" s="693">
        <f>E491+E492</f>
        <v>0</v>
      </c>
      <c r="F490" s="693"/>
      <c r="G490" s="693">
        <f>G491+G492</f>
        <v>0</v>
      </c>
      <c r="H490" s="694">
        <f>H491+H492</f>
        <v>0</v>
      </c>
    </row>
    <row r="491" spans="1:8" ht="22.5">
      <c r="A491" s="665"/>
      <c r="B491" s="695"/>
      <c r="C491" s="823" t="s">
        <v>429</v>
      </c>
      <c r="D491" s="789" t="s">
        <v>308</v>
      </c>
      <c r="E491" s="698"/>
      <c r="F491" s="808"/>
      <c r="G491" s="227"/>
      <c r="H491" s="683"/>
    </row>
    <row r="492" spans="1:8" ht="13.5" thickBot="1">
      <c r="A492" s="668"/>
      <c r="B492" s="703"/>
      <c r="C492" s="824" t="s">
        <v>430</v>
      </c>
      <c r="D492" s="825" t="s">
        <v>309</v>
      </c>
      <c r="E492" s="706"/>
      <c r="F492" s="707"/>
      <c r="G492" s="227"/>
      <c r="H492" s="683"/>
    </row>
    <row r="493" spans="1:8" ht="13.5" thickBot="1">
      <c r="A493" s="664" t="s">
        <v>329</v>
      </c>
      <c r="B493" s="818" t="s">
        <v>310</v>
      </c>
      <c r="C493" s="788" t="s">
        <v>384</v>
      </c>
      <c r="D493" s="784" t="s">
        <v>434</v>
      </c>
      <c r="E493" s="693">
        <f>E494+E495</f>
        <v>0</v>
      </c>
      <c r="F493" s="693"/>
      <c r="G493" s="693">
        <f>G494+G495</f>
        <v>0</v>
      </c>
      <c r="H493" s="694">
        <f>H494+H495</f>
        <v>0</v>
      </c>
    </row>
    <row r="494" spans="1:8" ht="22.5">
      <c r="A494" s="669"/>
      <c r="B494" s="695"/>
      <c r="C494" s="696" t="s">
        <v>432</v>
      </c>
      <c r="D494" s="789" t="s">
        <v>311</v>
      </c>
      <c r="E494" s="483"/>
      <c r="F494" s="484"/>
      <c r="G494" s="227"/>
      <c r="H494" s="683"/>
    </row>
    <row r="495" spans="1:8" ht="13.5" thickBot="1">
      <c r="A495" s="702"/>
      <c r="B495" s="703"/>
      <c r="C495" s="809" t="s">
        <v>433</v>
      </c>
      <c r="D495" s="826" t="s">
        <v>312</v>
      </c>
      <c r="E495" s="706"/>
      <c r="F495" s="707"/>
      <c r="G495" s="227"/>
      <c r="H495" s="683"/>
    </row>
    <row r="496" spans="1:8" ht="13.5" thickBot="1">
      <c r="A496" s="664"/>
      <c r="B496" s="433"/>
      <c r="C496" s="791"/>
      <c r="D496" s="497" t="s">
        <v>313</v>
      </c>
      <c r="E496" s="712">
        <f>E449+E461+E466+E472+E485+E490+E493</f>
        <v>52318</v>
      </c>
      <c r="F496" s="712">
        <f>F449+F461+F466+F472+F485+F490+F493</f>
        <v>51315</v>
      </c>
      <c r="G496" s="712">
        <f>G449+G461+G466+G472+G485+G490+G493</f>
        <v>-3057</v>
      </c>
      <c r="H496" s="713">
        <f>H449+H461+H466+H472+H485+H490+H493</f>
        <v>48258</v>
      </c>
    </row>
    <row r="497" spans="1:8" ht="13.5" thickBot="1">
      <c r="A497" s="664" t="s">
        <v>330</v>
      </c>
      <c r="B497" s="690" t="s">
        <v>314</v>
      </c>
      <c r="C497" s="690" t="s">
        <v>435</v>
      </c>
      <c r="D497" s="537" t="s">
        <v>442</v>
      </c>
      <c r="E497" s="436">
        <f>+E498+E499+E500+E501+E502+E503</f>
        <v>108409</v>
      </c>
      <c r="F497" s="436">
        <f>+F498+F499+F500+F501+F502+F503</f>
        <v>120184</v>
      </c>
      <c r="G497" s="436">
        <f>+G498+G499+G500+G501+G502+G503</f>
        <v>2150</v>
      </c>
      <c r="H497" s="437">
        <f>+H498+H499+H500+H501+H502+H503</f>
        <v>122334</v>
      </c>
    </row>
    <row r="498" spans="1:8" ht="12.75">
      <c r="A498" s="665"/>
      <c r="B498" s="716"/>
      <c r="C498" s="721" t="s">
        <v>436</v>
      </c>
      <c r="D498" s="441" t="s">
        <v>315</v>
      </c>
      <c r="E498" s="484"/>
      <c r="F498" s="484"/>
      <c r="G498" s="227"/>
      <c r="H498" s="667">
        <f aca="true" t="shared" si="17" ref="H498:H503">F498+G498</f>
        <v>0</v>
      </c>
    </row>
    <row r="499" spans="1:8" ht="22.5">
      <c r="A499" s="666"/>
      <c r="B499" s="684"/>
      <c r="C499" s="721" t="s">
        <v>437</v>
      </c>
      <c r="D499" s="451" t="s">
        <v>316</v>
      </c>
      <c r="E499" s="487"/>
      <c r="F499" s="488"/>
      <c r="G499" s="227"/>
      <c r="H499" s="667">
        <f t="shared" si="17"/>
        <v>0</v>
      </c>
    </row>
    <row r="500" spans="1:8" ht="12.75">
      <c r="A500" s="666"/>
      <c r="B500" s="684"/>
      <c r="C500" s="721" t="s">
        <v>438</v>
      </c>
      <c r="D500" s="451" t="s">
        <v>317</v>
      </c>
      <c r="E500" s="487"/>
      <c r="F500" s="488"/>
      <c r="G500" s="227"/>
      <c r="H500" s="667">
        <f t="shared" si="17"/>
        <v>0</v>
      </c>
    </row>
    <row r="501" spans="1:8" ht="12.75">
      <c r="A501" s="666"/>
      <c r="B501" s="684"/>
      <c r="C501" s="721" t="s">
        <v>439</v>
      </c>
      <c r="D501" s="227" t="s">
        <v>318</v>
      </c>
      <c r="E501" s="487"/>
      <c r="F501" s="488"/>
      <c r="G501" s="227"/>
      <c r="H501" s="667">
        <f t="shared" si="17"/>
        <v>0</v>
      </c>
    </row>
    <row r="502" spans="1:8" ht="12.75">
      <c r="A502" s="666"/>
      <c r="B502" s="684"/>
      <c r="C502" s="721" t="s">
        <v>440</v>
      </c>
      <c r="D502" s="451" t="s">
        <v>319</v>
      </c>
      <c r="E502" s="487"/>
      <c r="F502" s="488">
        <v>1063</v>
      </c>
      <c r="G502" s="227"/>
      <c r="H502" s="667">
        <f t="shared" si="17"/>
        <v>1063</v>
      </c>
    </row>
    <row r="503" spans="1:8" ht="13.5" thickBot="1">
      <c r="A503" s="668"/>
      <c r="B503" s="687"/>
      <c r="C503" s="721" t="s">
        <v>441</v>
      </c>
      <c r="D503" s="454" t="s">
        <v>320</v>
      </c>
      <c r="E503" s="493">
        <f>143+108266</f>
        <v>108409</v>
      </c>
      <c r="F503" s="494">
        <v>119121</v>
      </c>
      <c r="G503" s="227">
        <v>2150</v>
      </c>
      <c r="H503" s="667">
        <f t="shared" si="17"/>
        <v>121271</v>
      </c>
    </row>
    <row r="504" spans="1:8" ht="13.5" thickBot="1">
      <c r="A504" s="664" t="s">
        <v>943</v>
      </c>
      <c r="B504" s="552"/>
      <c r="C504" s="553" t="s">
        <v>443</v>
      </c>
      <c r="D504" s="497" t="s">
        <v>331</v>
      </c>
      <c r="E504" s="436">
        <f>+E496+E497</f>
        <v>160727</v>
      </c>
      <c r="F504" s="436">
        <f>+F496+F497</f>
        <v>171499</v>
      </c>
      <c r="G504" s="436">
        <f>+G496+G497</f>
        <v>-907</v>
      </c>
      <c r="H504" s="437">
        <f>+H496+H497</f>
        <v>170592</v>
      </c>
    </row>
    <row r="505" spans="1:8" ht="12.75">
      <c r="A505" s="27"/>
      <c r="B505" s="722"/>
      <c r="C505" s="723"/>
      <c r="D505" s="27"/>
      <c r="E505" s="27"/>
      <c r="F505" s="27"/>
      <c r="G505" s="724"/>
      <c r="H505" s="724"/>
    </row>
    <row r="506" spans="1:8" ht="12" thickBot="1">
      <c r="A506" s="725"/>
      <c r="B506" s="725"/>
      <c r="C506" s="726"/>
      <c r="D506" s="725" t="s">
        <v>478</v>
      </c>
      <c r="E506" s="727"/>
      <c r="F506" s="728"/>
      <c r="G506" s="729"/>
      <c r="H506" s="729"/>
    </row>
    <row r="507" spans="1:8" ht="11.25" thickBot="1">
      <c r="A507" s="730"/>
      <c r="B507" s="730"/>
      <c r="C507" s="731"/>
      <c r="D507" s="732" t="s">
        <v>449</v>
      </c>
      <c r="E507" s="436">
        <f>E508+E509+E510+E511+E512</f>
        <v>160190</v>
      </c>
      <c r="F507" s="436">
        <f>F508+F509+F510+F511+F512</f>
        <v>170912</v>
      </c>
      <c r="G507" s="436">
        <f>G508+G509+G510+G511+G512</f>
        <v>-954</v>
      </c>
      <c r="H507" s="437">
        <f>H508+H509+H510+H511+H512</f>
        <v>169958</v>
      </c>
    </row>
    <row r="508" spans="1:8" ht="11.25">
      <c r="A508" s="733" t="s">
        <v>324</v>
      </c>
      <c r="B508" s="734" t="s">
        <v>333</v>
      </c>
      <c r="C508" s="734" t="s">
        <v>390</v>
      </c>
      <c r="D508" s="735" t="s">
        <v>334</v>
      </c>
      <c r="E508" s="736">
        <v>59270</v>
      </c>
      <c r="F508" s="737">
        <v>63328</v>
      </c>
      <c r="G508" s="227">
        <v>-274</v>
      </c>
      <c r="H508" s="667">
        <f>F508+G508</f>
        <v>63054</v>
      </c>
    </row>
    <row r="509" spans="1:8" ht="21">
      <c r="A509" s="73" t="s">
        <v>322</v>
      </c>
      <c r="B509" s="738" t="s">
        <v>335</v>
      </c>
      <c r="C509" s="734" t="s">
        <v>350</v>
      </c>
      <c r="D509" s="739" t="s">
        <v>336</v>
      </c>
      <c r="E509" s="740">
        <v>16400</v>
      </c>
      <c r="F509" s="741">
        <v>15935</v>
      </c>
      <c r="G509" s="227">
        <v>330</v>
      </c>
      <c r="H509" s="667">
        <f>F509+G509</f>
        <v>16265</v>
      </c>
    </row>
    <row r="510" spans="1:8" ht="11.25">
      <c r="A510" s="73" t="s">
        <v>325</v>
      </c>
      <c r="B510" s="738" t="s">
        <v>337</v>
      </c>
      <c r="C510" s="734" t="s">
        <v>396</v>
      </c>
      <c r="D510" s="739" t="s">
        <v>338</v>
      </c>
      <c r="E510" s="740">
        <v>84520</v>
      </c>
      <c r="F510" s="741">
        <v>89017</v>
      </c>
      <c r="G510" s="227">
        <v>-1031</v>
      </c>
      <c r="H510" s="667">
        <f>F510+G510</f>
        <v>87986</v>
      </c>
    </row>
    <row r="511" spans="1:8" ht="11.25">
      <c r="A511" s="73" t="s">
        <v>326</v>
      </c>
      <c r="B511" s="738" t="s">
        <v>339</v>
      </c>
      <c r="C511" s="734" t="s">
        <v>397</v>
      </c>
      <c r="D511" s="739" t="s">
        <v>340</v>
      </c>
      <c r="E511" s="740"/>
      <c r="F511" s="741"/>
      <c r="G511" s="227"/>
      <c r="H511" s="667">
        <f>F511+G511</f>
        <v>0</v>
      </c>
    </row>
    <row r="512" spans="1:8" ht="10.5">
      <c r="A512" s="73" t="s">
        <v>327</v>
      </c>
      <c r="B512" s="738" t="s">
        <v>341</v>
      </c>
      <c r="C512" s="734" t="s">
        <v>372</v>
      </c>
      <c r="D512" s="742" t="s">
        <v>342</v>
      </c>
      <c r="E512" s="743">
        <f>SUM(E513:E519)</f>
        <v>0</v>
      </c>
      <c r="F512" s="743">
        <f>SUM(F513:F519)</f>
        <v>2632</v>
      </c>
      <c r="G512" s="743">
        <f>SUM(G513:G519)</f>
        <v>21</v>
      </c>
      <c r="H512" s="759">
        <f>SUM(H513:H519)</f>
        <v>2653</v>
      </c>
    </row>
    <row r="513" spans="1:8" ht="11.25">
      <c r="A513" s="73"/>
      <c r="B513" s="745"/>
      <c r="C513" s="746" t="s">
        <v>423</v>
      </c>
      <c r="D513" s="446" t="s">
        <v>343</v>
      </c>
      <c r="E513" s="487"/>
      <c r="F513" s="488">
        <v>2632</v>
      </c>
      <c r="G513" s="227">
        <v>21</v>
      </c>
      <c r="H513" s="667">
        <f>F513+G513</f>
        <v>2653</v>
      </c>
    </row>
    <row r="514" spans="1:8" ht="22.5">
      <c r="A514" s="73"/>
      <c r="B514" s="745"/>
      <c r="C514" s="746" t="s">
        <v>424</v>
      </c>
      <c r="D514" s="446" t="s">
        <v>344</v>
      </c>
      <c r="E514" s="487"/>
      <c r="F514" s="488"/>
      <c r="G514" s="227"/>
      <c r="H514" s="683"/>
    </row>
    <row r="515" spans="1:8" ht="22.5">
      <c r="A515" s="747"/>
      <c r="B515" s="745"/>
      <c r="C515" s="746" t="s">
        <v>425</v>
      </c>
      <c r="D515" s="446" t="s">
        <v>345</v>
      </c>
      <c r="E515" s="487"/>
      <c r="F515" s="488"/>
      <c r="G515" s="227"/>
      <c r="H515" s="683"/>
    </row>
    <row r="516" spans="1:8" ht="22.5">
      <c r="A516" s="748"/>
      <c r="B516" s="745"/>
      <c r="C516" s="746" t="s">
        <v>426</v>
      </c>
      <c r="D516" s="446" t="s">
        <v>346</v>
      </c>
      <c r="E516" s="487"/>
      <c r="F516" s="488">
        <v>0</v>
      </c>
      <c r="G516" s="227">
        <v>0</v>
      </c>
      <c r="H516" s="667">
        <f>G516+F516</f>
        <v>0</v>
      </c>
    </row>
    <row r="517" spans="1:8" ht="22.5">
      <c r="A517" s="73"/>
      <c r="B517" s="745"/>
      <c r="C517" s="746" t="s">
        <v>450</v>
      </c>
      <c r="D517" s="446" t="s">
        <v>347</v>
      </c>
      <c r="E517" s="487"/>
      <c r="F517" s="488"/>
      <c r="G517" s="227"/>
      <c r="H517" s="683"/>
    </row>
    <row r="518" spans="1:8" ht="22.5">
      <c r="A518" s="73"/>
      <c r="B518" s="745"/>
      <c r="C518" s="746" t="s">
        <v>451</v>
      </c>
      <c r="D518" s="446" t="s">
        <v>348</v>
      </c>
      <c r="E518" s="487"/>
      <c r="F518" s="488"/>
      <c r="G518" s="227"/>
      <c r="H518" s="683"/>
    </row>
    <row r="519" spans="1:8" ht="12" thickBot="1">
      <c r="A519" s="761"/>
      <c r="B519" s="750"/>
      <c r="C519" s="746" t="s">
        <v>452</v>
      </c>
      <c r="D519" s="673" t="s">
        <v>349</v>
      </c>
      <c r="E519" s="689"/>
      <c r="F519" s="494"/>
      <c r="G519" s="227"/>
      <c r="H519" s="683"/>
    </row>
    <row r="520" spans="1:8" ht="11.25" thickBot="1">
      <c r="A520" s="730" t="s">
        <v>328</v>
      </c>
      <c r="B520" s="751"/>
      <c r="C520" s="752" t="s">
        <v>375</v>
      </c>
      <c r="D520" s="751" t="s">
        <v>388</v>
      </c>
      <c r="E520" s="436">
        <f>E521+E529</f>
        <v>537</v>
      </c>
      <c r="F520" s="436">
        <f>F521+F529</f>
        <v>587</v>
      </c>
      <c r="G520" s="436">
        <f>G521+G529</f>
        <v>47</v>
      </c>
      <c r="H520" s="437">
        <f>H521+H529</f>
        <v>634</v>
      </c>
    </row>
    <row r="521" spans="1:8" ht="11.25">
      <c r="A521" s="753"/>
      <c r="B521" s="754" t="s">
        <v>351</v>
      </c>
      <c r="C521" s="755" t="s">
        <v>429</v>
      </c>
      <c r="D521" s="596" t="s">
        <v>352</v>
      </c>
      <c r="E521" s="686">
        <f>E522+E523+E524+E525+E526+E527+E528</f>
        <v>537</v>
      </c>
      <c r="F521" s="686">
        <f>F522+F523+F524+F525+F526+F527+F528</f>
        <v>587</v>
      </c>
      <c r="G521" s="686">
        <f>G522+G523+G524+G525+G526+G527+G528</f>
        <v>47</v>
      </c>
      <c r="H521" s="827">
        <f>H522+H523+H524+H525+H526+H527+H528</f>
        <v>634</v>
      </c>
    </row>
    <row r="522" spans="1:8" ht="11.25">
      <c r="A522" s="733"/>
      <c r="B522" s="755"/>
      <c r="C522" s="757" t="s">
        <v>453</v>
      </c>
      <c r="D522" s="446" t="s">
        <v>353</v>
      </c>
      <c r="E522" s="758"/>
      <c r="F522" s="484"/>
      <c r="G522" s="227"/>
      <c r="H522" s="683"/>
    </row>
    <row r="523" spans="1:8" ht="11.25">
      <c r="A523" s="733"/>
      <c r="B523" s="755"/>
      <c r="C523" s="757" t="s">
        <v>454</v>
      </c>
      <c r="D523" s="490" t="s">
        <v>354</v>
      </c>
      <c r="E523" s="758"/>
      <c r="F523" s="484"/>
      <c r="G523" s="227"/>
      <c r="H523" s="683"/>
    </row>
    <row r="524" spans="1:8" ht="11.25">
      <c r="A524" s="733"/>
      <c r="B524" s="755"/>
      <c r="C524" s="757" t="s">
        <v>455</v>
      </c>
      <c r="D524" s="446" t="s">
        <v>355</v>
      </c>
      <c r="E524" s="758">
        <v>200</v>
      </c>
      <c r="F524" s="484">
        <v>200</v>
      </c>
      <c r="G524" s="227">
        <v>-25</v>
      </c>
      <c r="H524" s="667">
        <f>F524+G524</f>
        <v>175</v>
      </c>
    </row>
    <row r="525" spans="1:8" ht="11.25">
      <c r="A525" s="747"/>
      <c r="B525" s="755"/>
      <c r="C525" s="757" t="s">
        <v>456</v>
      </c>
      <c r="D525" s="446" t="s">
        <v>356</v>
      </c>
      <c r="E525" s="758">
        <v>223</v>
      </c>
      <c r="F525" s="484">
        <v>262</v>
      </c>
      <c r="G525" s="227">
        <v>62</v>
      </c>
      <c r="H525" s="667">
        <f>F525+G525</f>
        <v>324</v>
      </c>
    </row>
    <row r="526" spans="1:8" ht="11.25">
      <c r="A526" s="748"/>
      <c r="B526" s="755"/>
      <c r="C526" s="757" t="s">
        <v>457</v>
      </c>
      <c r="D526" s="446" t="s">
        <v>357</v>
      </c>
      <c r="E526" s="758"/>
      <c r="F526" s="484"/>
      <c r="G526" s="227"/>
      <c r="H526" s="667">
        <f>F526+G526</f>
        <v>0</v>
      </c>
    </row>
    <row r="527" spans="1:8" ht="22.5">
      <c r="A527" s="748"/>
      <c r="B527" s="755"/>
      <c r="C527" s="757" t="s">
        <v>458</v>
      </c>
      <c r="D527" s="446" t="s">
        <v>387</v>
      </c>
      <c r="E527" s="758"/>
      <c r="F527" s="484"/>
      <c r="G527" s="227"/>
      <c r="H527" s="667">
        <f>F527+G527</f>
        <v>0</v>
      </c>
    </row>
    <row r="528" spans="1:8" ht="22.5">
      <c r="A528" s="747"/>
      <c r="B528" s="755"/>
      <c r="C528" s="757" t="s">
        <v>459</v>
      </c>
      <c r="D528" s="446" t="s">
        <v>358</v>
      </c>
      <c r="E528" s="758">
        <v>114</v>
      </c>
      <c r="F528" s="484">
        <v>125</v>
      </c>
      <c r="G528" s="227">
        <v>10</v>
      </c>
      <c r="H528" s="667">
        <f>F528+G528</f>
        <v>135</v>
      </c>
    </row>
    <row r="529" spans="1:8" ht="11.25">
      <c r="A529" s="73" t="s">
        <v>329</v>
      </c>
      <c r="B529" s="738" t="s">
        <v>359</v>
      </c>
      <c r="C529" s="738" t="s">
        <v>384</v>
      </c>
      <c r="D529" s="604" t="s">
        <v>360</v>
      </c>
      <c r="E529" s="740">
        <f>E530+E531+E532+E533</f>
        <v>0</v>
      </c>
      <c r="F529" s="741"/>
      <c r="G529" s="227"/>
      <c r="H529" s="683"/>
    </row>
    <row r="530" spans="1:8" ht="11.25">
      <c r="A530" s="73"/>
      <c r="B530" s="745"/>
      <c r="C530" s="746" t="s">
        <v>432</v>
      </c>
      <c r="D530" s="446" t="s">
        <v>361</v>
      </c>
      <c r="E530" s="487"/>
      <c r="F530" s="488"/>
      <c r="G530" s="227"/>
      <c r="H530" s="683"/>
    </row>
    <row r="531" spans="1:8" ht="11.25">
      <c r="A531" s="73"/>
      <c r="B531" s="745"/>
      <c r="C531" s="746" t="s">
        <v>433</v>
      </c>
      <c r="D531" s="446" t="s">
        <v>362</v>
      </c>
      <c r="E531" s="487"/>
      <c r="F531" s="488"/>
      <c r="G531" s="227"/>
      <c r="H531" s="683"/>
    </row>
    <row r="532" spans="1:8" ht="11.25">
      <c r="A532" s="73"/>
      <c r="B532" s="745"/>
      <c r="C532" s="746" t="s">
        <v>460</v>
      </c>
      <c r="D532" s="446" t="s">
        <v>363</v>
      </c>
      <c r="E532" s="487"/>
      <c r="F532" s="488"/>
      <c r="G532" s="227"/>
      <c r="H532" s="683"/>
    </row>
    <row r="533" spans="1:8" ht="22.5">
      <c r="A533" s="73"/>
      <c r="B533" s="745"/>
      <c r="C533" s="746" t="s">
        <v>461</v>
      </c>
      <c r="D533" s="446" t="s">
        <v>364</v>
      </c>
      <c r="E533" s="487"/>
      <c r="F533" s="488"/>
      <c r="G533" s="227"/>
      <c r="H533" s="683"/>
    </row>
    <row r="534" spans="1:8" ht="11.25">
      <c r="A534" s="73" t="s">
        <v>330</v>
      </c>
      <c r="B534" s="745" t="s">
        <v>365</v>
      </c>
      <c r="C534" s="745" t="s">
        <v>462</v>
      </c>
      <c r="D534" s="604" t="s">
        <v>366</v>
      </c>
      <c r="E534" s="487">
        <f>SUM(E535:E539)</f>
        <v>0</v>
      </c>
      <c r="F534" s="488"/>
      <c r="G534" s="227"/>
      <c r="H534" s="683"/>
    </row>
    <row r="535" spans="1:8" ht="22.5">
      <c r="A535" s="73"/>
      <c r="B535" s="745"/>
      <c r="C535" s="746" t="s">
        <v>463</v>
      </c>
      <c r="D535" s="446" t="s">
        <v>367</v>
      </c>
      <c r="E535" s="487"/>
      <c r="F535" s="488"/>
      <c r="G535" s="227"/>
      <c r="H535" s="683"/>
    </row>
    <row r="536" spans="1:8" ht="22.5">
      <c r="A536" s="73"/>
      <c r="B536" s="745"/>
      <c r="C536" s="746" t="s">
        <v>464</v>
      </c>
      <c r="D536" s="446" t="s">
        <v>368</v>
      </c>
      <c r="E536" s="487"/>
      <c r="F536" s="488"/>
      <c r="G536" s="227"/>
      <c r="H536" s="683"/>
    </row>
    <row r="537" spans="1:8" ht="22.5">
      <c r="A537" s="73"/>
      <c r="B537" s="745"/>
      <c r="C537" s="746" t="s">
        <v>465</v>
      </c>
      <c r="D537" s="446" t="s">
        <v>369</v>
      </c>
      <c r="E537" s="487"/>
      <c r="F537" s="488"/>
      <c r="G537" s="227"/>
      <c r="H537" s="683"/>
    </row>
    <row r="538" spans="1:8" ht="11.25">
      <c r="A538" s="73"/>
      <c r="B538" s="745"/>
      <c r="C538" s="746" t="s">
        <v>466</v>
      </c>
      <c r="D538" s="446" t="s">
        <v>370</v>
      </c>
      <c r="E538" s="487"/>
      <c r="F538" s="488"/>
      <c r="G538" s="227"/>
      <c r="H538" s="683"/>
    </row>
    <row r="539" spans="1:8" ht="22.5">
      <c r="A539" s="73"/>
      <c r="B539" s="745"/>
      <c r="C539" s="746" t="s">
        <v>467</v>
      </c>
      <c r="D539" s="446" t="s">
        <v>371</v>
      </c>
      <c r="E539" s="487"/>
      <c r="F539" s="488"/>
      <c r="G539" s="227"/>
      <c r="H539" s="683"/>
    </row>
    <row r="540" spans="1:8" ht="11.25">
      <c r="A540" s="749"/>
      <c r="B540" s="739"/>
      <c r="C540" s="738"/>
      <c r="D540" s="604" t="s">
        <v>447</v>
      </c>
      <c r="E540" s="767">
        <f>E508+E509+E510+E511+E512+E520+E529+E534</f>
        <v>160727</v>
      </c>
      <c r="F540" s="767">
        <f>F508+F509+F510+F511+F512+F520+F529+F534</f>
        <v>171499</v>
      </c>
      <c r="G540" s="767">
        <f>G508+G509+G510+G511+G512+G520+G529+G534</f>
        <v>-907</v>
      </c>
      <c r="H540" s="828">
        <f>H508+H509+H510+H511+H512+H520+H529+H534</f>
        <v>170592</v>
      </c>
    </row>
    <row r="541" spans="1:8" ht="11.25">
      <c r="A541" s="749" t="s">
        <v>468</v>
      </c>
      <c r="B541" s="765" t="s">
        <v>373</v>
      </c>
      <c r="C541" s="766" t="s">
        <v>443</v>
      </c>
      <c r="D541" s="616" t="s">
        <v>374</v>
      </c>
      <c r="E541" s="792"/>
      <c r="F541" s="793"/>
      <c r="G541" s="227"/>
      <c r="H541" s="683"/>
    </row>
    <row r="542" spans="1:8" ht="22.5">
      <c r="A542" s="73"/>
      <c r="B542" s="739"/>
      <c r="C542" s="746" t="s">
        <v>469</v>
      </c>
      <c r="D542" s="446" t="s">
        <v>389</v>
      </c>
      <c r="E542" s="447">
        <f>E543+E544+E545</f>
        <v>0</v>
      </c>
      <c r="F542" s="448"/>
      <c r="G542" s="227"/>
      <c r="H542" s="683"/>
    </row>
    <row r="543" spans="1:8" ht="11.25">
      <c r="A543" s="73"/>
      <c r="B543" s="739"/>
      <c r="C543" s="746" t="s">
        <v>470</v>
      </c>
      <c r="D543" s="446" t="s">
        <v>376</v>
      </c>
      <c r="E543" s="447"/>
      <c r="F543" s="448"/>
      <c r="G543" s="227"/>
      <c r="H543" s="683"/>
    </row>
    <row r="544" spans="1:8" ht="22.5">
      <c r="A544" s="73"/>
      <c r="B544" s="739"/>
      <c r="C544" s="746" t="s">
        <v>471</v>
      </c>
      <c r="D544" s="446" t="s">
        <v>377</v>
      </c>
      <c r="E544" s="447"/>
      <c r="F544" s="448"/>
      <c r="G544" s="227"/>
      <c r="H544" s="683"/>
    </row>
    <row r="545" spans="1:8" ht="11.25">
      <c r="A545" s="73"/>
      <c r="B545" s="739"/>
      <c r="C545" s="746" t="s">
        <v>472</v>
      </c>
      <c r="D545" s="490" t="s">
        <v>378</v>
      </c>
      <c r="E545" s="447"/>
      <c r="F545" s="448"/>
      <c r="G545" s="227"/>
      <c r="H545" s="683"/>
    </row>
    <row r="546" spans="1:8" ht="11.25">
      <c r="A546" s="73"/>
      <c r="B546" s="739"/>
      <c r="C546" s="746" t="s">
        <v>473</v>
      </c>
      <c r="D546" s="446" t="s">
        <v>379</v>
      </c>
      <c r="E546" s="447"/>
      <c r="F546" s="448"/>
      <c r="G546" s="227"/>
      <c r="H546" s="683"/>
    </row>
    <row r="547" spans="1:8" ht="11.25">
      <c r="A547" s="73"/>
      <c r="B547" s="739"/>
      <c r="C547" s="746" t="s">
        <v>474</v>
      </c>
      <c r="D547" s="446" t="s">
        <v>380</v>
      </c>
      <c r="E547" s="447"/>
      <c r="F547" s="448"/>
      <c r="G547" s="227"/>
      <c r="H547" s="683"/>
    </row>
    <row r="548" spans="1:8" ht="22.5">
      <c r="A548" s="227"/>
      <c r="B548" s="739"/>
      <c r="C548" s="746" t="s">
        <v>475</v>
      </c>
      <c r="D548" s="446" t="s">
        <v>381</v>
      </c>
      <c r="E548" s="447"/>
      <c r="F548" s="448"/>
      <c r="G548" s="227"/>
      <c r="H548" s="683"/>
    </row>
    <row r="549" spans="1:8" ht="11.25">
      <c r="A549" s="73"/>
      <c r="B549" s="739"/>
      <c r="C549" s="746" t="s">
        <v>476</v>
      </c>
      <c r="D549" s="446" t="s">
        <v>382</v>
      </c>
      <c r="E549" s="447"/>
      <c r="F549" s="448"/>
      <c r="G549" s="227"/>
      <c r="H549" s="683"/>
    </row>
    <row r="550" spans="1:8" ht="22.5">
      <c r="A550" s="73"/>
      <c r="B550" s="739"/>
      <c r="C550" s="746" t="s">
        <v>477</v>
      </c>
      <c r="D550" s="446" t="s">
        <v>383</v>
      </c>
      <c r="E550" s="447"/>
      <c r="F550" s="448"/>
      <c r="G550" s="227"/>
      <c r="H550" s="683"/>
    </row>
    <row r="551" spans="1:8" ht="12" thickBot="1">
      <c r="A551" s="73" t="s">
        <v>944</v>
      </c>
      <c r="B551" s="769"/>
      <c r="C551" s="822" t="s">
        <v>569</v>
      </c>
      <c r="D551" s="604" t="s">
        <v>448</v>
      </c>
      <c r="E551" s="447">
        <f>E540+E549+E550</f>
        <v>160727</v>
      </c>
      <c r="F551" s="447">
        <f>F540+F549+F550</f>
        <v>171499</v>
      </c>
      <c r="G551" s="447">
        <f>G540+G549+G550</f>
        <v>-907</v>
      </c>
      <c r="H551" s="829">
        <f>H540+H549+H550</f>
        <v>170592</v>
      </c>
    </row>
    <row r="552" spans="1:8" ht="12" thickBot="1">
      <c r="A552" s="772" t="s">
        <v>385</v>
      </c>
      <c r="B552" s="773"/>
      <c r="C552" s="774"/>
      <c r="D552" s="775"/>
      <c r="E552" s="795">
        <v>33.5</v>
      </c>
      <c r="F552" s="795">
        <v>34.5</v>
      </c>
      <c r="G552" s="795"/>
      <c r="H552" s="796">
        <f>1+33.5</f>
        <v>34.5</v>
      </c>
    </row>
    <row r="553" spans="1:8" ht="12" thickBot="1">
      <c r="A553" s="772" t="s">
        <v>386</v>
      </c>
      <c r="B553" s="773"/>
      <c r="C553" s="774"/>
      <c r="D553" s="775"/>
      <c r="E553" s="776">
        <v>0</v>
      </c>
      <c r="F553" s="776"/>
      <c r="G553" s="776">
        <v>0</v>
      </c>
      <c r="H553" s="777">
        <v>0</v>
      </c>
    </row>
    <row r="554" spans="1:8" ht="10.5">
      <c r="A554" s="351"/>
      <c r="B554" s="394"/>
      <c r="C554" s="412"/>
      <c r="D554" s="351"/>
      <c r="E554" s="351"/>
      <c r="F554" s="351"/>
      <c r="G554" s="421"/>
      <c r="H554" s="421"/>
    </row>
    <row r="555" spans="1:8" ht="10.5">
      <c r="A555" s="972" t="s">
        <v>261</v>
      </c>
      <c r="B555" s="972"/>
      <c r="C555" s="972"/>
      <c r="D555" s="972"/>
      <c r="E555" s="972"/>
      <c r="F555" s="972"/>
      <c r="G555" s="972"/>
      <c r="H555" s="972"/>
    </row>
    <row r="556" spans="1:8" ht="9.75" customHeight="1">
      <c r="A556" s="971" t="s">
        <v>923</v>
      </c>
      <c r="B556" s="971"/>
      <c r="C556" s="971"/>
      <c r="D556" s="971"/>
      <c r="E556" s="971"/>
      <c r="F556" s="971"/>
      <c r="G556" s="971"/>
      <c r="H556" s="971"/>
    </row>
    <row r="557" spans="1:8" ht="10.5">
      <c r="A557" s="981"/>
      <c r="B557" s="981"/>
      <c r="C557" s="981"/>
      <c r="D557" s="981"/>
      <c r="E557" s="981"/>
      <c r="F557" s="346"/>
      <c r="G557" s="420"/>
      <c r="H557" s="420"/>
    </row>
    <row r="558" spans="1:8" ht="11.25" thickBot="1">
      <c r="A558" s="973" t="s">
        <v>479</v>
      </c>
      <c r="B558" s="973"/>
      <c r="C558" s="973"/>
      <c r="D558" s="973"/>
      <c r="E558" s="973"/>
      <c r="F558" s="411"/>
      <c r="G558" s="423"/>
      <c r="H558" s="423"/>
    </row>
    <row r="559" spans="1:8" ht="33" customHeight="1" thickBot="1">
      <c r="A559" s="899"/>
      <c r="B559" s="900" t="s">
        <v>321</v>
      </c>
      <c r="C559" s="901"/>
      <c r="D559" s="800" t="s">
        <v>323</v>
      </c>
      <c r="E559" s="902" t="s">
        <v>988</v>
      </c>
      <c r="F559" s="902" t="s">
        <v>1024</v>
      </c>
      <c r="G559" s="906" t="s">
        <v>990</v>
      </c>
      <c r="H559" s="905" t="s">
        <v>1025</v>
      </c>
    </row>
    <row r="560" spans="1:8" ht="22.5" thickBot="1">
      <c r="A560" s="664" t="s">
        <v>324</v>
      </c>
      <c r="B560" s="433" t="s">
        <v>266</v>
      </c>
      <c r="C560" s="434" t="s">
        <v>390</v>
      </c>
      <c r="D560" s="435" t="s">
        <v>486</v>
      </c>
      <c r="E560" s="436">
        <f>E561+E568+E569+E570+E571</f>
        <v>0</v>
      </c>
      <c r="F560" s="436"/>
      <c r="G560" s="436">
        <f>G561+G568+G569+G570+G571</f>
        <v>0</v>
      </c>
      <c r="H560" s="437">
        <f>H561+H568+H569+H570+H571</f>
        <v>0</v>
      </c>
    </row>
    <row r="561" spans="1:8" ht="12.75">
      <c r="A561" s="665"/>
      <c r="B561" s="439"/>
      <c r="C561" s="440" t="s">
        <v>391</v>
      </c>
      <c r="D561" s="441" t="s">
        <v>487</v>
      </c>
      <c r="E561" s="442">
        <f>E562+E563+E564+E565+E566+E567</f>
        <v>0</v>
      </c>
      <c r="F561" s="464"/>
      <c r="G561" s="227"/>
      <c r="H561" s="683"/>
    </row>
    <row r="562" spans="1:8" ht="22.5">
      <c r="A562" s="666"/>
      <c r="B562" s="444"/>
      <c r="C562" s="445" t="s">
        <v>480</v>
      </c>
      <c r="D562" s="446" t="s">
        <v>267</v>
      </c>
      <c r="E562" s="447"/>
      <c r="F562" s="448"/>
      <c r="G562" s="227"/>
      <c r="H562" s="683"/>
    </row>
    <row r="563" spans="1:8" ht="22.5">
      <c r="A563" s="666"/>
      <c r="B563" s="444"/>
      <c r="C563" s="445" t="s">
        <v>481</v>
      </c>
      <c r="D563" s="446" t="s">
        <v>268</v>
      </c>
      <c r="E563" s="447"/>
      <c r="F563" s="448"/>
      <c r="G563" s="227"/>
      <c r="H563" s="683"/>
    </row>
    <row r="564" spans="1:8" ht="22.5">
      <c r="A564" s="666"/>
      <c r="B564" s="444"/>
      <c r="C564" s="445" t="s">
        <v>482</v>
      </c>
      <c r="D564" s="446" t="s">
        <v>269</v>
      </c>
      <c r="E564" s="447"/>
      <c r="F564" s="448"/>
      <c r="G564" s="227"/>
      <c r="H564" s="683"/>
    </row>
    <row r="565" spans="1:8" ht="22.5">
      <c r="A565" s="666"/>
      <c r="B565" s="444"/>
      <c r="C565" s="445" t="s">
        <v>483</v>
      </c>
      <c r="D565" s="446" t="s">
        <v>270</v>
      </c>
      <c r="E565" s="447"/>
      <c r="F565" s="448"/>
      <c r="G565" s="227"/>
      <c r="H565" s="683"/>
    </row>
    <row r="566" spans="1:8" ht="12.75">
      <c r="A566" s="666"/>
      <c r="B566" s="444"/>
      <c r="C566" s="445" t="s">
        <v>484</v>
      </c>
      <c r="D566" s="446" t="s">
        <v>271</v>
      </c>
      <c r="E566" s="447"/>
      <c r="F566" s="448"/>
      <c r="G566" s="227"/>
      <c r="H566" s="683"/>
    </row>
    <row r="567" spans="1:8" ht="12.75">
      <c r="A567" s="666"/>
      <c r="B567" s="444"/>
      <c r="C567" s="445" t="s">
        <v>485</v>
      </c>
      <c r="D567" s="446" t="s">
        <v>272</v>
      </c>
      <c r="E567" s="447"/>
      <c r="F567" s="448"/>
      <c r="G567" s="227"/>
      <c r="H567" s="683"/>
    </row>
    <row r="568" spans="1:8" ht="12.75">
      <c r="A568" s="666"/>
      <c r="B568" s="444"/>
      <c r="C568" s="445" t="s">
        <v>392</v>
      </c>
      <c r="D568" s="451" t="s">
        <v>273</v>
      </c>
      <c r="E568" s="447"/>
      <c r="F568" s="448"/>
      <c r="G568" s="227"/>
      <c r="H568" s="683"/>
    </row>
    <row r="569" spans="1:8" ht="22.5">
      <c r="A569" s="666"/>
      <c r="B569" s="444"/>
      <c r="C569" s="445" t="s">
        <v>393</v>
      </c>
      <c r="D569" s="451" t="s">
        <v>274</v>
      </c>
      <c r="E569" s="447"/>
      <c r="F569" s="448"/>
      <c r="G569" s="227"/>
      <c r="H569" s="683"/>
    </row>
    <row r="570" spans="1:8" ht="22.5">
      <c r="A570" s="666"/>
      <c r="B570" s="444"/>
      <c r="C570" s="445" t="s">
        <v>394</v>
      </c>
      <c r="D570" s="451" t="s">
        <v>275</v>
      </c>
      <c r="E570" s="447"/>
      <c r="F570" s="448"/>
      <c r="G570" s="227"/>
      <c r="H570" s="683"/>
    </row>
    <row r="571" spans="1:8" ht="23.25" thickBot="1">
      <c r="A571" s="668"/>
      <c r="B571" s="453"/>
      <c r="C571" s="445" t="s">
        <v>395</v>
      </c>
      <c r="D571" s="454" t="s">
        <v>276</v>
      </c>
      <c r="E571" s="455"/>
      <c r="F571" s="456"/>
      <c r="G571" s="227"/>
      <c r="H571" s="683"/>
    </row>
    <row r="572" spans="1:8" ht="22.5" thickBot="1">
      <c r="A572" s="664" t="s">
        <v>322</v>
      </c>
      <c r="B572" s="433" t="s">
        <v>277</v>
      </c>
      <c r="C572" s="457" t="s">
        <v>350</v>
      </c>
      <c r="D572" s="458" t="s">
        <v>402</v>
      </c>
      <c r="E572" s="436">
        <f>E573+E574+E575+E576</f>
        <v>0</v>
      </c>
      <c r="F572" s="436"/>
      <c r="G572" s="436">
        <f>G573+G574+G575+G576</f>
        <v>0</v>
      </c>
      <c r="H572" s="437">
        <f>H573+H574+H575+H576</f>
        <v>0</v>
      </c>
    </row>
    <row r="573" spans="1:8" ht="12.75">
      <c r="A573" s="669"/>
      <c r="B573" s="460"/>
      <c r="C573" s="461" t="s">
        <v>398</v>
      </c>
      <c r="D573" s="462" t="s">
        <v>278</v>
      </c>
      <c r="E573" s="463"/>
      <c r="F573" s="464"/>
      <c r="G573" s="227"/>
      <c r="H573" s="683"/>
    </row>
    <row r="574" spans="1:8" ht="22.5">
      <c r="A574" s="666"/>
      <c r="B574" s="465"/>
      <c r="C574" s="466" t="s">
        <v>399</v>
      </c>
      <c r="D574" s="446" t="s">
        <v>279</v>
      </c>
      <c r="E574" s="447"/>
      <c r="F574" s="448"/>
      <c r="G574" s="227"/>
      <c r="H574" s="683"/>
    </row>
    <row r="575" spans="1:8" ht="22.5">
      <c r="A575" s="666"/>
      <c r="B575" s="465"/>
      <c r="C575" s="466" t="s">
        <v>400</v>
      </c>
      <c r="D575" s="446" t="s">
        <v>280</v>
      </c>
      <c r="E575" s="447"/>
      <c r="F575" s="448"/>
      <c r="G575" s="227"/>
      <c r="H575" s="683"/>
    </row>
    <row r="576" spans="1:8" ht="23.25" thickBot="1">
      <c r="A576" s="670"/>
      <c r="B576" s="468"/>
      <c r="C576" s="469" t="s">
        <v>401</v>
      </c>
      <c r="D576" s="470" t="s">
        <v>281</v>
      </c>
      <c r="E576" s="471"/>
      <c r="F576" s="456"/>
      <c r="G576" s="227"/>
      <c r="H576" s="683"/>
    </row>
    <row r="577" spans="1:8" ht="13.5" thickBot="1">
      <c r="A577" s="664" t="s">
        <v>325</v>
      </c>
      <c r="B577" s="433" t="s">
        <v>282</v>
      </c>
      <c r="C577" s="434" t="s">
        <v>396</v>
      </c>
      <c r="D577" s="472" t="s">
        <v>408</v>
      </c>
      <c r="E577" s="436">
        <f>E579+E580+E581+E582</f>
        <v>0</v>
      </c>
      <c r="F577" s="436"/>
      <c r="G577" s="436">
        <f>G579+G580+G581+G582</f>
        <v>0</v>
      </c>
      <c r="H577" s="437">
        <f>H579+H580+H581+H582</f>
        <v>0</v>
      </c>
    </row>
    <row r="578" spans="1:8" ht="22.5">
      <c r="A578" s="669"/>
      <c r="B578" s="460"/>
      <c r="C578" s="461" t="s">
        <v>403</v>
      </c>
      <c r="D578" s="462" t="s">
        <v>283</v>
      </c>
      <c r="E578" s="463"/>
      <c r="F578" s="464"/>
      <c r="G578" s="227"/>
      <c r="H578" s="683"/>
    </row>
    <row r="579" spans="1:8" ht="12.75">
      <c r="A579" s="666"/>
      <c r="B579" s="465"/>
      <c r="C579" s="466" t="s">
        <v>404</v>
      </c>
      <c r="D579" s="446" t="s">
        <v>284</v>
      </c>
      <c r="E579" s="447"/>
      <c r="F579" s="448"/>
      <c r="G579" s="227"/>
      <c r="H579" s="683"/>
    </row>
    <row r="580" spans="1:8" ht="22.5">
      <c r="A580" s="666"/>
      <c r="B580" s="465"/>
      <c r="C580" s="466" t="s">
        <v>405</v>
      </c>
      <c r="D580" s="446" t="s">
        <v>285</v>
      </c>
      <c r="E580" s="447"/>
      <c r="F580" s="448"/>
      <c r="G580" s="227"/>
      <c r="H580" s="683"/>
    </row>
    <row r="581" spans="1:8" ht="12.75">
      <c r="A581" s="666"/>
      <c r="B581" s="465"/>
      <c r="C581" s="466" t="s">
        <v>406</v>
      </c>
      <c r="D581" s="446" t="s">
        <v>286</v>
      </c>
      <c r="E581" s="652"/>
      <c r="F581" s="660"/>
      <c r="G581" s="227"/>
      <c r="H581" s="683"/>
    </row>
    <row r="582" spans="1:8" ht="13.5" thickBot="1">
      <c r="A582" s="668"/>
      <c r="B582" s="474"/>
      <c r="C582" s="475" t="s">
        <v>407</v>
      </c>
      <c r="D582" s="470" t="s">
        <v>287</v>
      </c>
      <c r="E582" s="477"/>
      <c r="F582" s="478"/>
      <c r="G582" s="227"/>
      <c r="H582" s="683"/>
    </row>
    <row r="583" spans="1:8" ht="13.5" thickBot="1">
      <c r="A583" s="664" t="s">
        <v>326</v>
      </c>
      <c r="B583" s="479" t="s">
        <v>288</v>
      </c>
      <c r="C583" s="480" t="s">
        <v>397</v>
      </c>
      <c r="D583" s="472" t="s">
        <v>421</v>
      </c>
      <c r="E583" s="436">
        <f>SUM(E584:E595)</f>
        <v>4070</v>
      </c>
      <c r="F583" s="436">
        <f>SUM(F584:F595)</f>
        <v>6473</v>
      </c>
      <c r="G583" s="436">
        <f>SUM(G584:G595)</f>
        <v>-379</v>
      </c>
      <c r="H583" s="437">
        <f>SUM(H584:H595)</f>
        <v>6094</v>
      </c>
    </row>
    <row r="584" spans="1:8" ht="12.75">
      <c r="A584" s="665"/>
      <c r="B584" s="481"/>
      <c r="C584" s="482" t="s">
        <v>409</v>
      </c>
      <c r="D584" s="462" t="s">
        <v>289</v>
      </c>
      <c r="E584" s="483"/>
      <c r="F584" s="484"/>
      <c r="G584" s="227"/>
      <c r="H584" s="683"/>
    </row>
    <row r="585" spans="1:8" ht="12.75">
      <c r="A585" s="666"/>
      <c r="B585" s="485"/>
      <c r="C585" s="486" t="s">
        <v>410</v>
      </c>
      <c r="D585" s="446" t="s">
        <v>290</v>
      </c>
      <c r="E585" s="487"/>
      <c r="F585" s="488"/>
      <c r="G585" s="227">
        <v>905</v>
      </c>
      <c r="H585" s="683">
        <v>905</v>
      </c>
    </row>
    <row r="586" spans="1:8" ht="12.75">
      <c r="A586" s="666"/>
      <c r="B586" s="485"/>
      <c r="C586" s="486" t="s">
        <v>411</v>
      </c>
      <c r="D586" s="446" t="s">
        <v>291</v>
      </c>
      <c r="E586" s="487">
        <v>1300</v>
      </c>
      <c r="F586" s="488">
        <v>2418</v>
      </c>
      <c r="G586" s="227">
        <v>-826</v>
      </c>
      <c r="H586" s="667">
        <f>F586+G586</f>
        <v>1592</v>
      </c>
    </row>
    <row r="587" spans="1:8" ht="12.75">
      <c r="A587" s="666"/>
      <c r="B587" s="485"/>
      <c r="C587" s="486" t="s">
        <v>412</v>
      </c>
      <c r="D587" s="446" t="s">
        <v>292</v>
      </c>
      <c r="E587" s="487"/>
      <c r="F587" s="488"/>
      <c r="G587" s="227"/>
      <c r="H587" s="667">
        <f aca="true" t="shared" si="18" ref="H587:H594">E587+G587</f>
        <v>0</v>
      </c>
    </row>
    <row r="588" spans="1:8" ht="12.75">
      <c r="A588" s="666"/>
      <c r="B588" s="485"/>
      <c r="C588" s="486" t="s">
        <v>413</v>
      </c>
      <c r="D588" s="446" t="s">
        <v>293</v>
      </c>
      <c r="E588" s="487"/>
      <c r="F588" s="488"/>
      <c r="G588" s="227"/>
      <c r="H588" s="667">
        <f t="shared" si="18"/>
        <v>0</v>
      </c>
    </row>
    <row r="589" spans="1:8" ht="22.5">
      <c r="A589" s="666"/>
      <c r="B589" s="485"/>
      <c r="C589" s="486" t="s">
        <v>414</v>
      </c>
      <c r="D589" s="446" t="s">
        <v>294</v>
      </c>
      <c r="E589" s="487">
        <v>573</v>
      </c>
      <c r="F589" s="488">
        <v>883</v>
      </c>
      <c r="G589" s="227">
        <v>-180</v>
      </c>
      <c r="H589" s="667">
        <f>F589+G589</f>
        <v>703</v>
      </c>
    </row>
    <row r="590" spans="1:8" ht="22.5">
      <c r="A590" s="666"/>
      <c r="B590" s="485"/>
      <c r="C590" s="486" t="s">
        <v>415</v>
      </c>
      <c r="D590" s="446" t="s">
        <v>295</v>
      </c>
      <c r="E590" s="487"/>
      <c r="F590" s="488"/>
      <c r="G590" s="227"/>
      <c r="H590" s="667">
        <f t="shared" si="18"/>
        <v>0</v>
      </c>
    </row>
    <row r="591" spans="1:8" ht="22.5">
      <c r="A591" s="666"/>
      <c r="B591" s="485"/>
      <c r="C591" s="486" t="s">
        <v>416</v>
      </c>
      <c r="D591" s="446" t="s">
        <v>296</v>
      </c>
      <c r="E591" s="487"/>
      <c r="F591" s="488"/>
      <c r="G591" s="227"/>
      <c r="H591" s="667">
        <f t="shared" si="18"/>
        <v>0</v>
      </c>
    </row>
    <row r="592" spans="1:8" ht="22.5">
      <c r="A592" s="666"/>
      <c r="B592" s="485"/>
      <c r="C592" s="486" t="s">
        <v>417</v>
      </c>
      <c r="D592" s="446" t="s">
        <v>297</v>
      </c>
      <c r="E592" s="487"/>
      <c r="F592" s="488"/>
      <c r="G592" s="227"/>
      <c r="H592" s="667">
        <f t="shared" si="18"/>
        <v>0</v>
      </c>
    </row>
    <row r="593" spans="1:8" ht="12.75">
      <c r="A593" s="666"/>
      <c r="B593" s="485"/>
      <c r="C593" s="486" t="s">
        <v>418</v>
      </c>
      <c r="D593" s="489" t="s">
        <v>298</v>
      </c>
      <c r="E593" s="487"/>
      <c r="F593" s="488">
        <v>10</v>
      </c>
      <c r="G593" s="227">
        <v>-7</v>
      </c>
      <c r="H593" s="667">
        <f>F593+G593</f>
        <v>3</v>
      </c>
    </row>
    <row r="594" spans="1:8" ht="12.75">
      <c r="A594" s="666"/>
      <c r="B594" s="485"/>
      <c r="C594" s="486" t="s">
        <v>419</v>
      </c>
      <c r="D594" s="490" t="s">
        <v>299</v>
      </c>
      <c r="E594" s="487"/>
      <c r="F594" s="488"/>
      <c r="G594" s="227"/>
      <c r="H594" s="667">
        <f t="shared" si="18"/>
        <v>0</v>
      </c>
    </row>
    <row r="595" spans="1:8" ht="13.5" thickBot="1">
      <c r="A595" s="668"/>
      <c r="B595" s="491"/>
      <c r="C595" s="492" t="s">
        <v>420</v>
      </c>
      <c r="D595" s="470" t="s">
        <v>300</v>
      </c>
      <c r="E595" s="493">
        <v>2197</v>
      </c>
      <c r="F595" s="494">
        <v>3162</v>
      </c>
      <c r="G595" s="227">
        <v>-271</v>
      </c>
      <c r="H595" s="667">
        <f>F595+G595</f>
        <v>2891</v>
      </c>
    </row>
    <row r="596" spans="1:8" ht="13.5" thickBot="1">
      <c r="A596" s="664" t="s">
        <v>327</v>
      </c>
      <c r="B596" s="495" t="s">
        <v>301</v>
      </c>
      <c r="C596" s="496" t="s">
        <v>372</v>
      </c>
      <c r="D596" s="497" t="s">
        <v>427</v>
      </c>
      <c r="E596" s="779">
        <f>+E598+E599+E600</f>
        <v>0</v>
      </c>
      <c r="F596" s="436"/>
      <c r="G596" s="436">
        <f>+G598+G599+G600</f>
        <v>0</v>
      </c>
      <c r="H596" s="437">
        <f>+H598+H599+H600</f>
        <v>0</v>
      </c>
    </row>
    <row r="597" spans="1:8" ht="12.75">
      <c r="A597" s="665"/>
      <c r="B597" s="474"/>
      <c r="C597" s="461" t="s">
        <v>423</v>
      </c>
      <c r="D597" s="780" t="s">
        <v>302</v>
      </c>
      <c r="E597" s="463"/>
      <c r="F597" s="464"/>
      <c r="G597" s="227"/>
      <c r="H597" s="683"/>
    </row>
    <row r="598" spans="1:8" ht="12.75">
      <c r="A598" s="666"/>
      <c r="B598" s="684"/>
      <c r="C598" s="466" t="s">
        <v>424</v>
      </c>
      <c r="D598" s="781" t="s">
        <v>303</v>
      </c>
      <c r="E598" s="487"/>
      <c r="F598" s="488"/>
      <c r="G598" s="227"/>
      <c r="H598" s="683"/>
    </row>
    <row r="599" spans="1:8" ht="12.75">
      <c r="A599" s="666"/>
      <c r="B599" s="684"/>
      <c r="C599" s="466" t="s">
        <v>425</v>
      </c>
      <c r="D599" s="781" t="s">
        <v>304</v>
      </c>
      <c r="E599" s="686"/>
      <c r="F599" s="484"/>
      <c r="G599" s="227"/>
      <c r="H599" s="683"/>
    </row>
    <row r="600" spans="1:8" ht="13.5" thickBot="1">
      <c r="A600" s="668"/>
      <c r="B600" s="687"/>
      <c r="C600" s="469" t="s">
        <v>426</v>
      </c>
      <c r="D600" s="782" t="s">
        <v>305</v>
      </c>
      <c r="E600" s="689"/>
      <c r="F600" s="494"/>
      <c r="G600" s="227"/>
      <c r="H600" s="683"/>
    </row>
    <row r="601" spans="1:8" ht="13.5" thickBot="1">
      <c r="A601" s="664" t="s">
        <v>328</v>
      </c>
      <c r="B601" s="690" t="s">
        <v>306</v>
      </c>
      <c r="C601" s="783" t="s">
        <v>428</v>
      </c>
      <c r="D601" s="784" t="s">
        <v>431</v>
      </c>
      <c r="E601" s="693">
        <f>E602+E603</f>
        <v>0</v>
      </c>
      <c r="F601" s="693"/>
      <c r="G601" s="693">
        <f>G602+G603</f>
        <v>0</v>
      </c>
      <c r="H601" s="694">
        <f>H602+H603</f>
        <v>0</v>
      </c>
    </row>
    <row r="602" spans="1:8" ht="22.5">
      <c r="A602" s="665"/>
      <c r="B602" s="695"/>
      <c r="C602" s="696" t="s">
        <v>429</v>
      </c>
      <c r="D602" s="789" t="s">
        <v>308</v>
      </c>
      <c r="E602" s="698"/>
      <c r="F602" s="808"/>
      <c r="G602" s="227"/>
      <c r="H602" s="683"/>
    </row>
    <row r="603" spans="1:8" ht="13.5" thickBot="1">
      <c r="A603" s="668"/>
      <c r="B603" s="703"/>
      <c r="C603" s="809" t="s">
        <v>430</v>
      </c>
      <c r="D603" s="825" t="s">
        <v>309</v>
      </c>
      <c r="E603" s="706"/>
      <c r="F603" s="707"/>
      <c r="G603" s="227"/>
      <c r="H603" s="683"/>
    </row>
    <row r="604" spans="1:8" ht="13.5" thickBot="1">
      <c r="A604" s="664" t="s">
        <v>329</v>
      </c>
      <c r="B604" s="818" t="s">
        <v>310</v>
      </c>
      <c r="C604" s="788" t="s">
        <v>384</v>
      </c>
      <c r="D604" s="784" t="s">
        <v>434</v>
      </c>
      <c r="E604" s="693">
        <f>E605+E606</f>
        <v>0</v>
      </c>
      <c r="F604" s="693"/>
      <c r="G604" s="693">
        <f>G605+G606</f>
        <v>0</v>
      </c>
      <c r="H604" s="694">
        <f>H605+H606</f>
        <v>0</v>
      </c>
    </row>
    <row r="605" spans="1:8" ht="22.5">
      <c r="A605" s="669"/>
      <c r="B605" s="695"/>
      <c r="C605" s="696" t="s">
        <v>432</v>
      </c>
      <c r="D605" s="789" t="s">
        <v>311</v>
      </c>
      <c r="E605" s="483"/>
      <c r="F605" s="484"/>
      <c r="G605" s="227"/>
      <c r="H605" s="683"/>
    </row>
    <row r="606" spans="1:8" ht="13.5" thickBot="1">
      <c r="A606" s="702"/>
      <c r="B606" s="703"/>
      <c r="C606" s="809" t="s">
        <v>433</v>
      </c>
      <c r="D606" s="29" t="s">
        <v>312</v>
      </c>
      <c r="E606" s="706"/>
      <c r="F606" s="707"/>
      <c r="G606" s="227"/>
      <c r="H606" s="683"/>
    </row>
    <row r="607" spans="1:8" ht="13.5" thickBot="1">
      <c r="A607" s="664"/>
      <c r="B607" s="433"/>
      <c r="C607" s="791"/>
      <c r="D607" s="497" t="s">
        <v>313</v>
      </c>
      <c r="E607" s="712">
        <f>E560+E572+E577+E583+E596+E601+E604</f>
        <v>4070</v>
      </c>
      <c r="F607" s="712">
        <f>F560+F572+F577+F583+F596+F601+F604</f>
        <v>6473</v>
      </c>
      <c r="G607" s="712">
        <f>G560+G572+G577+G583+G596+G601+G604</f>
        <v>-379</v>
      </c>
      <c r="H607" s="713">
        <f>H560+H572+H577+H583+H596+H601+H604</f>
        <v>6094</v>
      </c>
    </row>
    <row r="608" spans="1:8" ht="13.5" thickBot="1">
      <c r="A608" s="664" t="s">
        <v>330</v>
      </c>
      <c r="B608" s="690" t="s">
        <v>314</v>
      </c>
      <c r="C608" s="690" t="s">
        <v>435</v>
      </c>
      <c r="D608" s="537" t="s">
        <v>442</v>
      </c>
      <c r="E608" s="436">
        <f>+E609+E610+E611+E612+E613+E614</f>
        <v>36312</v>
      </c>
      <c r="F608" s="436">
        <f>+F609+F610+F611+F612+F613+F614</f>
        <v>37145</v>
      </c>
      <c r="G608" s="436">
        <f>+G609+G610+G611+G612+G613+G614</f>
        <v>-506</v>
      </c>
      <c r="H608" s="437">
        <f>+H609+H610+H611+H612+H613+H614</f>
        <v>36639</v>
      </c>
    </row>
    <row r="609" spans="1:8" ht="12.75">
      <c r="A609" s="665"/>
      <c r="B609" s="716"/>
      <c r="C609" s="721" t="s">
        <v>436</v>
      </c>
      <c r="D609" s="441" t="s">
        <v>315</v>
      </c>
      <c r="E609" s="484"/>
      <c r="F609" s="484"/>
      <c r="G609" s="227"/>
      <c r="H609" s="683"/>
    </row>
    <row r="610" spans="1:8" ht="22.5">
      <c r="A610" s="666"/>
      <c r="B610" s="684"/>
      <c r="C610" s="721" t="s">
        <v>437</v>
      </c>
      <c r="D610" s="451" t="s">
        <v>316</v>
      </c>
      <c r="E610" s="487"/>
      <c r="F610" s="488"/>
      <c r="G610" s="227"/>
      <c r="H610" s="683"/>
    </row>
    <row r="611" spans="1:8" ht="12.75">
      <c r="A611" s="666"/>
      <c r="B611" s="684"/>
      <c r="C611" s="721" t="s">
        <v>438</v>
      </c>
      <c r="D611" s="451" t="s">
        <v>317</v>
      </c>
      <c r="E611" s="487"/>
      <c r="F611" s="488"/>
      <c r="G611" s="227"/>
      <c r="H611" s="683"/>
    </row>
    <row r="612" spans="1:8" ht="12.75">
      <c r="A612" s="666"/>
      <c r="B612" s="684"/>
      <c r="C612" s="721" t="s">
        <v>439</v>
      </c>
      <c r="D612" s="227" t="s">
        <v>318</v>
      </c>
      <c r="E612" s="487"/>
      <c r="F612" s="488"/>
      <c r="G612" s="227"/>
      <c r="H612" s="683"/>
    </row>
    <row r="613" spans="1:8" ht="12.75">
      <c r="A613" s="666"/>
      <c r="B613" s="684"/>
      <c r="C613" s="721" t="s">
        <v>440</v>
      </c>
      <c r="D613" s="451" t="s">
        <v>319</v>
      </c>
      <c r="E613" s="487"/>
      <c r="F613" s="488">
        <v>351</v>
      </c>
      <c r="G613" s="227"/>
      <c r="H613" s="667">
        <f>G613+F613</f>
        <v>351</v>
      </c>
    </row>
    <row r="614" spans="1:8" ht="13.5" thickBot="1">
      <c r="A614" s="668"/>
      <c r="B614" s="687"/>
      <c r="C614" s="721" t="s">
        <v>441</v>
      </c>
      <c r="D614" s="454" t="s">
        <v>320</v>
      </c>
      <c r="E614" s="493">
        <v>36312</v>
      </c>
      <c r="F614" s="494">
        <v>36794</v>
      </c>
      <c r="G614" s="227">
        <v>-506</v>
      </c>
      <c r="H614" s="667">
        <f>F614+G614</f>
        <v>36288</v>
      </c>
    </row>
    <row r="615" spans="1:8" ht="13.5" thickBot="1">
      <c r="A615" s="664" t="s">
        <v>943</v>
      </c>
      <c r="B615" s="552"/>
      <c r="C615" s="553" t="s">
        <v>443</v>
      </c>
      <c r="D615" s="497" t="s">
        <v>331</v>
      </c>
      <c r="E615" s="436">
        <f>+E607+E608</f>
        <v>40382</v>
      </c>
      <c r="F615" s="436">
        <f>+F607+F608</f>
        <v>43618</v>
      </c>
      <c r="G615" s="436">
        <f>+G607+G608</f>
        <v>-885</v>
      </c>
      <c r="H615" s="437">
        <f>+H607+H608</f>
        <v>42733</v>
      </c>
    </row>
    <row r="616" spans="1:8" ht="12.75">
      <c r="A616" s="27"/>
      <c r="B616" s="722"/>
      <c r="C616" s="723"/>
      <c r="D616" s="27"/>
      <c r="E616" s="27"/>
      <c r="F616" s="27"/>
      <c r="G616" s="724"/>
      <c r="H616" s="724"/>
    </row>
    <row r="617" spans="1:8" ht="12" thickBot="1">
      <c r="A617" s="725"/>
      <c r="B617" s="725"/>
      <c r="C617" s="726"/>
      <c r="D617" s="725" t="s">
        <v>478</v>
      </c>
      <c r="E617" s="727"/>
      <c r="F617" s="728"/>
      <c r="G617" s="729"/>
      <c r="H617" s="729"/>
    </row>
    <row r="618" spans="1:8" ht="11.25" thickBot="1">
      <c r="A618" s="730"/>
      <c r="B618" s="730"/>
      <c r="C618" s="731"/>
      <c r="D618" s="732" t="s">
        <v>449</v>
      </c>
      <c r="E618" s="436">
        <f>E619+E620+E621+E622+E623</f>
        <v>40382</v>
      </c>
      <c r="F618" s="436">
        <f>F619+F620+F621+F622+F623</f>
        <v>42564</v>
      </c>
      <c r="G618" s="436">
        <f>G619+G620+G621+G622+G623</f>
        <v>-2435</v>
      </c>
      <c r="H618" s="437">
        <f>H619+H620+H621+H622+H623</f>
        <v>40129</v>
      </c>
    </row>
    <row r="619" spans="1:8" ht="11.25">
      <c r="A619" s="733" t="s">
        <v>324</v>
      </c>
      <c r="B619" s="734" t="s">
        <v>333</v>
      </c>
      <c r="C619" s="734" t="s">
        <v>390</v>
      </c>
      <c r="D619" s="735" t="s">
        <v>334</v>
      </c>
      <c r="E619" s="736">
        <v>18275</v>
      </c>
      <c r="F619" s="737">
        <v>18940</v>
      </c>
      <c r="G619" s="227">
        <v>-62</v>
      </c>
      <c r="H619" s="667">
        <f>F619+G619</f>
        <v>18878</v>
      </c>
    </row>
    <row r="620" spans="1:8" ht="21">
      <c r="A620" s="73" t="s">
        <v>322</v>
      </c>
      <c r="B620" s="738" t="s">
        <v>335</v>
      </c>
      <c r="C620" s="734" t="s">
        <v>350</v>
      </c>
      <c r="D620" s="739" t="s">
        <v>336</v>
      </c>
      <c r="E620" s="740">
        <v>4974</v>
      </c>
      <c r="F620" s="741">
        <v>4615</v>
      </c>
      <c r="G620" s="227">
        <v>50</v>
      </c>
      <c r="H620" s="667">
        <f>F620+G620</f>
        <v>4665</v>
      </c>
    </row>
    <row r="621" spans="1:8" ht="11.25">
      <c r="A621" s="73" t="s">
        <v>325</v>
      </c>
      <c r="B621" s="738" t="s">
        <v>337</v>
      </c>
      <c r="C621" s="734" t="s">
        <v>396</v>
      </c>
      <c r="D621" s="739" t="s">
        <v>338</v>
      </c>
      <c r="E621" s="740">
        <v>17133</v>
      </c>
      <c r="F621" s="741">
        <v>18300</v>
      </c>
      <c r="G621" s="227">
        <v>-2365</v>
      </c>
      <c r="H621" s="667">
        <f>F621+G621</f>
        <v>15935</v>
      </c>
    </row>
    <row r="622" spans="1:8" ht="11.25">
      <c r="A622" s="73" t="s">
        <v>326</v>
      </c>
      <c r="B622" s="738" t="s">
        <v>339</v>
      </c>
      <c r="C622" s="734" t="s">
        <v>397</v>
      </c>
      <c r="D622" s="739" t="s">
        <v>340</v>
      </c>
      <c r="E622" s="740"/>
      <c r="F622" s="741"/>
      <c r="G622" s="227"/>
      <c r="H622" s="667">
        <f>E622+G622</f>
        <v>0</v>
      </c>
    </row>
    <row r="623" spans="1:8" ht="10.5">
      <c r="A623" s="73" t="s">
        <v>327</v>
      </c>
      <c r="B623" s="738" t="s">
        <v>341</v>
      </c>
      <c r="C623" s="734" t="s">
        <v>372</v>
      </c>
      <c r="D623" s="742" t="s">
        <v>342</v>
      </c>
      <c r="E623" s="743">
        <f>SUM(E624:E630)</f>
        <v>0</v>
      </c>
      <c r="F623" s="743">
        <f>SUM(F624:F630)</f>
        <v>709</v>
      </c>
      <c r="G623" s="743">
        <f>SUM(G624:G630)</f>
        <v>-58</v>
      </c>
      <c r="H623" s="744">
        <f>SUM(H624:H630)</f>
        <v>651</v>
      </c>
    </row>
    <row r="624" spans="1:8" ht="11.25">
      <c r="A624" s="73"/>
      <c r="B624" s="745"/>
      <c r="C624" s="746" t="s">
        <v>423</v>
      </c>
      <c r="D624" s="446" t="s">
        <v>343</v>
      </c>
      <c r="E624" s="487"/>
      <c r="F624" s="488">
        <v>709</v>
      </c>
      <c r="G624" s="227">
        <v>-58</v>
      </c>
      <c r="H624" s="667">
        <f>F624+G624</f>
        <v>651</v>
      </c>
    </row>
    <row r="625" spans="1:8" ht="22.5">
      <c r="A625" s="73"/>
      <c r="B625" s="745"/>
      <c r="C625" s="746" t="s">
        <v>424</v>
      </c>
      <c r="D625" s="446" t="s">
        <v>344</v>
      </c>
      <c r="E625" s="487"/>
      <c r="F625" s="488"/>
      <c r="G625" s="227"/>
      <c r="H625" s="683"/>
    </row>
    <row r="626" spans="1:8" ht="22.5">
      <c r="A626" s="747"/>
      <c r="B626" s="745"/>
      <c r="C626" s="746" t="s">
        <v>425</v>
      </c>
      <c r="D626" s="446" t="s">
        <v>345</v>
      </c>
      <c r="E626" s="487"/>
      <c r="F626" s="488">
        <v>0</v>
      </c>
      <c r="G626" s="227"/>
      <c r="H626" s="667">
        <f>G626+F626</f>
        <v>0</v>
      </c>
    </row>
    <row r="627" spans="1:8" ht="22.5">
      <c r="A627" s="748"/>
      <c r="B627" s="745"/>
      <c r="C627" s="746" t="s">
        <v>426</v>
      </c>
      <c r="D627" s="446" t="s">
        <v>346</v>
      </c>
      <c r="E627" s="487"/>
      <c r="F627" s="488"/>
      <c r="G627" s="227"/>
      <c r="H627" s="683"/>
    </row>
    <row r="628" spans="1:8" ht="22.5">
      <c r="A628" s="73"/>
      <c r="B628" s="745"/>
      <c r="C628" s="746" t="s">
        <v>450</v>
      </c>
      <c r="D628" s="446" t="s">
        <v>347</v>
      </c>
      <c r="E628" s="487"/>
      <c r="F628" s="488"/>
      <c r="G628" s="227"/>
      <c r="H628" s="683"/>
    </row>
    <row r="629" spans="1:8" ht="22.5">
      <c r="A629" s="73"/>
      <c r="B629" s="745"/>
      <c r="C629" s="746" t="s">
        <v>451</v>
      </c>
      <c r="D629" s="446" t="s">
        <v>348</v>
      </c>
      <c r="E629" s="487"/>
      <c r="F629" s="488"/>
      <c r="G629" s="227"/>
      <c r="H629" s="683"/>
    </row>
    <row r="630" spans="1:8" ht="12" thickBot="1">
      <c r="A630" s="761"/>
      <c r="B630" s="750"/>
      <c r="C630" s="746" t="s">
        <v>452</v>
      </c>
      <c r="D630" s="673" t="s">
        <v>349</v>
      </c>
      <c r="E630" s="689"/>
      <c r="F630" s="494"/>
      <c r="G630" s="227"/>
      <c r="H630" s="683"/>
    </row>
    <row r="631" spans="1:8" ht="11.25" thickBot="1">
      <c r="A631" s="730" t="s">
        <v>328</v>
      </c>
      <c r="B631" s="751"/>
      <c r="C631" s="752" t="s">
        <v>375</v>
      </c>
      <c r="D631" s="751" t="s">
        <v>388</v>
      </c>
      <c r="E631" s="436">
        <f>E632+E640</f>
        <v>0</v>
      </c>
      <c r="F631" s="436">
        <f>F632+F640</f>
        <v>1054</v>
      </c>
      <c r="G631" s="436">
        <f>G632+G640</f>
        <v>1550</v>
      </c>
      <c r="H631" s="437">
        <f>H632+H640</f>
        <v>2604</v>
      </c>
    </row>
    <row r="632" spans="1:8" ht="11.25">
      <c r="A632" s="753"/>
      <c r="B632" s="754" t="s">
        <v>351</v>
      </c>
      <c r="C632" s="755" t="s">
        <v>429</v>
      </c>
      <c r="D632" s="596" t="s">
        <v>352</v>
      </c>
      <c r="E632" s="686">
        <f>E633+E634+E635+E636+E637+E638+E639</f>
        <v>0</v>
      </c>
      <c r="F632" s="686">
        <f>F633+F634+F635+F636+F637+F638+F639</f>
        <v>1054</v>
      </c>
      <c r="G632" s="686">
        <f>G633+G634+G635+G636+G637+G638+G639</f>
        <v>1550</v>
      </c>
      <c r="H632" s="827">
        <f>H633+H634+H635+H636+H637+H638+H639</f>
        <v>2604</v>
      </c>
    </row>
    <row r="633" spans="1:8" ht="11.25">
      <c r="A633" s="733"/>
      <c r="B633" s="755"/>
      <c r="C633" s="757" t="s">
        <v>453</v>
      </c>
      <c r="D633" s="446" t="s">
        <v>353</v>
      </c>
      <c r="E633" s="758"/>
      <c r="F633" s="484"/>
      <c r="G633" s="227"/>
      <c r="H633" s="683"/>
    </row>
    <row r="634" spans="1:8" ht="11.25">
      <c r="A634" s="733"/>
      <c r="B634" s="755"/>
      <c r="C634" s="757" t="s">
        <v>454</v>
      </c>
      <c r="D634" s="490" t="s">
        <v>354</v>
      </c>
      <c r="E634" s="758"/>
      <c r="F634" s="484"/>
      <c r="G634" s="227"/>
      <c r="H634" s="683"/>
    </row>
    <row r="635" spans="1:8" ht="11.25">
      <c r="A635" s="733"/>
      <c r="B635" s="755"/>
      <c r="C635" s="757" t="s">
        <v>455</v>
      </c>
      <c r="D635" s="446" t="s">
        <v>355</v>
      </c>
      <c r="E635" s="758"/>
      <c r="F635" s="484">
        <v>630</v>
      </c>
      <c r="G635" s="227">
        <f>69-20</f>
        <v>49</v>
      </c>
      <c r="H635" s="683">
        <v>679</v>
      </c>
    </row>
    <row r="636" spans="1:8" ht="11.25">
      <c r="A636" s="747"/>
      <c r="B636" s="755"/>
      <c r="C636" s="757" t="s">
        <v>456</v>
      </c>
      <c r="D636" s="446" t="s">
        <v>356</v>
      </c>
      <c r="E636" s="758"/>
      <c r="F636" s="484">
        <v>200</v>
      </c>
      <c r="G636" s="227">
        <f>2193-809</f>
        <v>1384</v>
      </c>
      <c r="H636" s="667">
        <f>F636+G636</f>
        <v>1584</v>
      </c>
    </row>
    <row r="637" spans="1:8" ht="11.25">
      <c r="A637" s="748"/>
      <c r="B637" s="755"/>
      <c r="C637" s="757" t="s">
        <v>457</v>
      </c>
      <c r="D637" s="446" t="s">
        <v>357</v>
      </c>
      <c r="E637" s="758"/>
      <c r="F637" s="484"/>
      <c r="G637" s="227"/>
      <c r="H637" s="667">
        <f>F637+G637</f>
        <v>0</v>
      </c>
    </row>
    <row r="638" spans="1:8" ht="22.5">
      <c r="A638" s="748"/>
      <c r="B638" s="755"/>
      <c r="C638" s="757" t="s">
        <v>458</v>
      </c>
      <c r="D638" s="446" t="s">
        <v>387</v>
      </c>
      <c r="E638" s="758"/>
      <c r="F638" s="484"/>
      <c r="G638" s="227"/>
      <c r="H638" s="667">
        <f>F638+G638</f>
        <v>0</v>
      </c>
    </row>
    <row r="639" spans="1:8" ht="22.5">
      <c r="A639" s="747"/>
      <c r="B639" s="755"/>
      <c r="C639" s="757" t="s">
        <v>459</v>
      </c>
      <c r="D639" s="446" t="s">
        <v>358</v>
      </c>
      <c r="E639" s="758"/>
      <c r="F639" s="484">
        <v>224</v>
      </c>
      <c r="G639" s="227">
        <v>117</v>
      </c>
      <c r="H639" s="667">
        <f>F639+G639</f>
        <v>341</v>
      </c>
    </row>
    <row r="640" spans="1:8" ht="10.5">
      <c r="A640" s="73" t="s">
        <v>329</v>
      </c>
      <c r="B640" s="738" t="s">
        <v>359</v>
      </c>
      <c r="C640" s="738" t="s">
        <v>384</v>
      </c>
      <c r="D640" s="604" t="s">
        <v>360</v>
      </c>
      <c r="E640" s="740">
        <f>E641+E642+E643+E644</f>
        <v>0</v>
      </c>
      <c r="F640" s="740"/>
      <c r="G640" s="740">
        <f>G641+G642+G643+G644</f>
        <v>0</v>
      </c>
      <c r="H640" s="759">
        <f>H641+H642+H643+H644</f>
        <v>0</v>
      </c>
    </row>
    <row r="641" spans="1:8" ht="11.25">
      <c r="A641" s="73"/>
      <c r="B641" s="745"/>
      <c r="C641" s="746" t="s">
        <v>432</v>
      </c>
      <c r="D641" s="446" t="s">
        <v>361</v>
      </c>
      <c r="E641" s="487"/>
      <c r="F641" s="488"/>
      <c r="G641" s="227"/>
      <c r="H641" s="683"/>
    </row>
    <row r="642" spans="1:8" ht="11.25">
      <c r="A642" s="73"/>
      <c r="B642" s="745"/>
      <c r="C642" s="746" t="s">
        <v>433</v>
      </c>
      <c r="D642" s="446" t="s">
        <v>362</v>
      </c>
      <c r="E642" s="487"/>
      <c r="F642" s="488"/>
      <c r="G642" s="227"/>
      <c r="H642" s="683"/>
    </row>
    <row r="643" spans="1:8" ht="11.25">
      <c r="A643" s="73"/>
      <c r="B643" s="745"/>
      <c r="C643" s="746" t="s">
        <v>460</v>
      </c>
      <c r="D643" s="446" t="s">
        <v>363</v>
      </c>
      <c r="E643" s="487"/>
      <c r="F643" s="488"/>
      <c r="G643" s="227"/>
      <c r="H643" s="683"/>
    </row>
    <row r="644" spans="1:8" ht="22.5">
      <c r="A644" s="73"/>
      <c r="B644" s="745"/>
      <c r="C644" s="746" t="s">
        <v>461</v>
      </c>
      <c r="D644" s="446" t="s">
        <v>364</v>
      </c>
      <c r="E644" s="487"/>
      <c r="F644" s="488"/>
      <c r="G644" s="227"/>
      <c r="H644" s="683"/>
    </row>
    <row r="645" spans="1:8" ht="11.25">
      <c r="A645" s="73" t="s">
        <v>330</v>
      </c>
      <c r="B645" s="745" t="s">
        <v>365</v>
      </c>
      <c r="C645" s="745" t="s">
        <v>462</v>
      </c>
      <c r="D645" s="604" t="s">
        <v>366</v>
      </c>
      <c r="E645" s="487">
        <f>SUM(E646:E650)</f>
        <v>0</v>
      </c>
      <c r="F645" s="487"/>
      <c r="G645" s="487">
        <f>SUM(G646:G650)</f>
        <v>0</v>
      </c>
      <c r="H645" s="760">
        <f>SUM(H646:H650)</f>
        <v>0</v>
      </c>
    </row>
    <row r="646" spans="1:8" ht="22.5">
      <c r="A646" s="73"/>
      <c r="B646" s="745"/>
      <c r="C646" s="746" t="s">
        <v>463</v>
      </c>
      <c r="D646" s="446" t="s">
        <v>367</v>
      </c>
      <c r="E646" s="487"/>
      <c r="F646" s="488"/>
      <c r="G646" s="227"/>
      <c r="H646" s="683"/>
    </row>
    <row r="647" spans="1:8" ht="22.5">
      <c r="A647" s="73"/>
      <c r="B647" s="745"/>
      <c r="C647" s="746" t="s">
        <v>464</v>
      </c>
      <c r="D647" s="446" t="s">
        <v>368</v>
      </c>
      <c r="E647" s="487"/>
      <c r="F647" s="488"/>
      <c r="G647" s="227"/>
      <c r="H647" s="683"/>
    </row>
    <row r="648" spans="1:8" ht="22.5">
      <c r="A648" s="73"/>
      <c r="B648" s="745"/>
      <c r="C648" s="746" t="s">
        <v>465</v>
      </c>
      <c r="D648" s="446" t="s">
        <v>369</v>
      </c>
      <c r="E648" s="487"/>
      <c r="F648" s="488"/>
      <c r="G648" s="227"/>
      <c r="H648" s="683"/>
    </row>
    <row r="649" spans="1:8" ht="11.25">
      <c r="A649" s="73"/>
      <c r="B649" s="745"/>
      <c r="C649" s="746" t="s">
        <v>466</v>
      </c>
      <c r="D649" s="446" t="s">
        <v>370</v>
      </c>
      <c r="E649" s="487"/>
      <c r="F649" s="488"/>
      <c r="G649" s="227"/>
      <c r="H649" s="683"/>
    </row>
    <row r="650" spans="1:8" ht="22.5">
      <c r="A650" s="73"/>
      <c r="B650" s="745"/>
      <c r="C650" s="746" t="s">
        <v>467</v>
      </c>
      <c r="D650" s="446" t="s">
        <v>371</v>
      </c>
      <c r="E650" s="487"/>
      <c r="F650" s="488"/>
      <c r="G650" s="227"/>
      <c r="H650" s="683"/>
    </row>
    <row r="651" spans="1:8" ht="11.25">
      <c r="A651" s="749"/>
      <c r="B651" s="739"/>
      <c r="C651" s="738"/>
      <c r="D651" s="604" t="s">
        <v>447</v>
      </c>
      <c r="E651" s="767">
        <f>E619+E620+E621+E622+E623+E631+E640+E645</f>
        <v>40382</v>
      </c>
      <c r="F651" s="767">
        <f>F619+F620+F621+F622+F623+F631+F640+F645</f>
        <v>43618</v>
      </c>
      <c r="G651" s="767">
        <f>G619+G620+G621+G622+G623+G631+G640+G645</f>
        <v>-885</v>
      </c>
      <c r="H651" s="768">
        <f>H619+H620+H621+H622+H623+H631+H640+H645</f>
        <v>42733</v>
      </c>
    </row>
    <row r="652" spans="1:8" ht="11.25">
      <c r="A652" s="749" t="s">
        <v>468</v>
      </c>
      <c r="B652" s="765" t="s">
        <v>373</v>
      </c>
      <c r="C652" s="766" t="s">
        <v>443</v>
      </c>
      <c r="D652" s="616" t="s">
        <v>374</v>
      </c>
      <c r="E652" s="792"/>
      <c r="F652" s="793"/>
      <c r="G652" s="227"/>
      <c r="H652" s="683"/>
    </row>
    <row r="653" spans="1:8" ht="22.5">
      <c r="A653" s="73"/>
      <c r="B653" s="739"/>
      <c r="C653" s="746" t="s">
        <v>469</v>
      </c>
      <c r="D653" s="446" t="s">
        <v>389</v>
      </c>
      <c r="E653" s="447">
        <f>E654+E655+E656</f>
        <v>0</v>
      </c>
      <c r="F653" s="448"/>
      <c r="G653" s="227"/>
      <c r="H653" s="683"/>
    </row>
    <row r="654" spans="1:8" ht="11.25">
      <c r="A654" s="73"/>
      <c r="B654" s="739"/>
      <c r="C654" s="746" t="s">
        <v>470</v>
      </c>
      <c r="D654" s="446" t="s">
        <v>376</v>
      </c>
      <c r="E654" s="447"/>
      <c r="F654" s="448"/>
      <c r="G654" s="227"/>
      <c r="H654" s="683"/>
    </row>
    <row r="655" spans="1:8" ht="22.5">
      <c r="A655" s="73"/>
      <c r="B655" s="739"/>
      <c r="C655" s="746" t="s">
        <v>471</v>
      </c>
      <c r="D655" s="446" t="s">
        <v>377</v>
      </c>
      <c r="E655" s="447"/>
      <c r="F655" s="448"/>
      <c r="G655" s="227"/>
      <c r="H655" s="683"/>
    </row>
    <row r="656" spans="1:8" ht="11.25">
      <c r="A656" s="73"/>
      <c r="B656" s="739"/>
      <c r="C656" s="746" t="s">
        <v>472</v>
      </c>
      <c r="D656" s="490" t="s">
        <v>378</v>
      </c>
      <c r="E656" s="447"/>
      <c r="F656" s="448"/>
      <c r="G656" s="227"/>
      <c r="H656" s="683"/>
    </row>
    <row r="657" spans="1:8" ht="11.25">
      <c r="A657" s="73"/>
      <c r="B657" s="739"/>
      <c r="C657" s="746" t="s">
        <v>473</v>
      </c>
      <c r="D657" s="446" t="s">
        <v>379</v>
      </c>
      <c r="E657" s="447"/>
      <c r="F657" s="448"/>
      <c r="G657" s="227"/>
      <c r="H657" s="683"/>
    </row>
    <row r="658" spans="1:8" ht="11.25">
      <c r="A658" s="73"/>
      <c r="B658" s="739"/>
      <c r="C658" s="746" t="s">
        <v>474</v>
      </c>
      <c r="D658" s="446" t="s">
        <v>380</v>
      </c>
      <c r="E658" s="447"/>
      <c r="F658" s="448"/>
      <c r="G658" s="227"/>
      <c r="H658" s="683"/>
    </row>
    <row r="659" spans="1:8" ht="22.5">
      <c r="A659" s="227"/>
      <c r="B659" s="739"/>
      <c r="C659" s="746" t="s">
        <v>475</v>
      </c>
      <c r="D659" s="446" t="s">
        <v>381</v>
      </c>
      <c r="E659" s="447"/>
      <c r="F659" s="448"/>
      <c r="G659" s="227"/>
      <c r="H659" s="683"/>
    </row>
    <row r="660" spans="1:8" ht="11.25">
      <c r="A660" s="73"/>
      <c r="B660" s="739"/>
      <c r="C660" s="746" t="s">
        <v>476</v>
      </c>
      <c r="D660" s="446" t="s">
        <v>382</v>
      </c>
      <c r="E660" s="447"/>
      <c r="F660" s="448"/>
      <c r="G660" s="227"/>
      <c r="H660" s="683"/>
    </row>
    <row r="661" spans="1:8" ht="22.5">
      <c r="A661" s="73"/>
      <c r="B661" s="739"/>
      <c r="C661" s="746" t="s">
        <v>477</v>
      </c>
      <c r="D661" s="446" t="s">
        <v>383</v>
      </c>
      <c r="E661" s="447"/>
      <c r="F661" s="448"/>
      <c r="G661" s="227"/>
      <c r="H661" s="683"/>
    </row>
    <row r="662" spans="1:8" ht="12" thickBot="1">
      <c r="A662" s="73" t="s">
        <v>944</v>
      </c>
      <c r="B662" s="769"/>
      <c r="C662" s="822" t="s">
        <v>569</v>
      </c>
      <c r="D662" s="604" t="s">
        <v>448</v>
      </c>
      <c r="E662" s="447">
        <f>E651+E660+E661</f>
        <v>40382</v>
      </c>
      <c r="F662" s="447">
        <f>F651+F660+F661</f>
        <v>43618</v>
      </c>
      <c r="G662" s="447">
        <f>G651+G660+G661</f>
        <v>-885</v>
      </c>
      <c r="H662" s="829">
        <f>H651+H660+H661</f>
        <v>42733</v>
      </c>
    </row>
    <row r="663" spans="1:8" ht="12" thickBot="1">
      <c r="A663" s="772" t="s">
        <v>385</v>
      </c>
      <c r="B663" s="773"/>
      <c r="C663" s="774"/>
      <c r="D663" s="775"/>
      <c r="E663" s="776">
        <v>9</v>
      </c>
      <c r="F663" s="776">
        <v>9</v>
      </c>
      <c r="G663" s="776">
        <v>0</v>
      </c>
      <c r="H663" s="777">
        <v>9</v>
      </c>
    </row>
    <row r="664" spans="1:8" ht="12" thickBot="1">
      <c r="A664" s="772" t="s">
        <v>386</v>
      </c>
      <c r="B664" s="773"/>
      <c r="C664" s="774"/>
      <c r="D664" s="775"/>
      <c r="E664" s="776">
        <v>0</v>
      </c>
      <c r="F664" s="776"/>
      <c r="G664" s="776">
        <v>0</v>
      </c>
      <c r="H664" s="777">
        <v>0</v>
      </c>
    </row>
    <row r="665" spans="1:8" ht="12.75">
      <c r="A665" s="27"/>
      <c r="B665" s="722"/>
      <c r="C665" s="723"/>
      <c r="D665" s="27"/>
      <c r="E665" s="27"/>
      <c r="F665" s="27"/>
      <c r="G665" s="29"/>
      <c r="H665" s="29"/>
    </row>
    <row r="666" spans="1:8" ht="10.5">
      <c r="A666" s="966" t="s">
        <v>151</v>
      </c>
      <c r="B666" s="966"/>
      <c r="C666" s="966"/>
      <c r="D666" s="966"/>
      <c r="E666" s="966"/>
      <c r="F666" s="966"/>
      <c r="G666" s="351"/>
      <c r="H666" s="351"/>
    </row>
    <row r="667" spans="1:8" ht="10.5">
      <c r="A667" s="351"/>
      <c r="B667" s="394"/>
      <c r="C667" s="412"/>
      <c r="D667" s="351"/>
      <c r="E667" s="351"/>
      <c r="F667" s="351"/>
      <c r="G667" s="351"/>
      <c r="H667" s="351"/>
    </row>
    <row r="668" spans="1:8" ht="10.5">
      <c r="A668" s="351"/>
      <c r="B668" s="394"/>
      <c r="C668" s="412"/>
      <c r="D668" s="351"/>
      <c r="E668" s="351"/>
      <c r="F668" s="351"/>
      <c r="G668" s="351"/>
      <c r="H668" s="351"/>
    </row>
    <row r="669" spans="1:8" ht="10.5">
      <c r="A669" s="351"/>
      <c r="B669" s="394"/>
      <c r="C669" s="412"/>
      <c r="D669" s="351"/>
      <c r="E669" s="351"/>
      <c r="F669" s="351"/>
      <c r="G669" s="351"/>
      <c r="H669" s="351"/>
    </row>
    <row r="670" spans="1:8" ht="10.5">
      <c r="A670" s="351"/>
      <c r="B670" s="394"/>
      <c r="C670" s="412"/>
      <c r="D670" s="351"/>
      <c r="E670" s="351"/>
      <c r="F670" s="351"/>
      <c r="G670" s="351"/>
      <c r="H670" s="351"/>
    </row>
    <row r="671" spans="1:8" ht="10.5">
      <c r="A671" s="351"/>
      <c r="B671" s="394"/>
      <c r="C671" s="412"/>
      <c r="D671" s="351"/>
      <c r="E671" s="351"/>
      <c r="F671" s="351"/>
      <c r="G671" s="351"/>
      <c r="H671" s="351"/>
    </row>
    <row r="672" spans="1:8" ht="10.5">
      <c r="A672" s="351"/>
      <c r="B672" s="394"/>
      <c r="C672" s="412"/>
      <c r="D672" s="351"/>
      <c r="E672" s="351"/>
      <c r="F672" s="351"/>
      <c r="G672" s="351"/>
      <c r="H672" s="351"/>
    </row>
    <row r="673" spans="1:8" ht="10.5">
      <c r="A673" s="351"/>
      <c r="B673" s="394"/>
      <c r="C673" s="412"/>
      <c r="D673" s="351"/>
      <c r="E673" s="351"/>
      <c r="F673" s="351"/>
      <c r="G673" s="351"/>
      <c r="H673" s="351"/>
    </row>
    <row r="674" spans="1:8" ht="10.5">
      <c r="A674" s="351"/>
      <c r="B674" s="394"/>
      <c r="C674" s="412"/>
      <c r="D674" s="351"/>
      <c r="E674" s="351"/>
      <c r="F674" s="351"/>
      <c r="G674" s="351"/>
      <c r="H674" s="351"/>
    </row>
    <row r="675" spans="1:8" ht="10.5">
      <c r="A675" s="351"/>
      <c r="B675" s="394"/>
      <c r="C675" s="412"/>
      <c r="D675" s="351"/>
      <c r="E675" s="351"/>
      <c r="F675" s="351"/>
      <c r="G675" s="351"/>
      <c r="H675" s="351"/>
    </row>
    <row r="676" spans="1:8" ht="10.5">
      <c r="A676" s="351"/>
      <c r="B676" s="394"/>
      <c r="C676" s="412"/>
      <c r="D676" s="351"/>
      <c r="E676" s="351"/>
      <c r="F676" s="351"/>
      <c r="G676" s="351"/>
      <c r="H676" s="351"/>
    </row>
    <row r="677" spans="1:8" ht="10.5">
      <c r="A677" s="351"/>
      <c r="B677" s="394"/>
      <c r="C677" s="412"/>
      <c r="D677" s="351"/>
      <c r="E677" s="351"/>
      <c r="F677" s="351"/>
      <c r="G677" s="351"/>
      <c r="H677" s="351"/>
    </row>
    <row r="678" spans="1:8" ht="10.5">
      <c r="A678" s="351"/>
      <c r="B678" s="394"/>
      <c r="C678" s="412"/>
      <c r="D678" s="351"/>
      <c r="E678" s="351"/>
      <c r="F678" s="351"/>
      <c r="G678" s="351"/>
      <c r="H678" s="351"/>
    </row>
    <row r="679" spans="1:8" ht="10.5">
      <c r="A679" s="351"/>
      <c r="B679" s="394"/>
      <c r="C679" s="412"/>
      <c r="D679" s="351"/>
      <c r="E679" s="351"/>
      <c r="F679" s="351"/>
      <c r="G679" s="351"/>
      <c r="H679" s="351"/>
    </row>
    <row r="680" spans="1:8" ht="10.5">
      <c r="A680" s="351"/>
      <c r="B680" s="394"/>
      <c r="C680" s="412"/>
      <c r="D680" s="351"/>
      <c r="E680" s="351"/>
      <c r="F680" s="351"/>
      <c r="G680" s="351"/>
      <c r="H680" s="351"/>
    </row>
    <row r="681" spans="1:8" ht="10.5">
      <c r="A681" s="351"/>
      <c r="B681" s="394"/>
      <c r="C681" s="412"/>
      <c r="D681" s="351"/>
      <c r="E681" s="351"/>
      <c r="F681" s="351"/>
      <c r="G681" s="351"/>
      <c r="H681" s="351"/>
    </row>
    <row r="682" spans="1:8" ht="10.5">
      <c r="A682" s="351"/>
      <c r="B682" s="394"/>
      <c r="C682" s="412"/>
      <c r="D682" s="351"/>
      <c r="E682" s="351"/>
      <c r="F682" s="351"/>
      <c r="G682" s="351"/>
      <c r="H682" s="351"/>
    </row>
    <row r="683" spans="1:8" ht="10.5">
      <c r="A683" s="351"/>
      <c r="B683" s="394"/>
      <c r="C683" s="412"/>
      <c r="D683" s="351"/>
      <c r="E683" s="351"/>
      <c r="F683" s="351"/>
      <c r="G683" s="351"/>
      <c r="H683" s="351"/>
    </row>
    <row r="684" spans="1:8" ht="10.5">
      <c r="A684" s="351"/>
      <c r="B684" s="394"/>
      <c r="C684" s="412"/>
      <c r="D684" s="351"/>
      <c r="E684" s="351"/>
      <c r="F684" s="351"/>
      <c r="G684" s="351"/>
      <c r="H684" s="351"/>
    </row>
    <row r="685" spans="1:8" ht="10.5">
      <c r="A685" s="351"/>
      <c r="B685" s="394"/>
      <c r="C685" s="412"/>
      <c r="D685" s="351"/>
      <c r="E685" s="351"/>
      <c r="F685" s="351"/>
      <c r="G685" s="351"/>
      <c r="H685" s="351"/>
    </row>
  </sheetData>
  <sheetProtection/>
  <mergeCells count="23">
    <mergeCell ref="A666:F666"/>
    <mergeCell ref="A335:H335"/>
    <mergeCell ref="A223:H223"/>
    <mergeCell ref="A224:H224"/>
    <mergeCell ref="A558:E558"/>
    <mergeCell ref="A331:D331"/>
    <mergeCell ref="A445:H445"/>
    <mergeCell ref="A442:D442"/>
    <mergeCell ref="A336:E336"/>
    <mergeCell ref="A557:E557"/>
    <mergeCell ref="A111:H111"/>
    <mergeCell ref="A112:H112"/>
    <mergeCell ref="A225:E225"/>
    <mergeCell ref="A1:H1"/>
    <mergeCell ref="A2:H2"/>
    <mergeCell ref="A219:D219"/>
    <mergeCell ref="A220:D220"/>
    <mergeCell ref="A3:E3"/>
    <mergeCell ref="A113:E113"/>
    <mergeCell ref="A446:H446"/>
    <mergeCell ref="A555:H555"/>
    <mergeCell ref="A556:H556"/>
    <mergeCell ref="A334:H3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28">
      <selection activeCell="A36" sqref="A36:F36"/>
    </sheetView>
  </sheetViews>
  <sheetFormatPr defaultColWidth="9.00390625" defaultRowHeight="12.75"/>
  <cols>
    <col min="1" max="1" width="6.25390625" style="392" customWidth="1"/>
    <col min="2" max="2" width="8.875" style="390" customWidth="1"/>
    <col min="3" max="3" width="5.125" style="355" customWidth="1"/>
    <col min="4" max="4" width="5.875" style="355" customWidth="1"/>
    <col min="5" max="5" width="4.375" style="355" customWidth="1"/>
    <col min="6" max="6" width="5.875" style="355" customWidth="1"/>
    <col min="7" max="7" width="6.375" style="355" customWidth="1"/>
    <col min="8" max="8" width="4.75390625" style="355" customWidth="1"/>
    <col min="9" max="9" width="6.875" style="355" customWidth="1"/>
    <col min="10" max="10" width="6.125" style="355" customWidth="1"/>
    <col min="11" max="11" width="3.875" style="393" customWidth="1"/>
    <col min="12" max="13" width="5.875" style="355" customWidth="1"/>
    <col min="14" max="14" width="4.25390625" style="355" customWidth="1"/>
    <col min="15" max="15" width="5.125" style="355" customWidth="1"/>
    <col min="16" max="16" width="5.375" style="355" customWidth="1"/>
    <col min="17" max="17" width="4.25390625" style="355" customWidth="1"/>
    <col min="18" max="18" width="5.125" style="355" customWidth="1"/>
    <col min="19" max="19" width="5.75390625" style="355" customWidth="1"/>
    <col min="20" max="20" width="4.375" style="355" customWidth="1"/>
    <col min="21" max="21" width="4.75390625" style="355" customWidth="1"/>
    <col min="22" max="22" width="5.25390625" style="355" customWidth="1"/>
    <col min="23" max="23" width="5.875" style="355" customWidth="1"/>
    <col min="24" max="24" width="6.25390625" style="355" customWidth="1"/>
    <col min="25" max="16384" width="9.125" style="355" customWidth="1"/>
  </cols>
  <sheetData>
    <row r="1" spans="1:21" ht="9.75">
      <c r="A1" s="982"/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</row>
    <row r="2" spans="1:21" ht="12.75" customHeight="1">
      <c r="A2" s="983" t="s">
        <v>250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</row>
    <row r="3" spans="1:21" ht="10.5" thickBot="1">
      <c r="A3" s="984" t="s">
        <v>928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5"/>
    </row>
    <row r="4" spans="1:24" s="220" customFormat="1" ht="108" customHeight="1">
      <c r="A4" s="356" t="s">
        <v>894</v>
      </c>
      <c r="B4" s="357" t="s">
        <v>575</v>
      </c>
      <c r="C4" s="357" t="s">
        <v>774</v>
      </c>
      <c r="D4" s="357" t="s">
        <v>798</v>
      </c>
      <c r="E4" s="357" t="s">
        <v>66</v>
      </c>
      <c r="F4" s="357" t="s">
        <v>799</v>
      </c>
      <c r="G4" s="357" t="s">
        <v>795</v>
      </c>
      <c r="H4" s="358" t="s">
        <v>796</v>
      </c>
      <c r="I4" s="357" t="s">
        <v>609</v>
      </c>
      <c r="J4" s="358" t="s">
        <v>612</v>
      </c>
      <c r="K4" s="359" t="s">
        <v>179</v>
      </c>
      <c r="L4" s="359" t="s">
        <v>776</v>
      </c>
      <c r="M4" s="360" t="s">
        <v>775</v>
      </c>
      <c r="N4" s="361" t="s">
        <v>334</v>
      </c>
      <c r="O4" s="362" t="s">
        <v>336</v>
      </c>
      <c r="P4" s="362" t="s">
        <v>338</v>
      </c>
      <c r="Q4" s="362" t="s">
        <v>340</v>
      </c>
      <c r="R4" s="362" t="s">
        <v>938</v>
      </c>
      <c r="S4" s="363" t="s">
        <v>661</v>
      </c>
      <c r="T4" s="363" t="s">
        <v>360</v>
      </c>
      <c r="U4" s="364" t="s">
        <v>662</v>
      </c>
      <c r="V4" s="364" t="s">
        <v>940</v>
      </c>
      <c r="W4" s="364" t="s">
        <v>823</v>
      </c>
      <c r="X4" s="365" t="s">
        <v>777</v>
      </c>
    </row>
    <row r="5" spans="1:24" s="7" customFormat="1" ht="92.25" customHeight="1">
      <c r="A5" s="366" t="s">
        <v>800</v>
      </c>
      <c r="B5" s="367" t="s">
        <v>201</v>
      </c>
      <c r="C5" s="367"/>
      <c r="D5" s="367">
        <f>932+1229+1694+5349+5168+4785-1229-1694+2248+1971+1147+533+2928-5262</f>
        <v>19799</v>
      </c>
      <c r="E5" s="367">
        <v>1229</v>
      </c>
      <c r="F5" s="367">
        <v>649</v>
      </c>
      <c r="G5" s="367">
        <f>1000+500+700+1000</f>
        <v>3200</v>
      </c>
      <c r="H5" s="367">
        <f>1500+3032+2713+286+1971</f>
        <v>9502</v>
      </c>
      <c r="I5" s="367">
        <f>7772+1897+2160</f>
        <v>11829</v>
      </c>
      <c r="J5" s="367">
        <f>3480+6</f>
        <v>3486</v>
      </c>
      <c r="K5" s="368"/>
      <c r="L5" s="368">
        <f>63366+36724-2089</f>
        <v>98001</v>
      </c>
      <c r="M5" s="369">
        <f>SUM(C5:L5)</f>
        <v>147695</v>
      </c>
      <c r="N5" s="370">
        <f>-5100+14152+1790+651+3700+30-710+832+1971+533+2220</f>
        <v>20069</v>
      </c>
      <c r="O5" s="371">
        <f>-2703+5147+1380+1022+940+16+38+710+40-337+566+608</f>
        <v>7427</v>
      </c>
      <c r="P5" s="367">
        <f>-5100+15216+810+3495+145+22+20+1753+142+2480+1000</f>
        <v>19983</v>
      </c>
      <c r="Q5" s="367"/>
      <c r="R5" s="367">
        <f>-4500+17763+750+3032+2713+286+1971+1229-165+200+2054+5000-3088-7122</f>
        <v>20123</v>
      </c>
      <c r="S5" s="367">
        <v>251</v>
      </c>
      <c r="T5" s="367"/>
      <c r="U5" s="368">
        <f>5000+1897-5000+2897</f>
        <v>4794</v>
      </c>
      <c r="V5" s="368"/>
      <c r="W5" s="368"/>
      <c r="X5" s="372">
        <f>SUM(N5:W5)</f>
        <v>72647</v>
      </c>
    </row>
    <row r="6" spans="1:24" s="7" customFormat="1" ht="34.5" customHeight="1">
      <c r="A6" s="366" t="s">
        <v>801</v>
      </c>
      <c r="B6" s="367" t="s">
        <v>778</v>
      </c>
      <c r="C6" s="367"/>
      <c r="D6" s="367"/>
      <c r="E6" s="367"/>
      <c r="F6" s="367"/>
      <c r="G6" s="367">
        <v>42</v>
      </c>
      <c r="H6" s="367"/>
      <c r="I6" s="367"/>
      <c r="J6" s="367"/>
      <c r="K6" s="368"/>
      <c r="L6" s="368"/>
      <c r="M6" s="369">
        <f aca="true" t="shared" si="0" ref="M6:M33">SUM(C6:L6)</f>
        <v>42</v>
      </c>
      <c r="N6" s="370"/>
      <c r="O6" s="371"/>
      <c r="P6" s="367"/>
      <c r="Q6" s="367"/>
      <c r="R6" s="367">
        <v>3287</v>
      </c>
      <c r="S6" s="367"/>
      <c r="T6" s="367"/>
      <c r="U6" s="368"/>
      <c r="V6" s="368"/>
      <c r="W6" s="368"/>
      <c r="X6" s="372">
        <f aca="true" t="shared" si="1" ref="X6:X34">SUM(N6:W6)</f>
        <v>3287</v>
      </c>
    </row>
    <row r="7" spans="1:24" s="7" customFormat="1" ht="58.5" customHeight="1">
      <c r="A7" s="366" t="s">
        <v>802</v>
      </c>
      <c r="B7" s="367" t="s">
        <v>202</v>
      </c>
      <c r="C7" s="367"/>
      <c r="D7" s="367"/>
      <c r="E7" s="367"/>
      <c r="F7" s="367"/>
      <c r="G7" s="367">
        <f>(1000+76+1876+4624-168+7079)+2181+500+97+5665+3464</f>
        <v>26394</v>
      </c>
      <c r="H7" s="367"/>
      <c r="I7" s="367"/>
      <c r="J7" s="367"/>
      <c r="K7" s="368">
        <v>621</v>
      </c>
      <c r="L7" s="368"/>
      <c r="M7" s="369">
        <f t="shared" si="0"/>
        <v>27015</v>
      </c>
      <c r="N7" s="370"/>
      <c r="O7" s="371"/>
      <c r="P7" s="367">
        <f>7189+2458+94</f>
        <v>9741</v>
      </c>
      <c r="Q7" s="367"/>
      <c r="R7" s="367"/>
      <c r="S7" s="367">
        <f>286+500+243+30+75+750+21-52</f>
        <v>1853</v>
      </c>
      <c r="T7" s="367">
        <f>600+3000</f>
        <v>3600</v>
      </c>
      <c r="U7" s="368"/>
      <c r="V7" s="368"/>
      <c r="W7" s="368"/>
      <c r="X7" s="372">
        <f t="shared" si="1"/>
        <v>15194</v>
      </c>
    </row>
    <row r="8" spans="1:24" s="7" customFormat="1" ht="52.5">
      <c r="A8" s="366" t="s">
        <v>803</v>
      </c>
      <c r="B8" s="367" t="s">
        <v>780</v>
      </c>
      <c r="C8" s="367"/>
      <c r="D8" s="367"/>
      <c r="E8" s="367"/>
      <c r="F8" s="367"/>
      <c r="G8" s="367"/>
      <c r="H8" s="367"/>
      <c r="I8" s="367"/>
      <c r="J8" s="367"/>
      <c r="K8" s="368"/>
      <c r="L8" s="368"/>
      <c r="M8" s="369">
        <f t="shared" si="0"/>
        <v>0</v>
      </c>
      <c r="N8" s="370">
        <f>263+5100</f>
        <v>5363</v>
      </c>
      <c r="O8" s="371">
        <f>137+2703</f>
        <v>2840</v>
      </c>
      <c r="P8" s="367">
        <f>520+429-30</f>
        <v>919</v>
      </c>
      <c r="Q8" s="367"/>
      <c r="R8" s="367"/>
      <c r="S8" s="367">
        <f>546+147-693</f>
        <v>0</v>
      </c>
      <c r="T8" s="367"/>
      <c r="U8" s="368"/>
      <c r="V8" s="368"/>
      <c r="W8" s="368"/>
      <c r="X8" s="372">
        <f t="shared" si="1"/>
        <v>9122</v>
      </c>
    </row>
    <row r="9" spans="1:24" s="7" customFormat="1" ht="42.75" customHeight="1">
      <c r="A9" s="366" t="s">
        <v>819</v>
      </c>
      <c r="B9" s="367" t="s">
        <v>820</v>
      </c>
      <c r="C9" s="367">
        <f>325804+18670+704+646+6905+10467+1507+1457+1481-1118+1694+6525+4259+2894+1549+1501+720+4629+3911-6803+750+741+520+1319+4713-37+734+3030+607+5178+1440-13-30+2089</f>
        <v>408443</v>
      </c>
      <c r="D9" s="367"/>
      <c r="E9" s="367"/>
      <c r="F9" s="367">
        <f>45+126000+17000</f>
        <v>143045</v>
      </c>
      <c r="G9" s="367"/>
      <c r="H9" s="367"/>
      <c r="I9" s="367">
        <f>6567+1118</f>
        <v>7685</v>
      </c>
      <c r="J9" s="367"/>
      <c r="K9" s="368"/>
      <c r="L9" s="368"/>
      <c r="M9" s="369">
        <f t="shared" si="0"/>
        <v>559173</v>
      </c>
      <c r="N9" s="370"/>
      <c r="O9" s="371"/>
      <c r="P9" s="367"/>
      <c r="Q9" s="367"/>
      <c r="R9" s="367"/>
      <c r="S9" s="367"/>
      <c r="T9" s="367"/>
      <c r="U9" s="368"/>
      <c r="V9" s="368"/>
      <c r="W9" s="368"/>
      <c r="X9" s="372">
        <f t="shared" si="1"/>
        <v>0</v>
      </c>
    </row>
    <row r="10" spans="1:24" s="7" customFormat="1" ht="42.75" customHeight="1">
      <c r="A10" s="366" t="s">
        <v>832</v>
      </c>
      <c r="B10" s="367" t="s">
        <v>833</v>
      </c>
      <c r="C10" s="367"/>
      <c r="D10" s="367"/>
      <c r="E10" s="367"/>
      <c r="F10" s="367"/>
      <c r="G10" s="367"/>
      <c r="H10" s="373"/>
      <c r="I10" s="367"/>
      <c r="J10" s="367"/>
      <c r="K10" s="368"/>
      <c r="L10" s="368"/>
      <c r="M10" s="369"/>
      <c r="N10" s="370"/>
      <c r="O10" s="371"/>
      <c r="P10" s="367"/>
      <c r="Q10" s="367"/>
      <c r="R10" s="367"/>
      <c r="S10" s="367"/>
      <c r="T10" s="367"/>
      <c r="U10" s="368"/>
      <c r="V10" s="368"/>
      <c r="W10" s="368">
        <f>395626+18626+98+78+181+189+73+(102+73+202+188)+200+73464+44+100+50+224+144+406+421+339-100+1324+198+143+408+372+226+1118+1344+248+774-44+60+1320+100+1340+793-24+670+805+200+3000+90+1688+654+109+170+130+408+346+226-13-31738-1826-705+1201-732+1817</f>
        <v>476928</v>
      </c>
      <c r="X10" s="372">
        <f t="shared" si="1"/>
        <v>476928</v>
      </c>
    </row>
    <row r="11" spans="1:24" s="7" customFormat="1" ht="97.5" customHeight="1">
      <c r="A11" s="356" t="s">
        <v>894</v>
      </c>
      <c r="B11" s="357" t="s">
        <v>575</v>
      </c>
      <c r="C11" s="357" t="s">
        <v>774</v>
      </c>
      <c r="D11" s="357" t="s">
        <v>798</v>
      </c>
      <c r="E11" s="357" t="s">
        <v>66</v>
      </c>
      <c r="F11" s="357" t="s">
        <v>799</v>
      </c>
      <c r="G11" s="357" t="s">
        <v>795</v>
      </c>
      <c r="H11" s="358" t="s">
        <v>796</v>
      </c>
      <c r="I11" s="357" t="s">
        <v>609</v>
      </c>
      <c r="J11" s="358" t="s">
        <v>612</v>
      </c>
      <c r="K11" s="359"/>
      <c r="L11" s="359" t="s">
        <v>776</v>
      </c>
      <c r="M11" s="360" t="s">
        <v>775</v>
      </c>
      <c r="N11" s="361" t="s">
        <v>334</v>
      </c>
      <c r="O11" s="362" t="s">
        <v>336</v>
      </c>
      <c r="P11" s="362" t="s">
        <v>338</v>
      </c>
      <c r="Q11" s="362" t="s">
        <v>340</v>
      </c>
      <c r="R11" s="362" t="s">
        <v>342</v>
      </c>
      <c r="S11" s="363" t="s">
        <v>661</v>
      </c>
      <c r="T11" s="363" t="s">
        <v>360</v>
      </c>
      <c r="U11" s="364" t="s">
        <v>662</v>
      </c>
      <c r="V11" s="364" t="s">
        <v>940</v>
      </c>
      <c r="W11" s="364" t="s">
        <v>823</v>
      </c>
      <c r="X11" s="374" t="s">
        <v>777</v>
      </c>
    </row>
    <row r="12" spans="1:24" s="7" customFormat="1" ht="21">
      <c r="A12" s="366" t="s">
        <v>806</v>
      </c>
      <c r="B12" s="367" t="s">
        <v>782</v>
      </c>
      <c r="C12" s="367"/>
      <c r="D12" s="367"/>
      <c r="E12" s="367"/>
      <c r="F12" s="367"/>
      <c r="G12" s="367"/>
      <c r="I12" s="375">
        <f>-64060+64060</f>
        <v>0</v>
      </c>
      <c r="J12" s="367"/>
      <c r="K12" s="368"/>
      <c r="L12" s="368"/>
      <c r="M12" s="369">
        <f t="shared" si="0"/>
        <v>0</v>
      </c>
      <c r="N12" s="370"/>
      <c r="O12" s="371"/>
      <c r="P12" s="367">
        <v>381</v>
      </c>
      <c r="Q12" s="367"/>
      <c r="R12" s="367"/>
      <c r="S12" s="367">
        <f>241+110460+1000+313+84+79+21+100-110701-200</f>
        <v>1397</v>
      </c>
      <c r="T12" s="367"/>
      <c r="U12" s="368"/>
      <c r="V12" s="368"/>
      <c r="W12" s="368"/>
      <c r="X12" s="372">
        <f t="shared" si="1"/>
        <v>1778</v>
      </c>
    </row>
    <row r="13" spans="1:24" s="7" customFormat="1" ht="52.5">
      <c r="A13" s="366" t="s">
        <v>807</v>
      </c>
      <c r="B13" s="367" t="s">
        <v>783</v>
      </c>
      <c r="C13" s="367"/>
      <c r="D13" s="367"/>
      <c r="E13" s="367"/>
      <c r="F13" s="367"/>
      <c r="G13" s="367"/>
      <c r="H13" s="367"/>
      <c r="I13" s="367"/>
      <c r="J13" s="367"/>
      <c r="K13" s="368"/>
      <c r="L13" s="368"/>
      <c r="M13" s="369">
        <f t="shared" si="0"/>
        <v>0</v>
      </c>
      <c r="N13" s="370"/>
      <c r="O13" s="371"/>
      <c r="P13" s="367">
        <f>912+3941</f>
        <v>4853</v>
      </c>
      <c r="Q13" s="367"/>
      <c r="R13" s="367"/>
      <c r="S13" s="367"/>
      <c r="T13" s="367"/>
      <c r="U13" s="368"/>
      <c r="V13" s="368"/>
      <c r="W13" s="368"/>
      <c r="X13" s="372">
        <f t="shared" si="1"/>
        <v>4853</v>
      </c>
    </row>
    <row r="14" spans="1:24" s="7" customFormat="1" ht="42">
      <c r="A14" s="366" t="s">
        <v>808</v>
      </c>
      <c r="B14" s="367" t="s">
        <v>784</v>
      </c>
      <c r="C14" s="367"/>
      <c r="D14" s="367"/>
      <c r="E14" s="367"/>
      <c r="F14" s="367"/>
      <c r="G14" s="367">
        <v>168</v>
      </c>
      <c r="H14" s="367"/>
      <c r="I14" s="367"/>
      <c r="J14" s="367"/>
      <c r="K14" s="368"/>
      <c r="L14" s="368"/>
      <c r="M14" s="369">
        <f t="shared" si="0"/>
        <v>168</v>
      </c>
      <c r="N14" s="370"/>
      <c r="O14" s="371"/>
      <c r="P14" s="367"/>
      <c r="Q14" s="367"/>
      <c r="R14" s="367"/>
      <c r="S14" s="367"/>
      <c r="T14" s="367"/>
      <c r="U14" s="368"/>
      <c r="V14" s="368"/>
      <c r="W14" s="368"/>
      <c r="X14" s="372">
        <f t="shared" si="1"/>
        <v>0</v>
      </c>
    </row>
    <row r="15" spans="1:24" s="7" customFormat="1" ht="42">
      <c r="A15" s="366" t="s">
        <v>809</v>
      </c>
      <c r="B15" s="367" t="s">
        <v>785</v>
      </c>
      <c r="C15" s="367"/>
      <c r="D15" s="367"/>
      <c r="E15" s="367"/>
      <c r="F15" s="367"/>
      <c r="G15" s="367">
        <f>706096-35012-660000</f>
        <v>11084</v>
      </c>
      <c r="H15" s="371"/>
      <c r="I15" s="375">
        <f>2144207+135264-129675-135264-888355</f>
        <v>1126177</v>
      </c>
      <c r="J15" s="367">
        <v>200000</v>
      </c>
      <c r="K15" s="368"/>
      <c r="L15" s="368"/>
      <c r="M15" s="369">
        <f t="shared" si="0"/>
        <v>1337261</v>
      </c>
      <c r="N15" s="370"/>
      <c r="O15" s="371"/>
      <c r="P15" s="367"/>
      <c r="Q15" s="367"/>
      <c r="R15" s="367"/>
      <c r="S15" s="367">
        <f>-128697+3321265-1100000-660000</f>
        <v>1432568</v>
      </c>
      <c r="T15" s="367"/>
      <c r="U15" s="368"/>
      <c r="V15" s="368"/>
      <c r="W15" s="368"/>
      <c r="X15" s="372">
        <f t="shared" si="1"/>
        <v>1432568</v>
      </c>
    </row>
    <row r="16" spans="1:24" s="7" customFormat="1" ht="9.75" customHeight="1">
      <c r="A16" s="366" t="s">
        <v>810</v>
      </c>
      <c r="B16" s="367" t="s">
        <v>786</v>
      </c>
      <c r="C16" s="367"/>
      <c r="D16" s="367"/>
      <c r="E16" s="367"/>
      <c r="F16" s="367"/>
      <c r="G16" s="367">
        <f>3837+175205</f>
        <v>179042</v>
      </c>
      <c r="H16" s="371"/>
      <c r="I16" s="375">
        <f>1701+648910</f>
        <v>650611</v>
      </c>
      <c r="J16" s="367">
        <f>3372+1196+3520</f>
        <v>8088</v>
      </c>
      <c r="K16" s="368"/>
      <c r="L16" s="368"/>
      <c r="M16" s="369">
        <f t="shared" si="0"/>
        <v>837741</v>
      </c>
      <c r="N16" s="370"/>
      <c r="O16" s="371"/>
      <c r="P16" s="367">
        <f>203+1080+375+1063+210</f>
        <v>2931</v>
      </c>
      <c r="Q16" s="367"/>
      <c r="R16" s="367">
        <v>379</v>
      </c>
      <c r="S16" s="367">
        <f>824115-164687</f>
        <v>659428</v>
      </c>
      <c r="T16" s="367"/>
      <c r="U16" s="368">
        <f>3372+3837+1196+1701+623</f>
        <v>10729</v>
      </c>
      <c r="V16" s="368"/>
      <c r="W16" s="368"/>
      <c r="X16" s="372">
        <f t="shared" si="1"/>
        <v>673467</v>
      </c>
    </row>
    <row r="17" spans="1:24" s="7" customFormat="1" ht="10.5">
      <c r="A17" s="366" t="s">
        <v>811</v>
      </c>
      <c r="B17" s="367" t="s">
        <v>787</v>
      </c>
      <c r="C17" s="367"/>
      <c r="D17" s="367"/>
      <c r="E17" s="367"/>
      <c r="F17" s="367"/>
      <c r="G17" s="367"/>
      <c r="H17" s="371"/>
      <c r="I17" s="367"/>
      <c r="J17" s="367"/>
      <c r="K17" s="368"/>
      <c r="L17" s="368"/>
      <c r="M17" s="369">
        <f t="shared" si="0"/>
        <v>0</v>
      </c>
      <c r="N17" s="370"/>
      <c r="O17" s="371"/>
      <c r="P17" s="367">
        <v>17780</v>
      </c>
      <c r="Q17" s="367"/>
      <c r="R17" s="367"/>
      <c r="S17" s="367"/>
      <c r="T17" s="367"/>
      <c r="U17" s="368"/>
      <c r="V17" s="368"/>
      <c r="W17" s="368"/>
      <c r="X17" s="372">
        <f t="shared" si="1"/>
        <v>17780</v>
      </c>
    </row>
    <row r="18" spans="1:24" s="7" customFormat="1" ht="21">
      <c r="A18" s="366" t="s">
        <v>812</v>
      </c>
      <c r="B18" s="367" t="s">
        <v>788</v>
      </c>
      <c r="C18" s="367"/>
      <c r="D18" s="367">
        <v>600</v>
      </c>
      <c r="E18" s="367"/>
      <c r="F18" s="367">
        <v>1890</v>
      </c>
      <c r="G18" s="367"/>
      <c r="H18" s="371"/>
      <c r="I18" s="367"/>
      <c r="J18" s="367"/>
      <c r="K18" s="368"/>
      <c r="L18" s="368"/>
      <c r="M18" s="369">
        <f t="shared" si="0"/>
        <v>2490</v>
      </c>
      <c r="N18" s="370">
        <f>24+2062</f>
        <v>2086</v>
      </c>
      <c r="O18" s="371">
        <f>7+318</f>
        <v>325</v>
      </c>
      <c r="P18" s="367">
        <v>4585</v>
      </c>
      <c r="Q18" s="367"/>
      <c r="R18" s="367"/>
      <c r="S18" s="367">
        <f>394+200</f>
        <v>594</v>
      </c>
      <c r="T18" s="367"/>
      <c r="U18" s="368"/>
      <c r="V18" s="368"/>
      <c r="W18" s="368"/>
      <c r="X18" s="372">
        <f t="shared" si="1"/>
        <v>7590</v>
      </c>
    </row>
    <row r="19" spans="1:24" s="7" customFormat="1" ht="42">
      <c r="A19" s="366" t="s">
        <v>813</v>
      </c>
      <c r="B19" s="367" t="s">
        <v>1027</v>
      </c>
      <c r="C19" s="367"/>
      <c r="D19" s="367"/>
      <c r="E19" s="367"/>
      <c r="F19" s="367"/>
      <c r="G19" s="367">
        <f>1000+1306</f>
        <v>2306</v>
      </c>
      <c r="H19" s="371"/>
      <c r="I19" s="375">
        <f>-328000+384789</f>
        <v>56789</v>
      </c>
      <c r="J19" s="367"/>
      <c r="K19" s="368"/>
      <c r="L19" s="368"/>
      <c r="M19" s="369">
        <f t="shared" si="0"/>
        <v>59095</v>
      </c>
      <c r="N19" s="370">
        <f>1200+4+4+8+8+8+4+24+4+8</f>
        <v>1272</v>
      </c>
      <c r="O19" s="371">
        <f>317+1+1+2+2-174+2+1+7+1+1+2</f>
        <v>163</v>
      </c>
      <c r="P19" s="367">
        <v>6966</v>
      </c>
      <c r="Q19" s="367"/>
      <c r="R19" s="367">
        <v>2308</v>
      </c>
      <c r="S19" s="367">
        <f>635+452693+387-251890-76110+10663</f>
        <v>136378</v>
      </c>
      <c r="T19" s="367"/>
      <c r="U19" s="368"/>
      <c r="V19" s="368"/>
      <c r="W19" s="368"/>
      <c r="X19" s="372">
        <f t="shared" si="1"/>
        <v>147087</v>
      </c>
    </row>
    <row r="20" spans="1:24" s="7" customFormat="1" ht="21">
      <c r="A20" s="366" t="s">
        <v>815</v>
      </c>
      <c r="B20" s="367" t="s">
        <v>679</v>
      </c>
      <c r="C20" s="367"/>
      <c r="D20" s="367">
        <f>72+6000</f>
        <v>6072</v>
      </c>
      <c r="E20" s="367"/>
      <c r="F20" s="367"/>
      <c r="G20" s="367"/>
      <c r="H20" s="367"/>
      <c r="I20" s="367"/>
      <c r="J20" s="367"/>
      <c r="K20" s="368"/>
      <c r="L20" s="368"/>
      <c r="M20" s="369">
        <f t="shared" si="0"/>
        <v>6072</v>
      </c>
      <c r="N20" s="370"/>
      <c r="O20" s="371"/>
      <c r="P20" s="367"/>
      <c r="Q20" s="367"/>
      <c r="R20" s="367">
        <v>6099</v>
      </c>
      <c r="S20" s="367"/>
      <c r="T20" s="367"/>
      <c r="U20" s="368"/>
      <c r="V20" s="368"/>
      <c r="W20" s="368"/>
      <c r="X20" s="962">
        <f t="shared" si="1"/>
        <v>6099</v>
      </c>
    </row>
    <row r="21" spans="1:24" s="7" customFormat="1" ht="21">
      <c r="A21" s="366" t="s">
        <v>852</v>
      </c>
      <c r="B21" s="367" t="s">
        <v>137</v>
      </c>
      <c r="C21" s="367"/>
      <c r="D21" s="367">
        <v>2136</v>
      </c>
      <c r="E21" s="367"/>
      <c r="F21" s="367"/>
      <c r="G21" s="367"/>
      <c r="H21" s="367"/>
      <c r="I21" s="367"/>
      <c r="J21" s="367"/>
      <c r="K21" s="368"/>
      <c r="L21" s="368"/>
      <c r="M21" s="369">
        <f t="shared" si="0"/>
        <v>2136</v>
      </c>
      <c r="N21" s="370"/>
      <c r="O21" s="371"/>
      <c r="P21" s="367"/>
      <c r="Q21" s="367"/>
      <c r="R21" s="367">
        <v>2136</v>
      </c>
      <c r="S21" s="367"/>
      <c r="T21" s="367"/>
      <c r="U21" s="368"/>
      <c r="V21" s="368"/>
      <c r="W21" s="368"/>
      <c r="X21" s="962">
        <f t="shared" si="1"/>
        <v>2136</v>
      </c>
    </row>
    <row r="22" spans="1:24" s="7" customFormat="1" ht="21">
      <c r="A22" s="366" t="s">
        <v>816</v>
      </c>
      <c r="B22" s="367" t="s">
        <v>790</v>
      </c>
      <c r="C22" s="367"/>
      <c r="D22" s="367"/>
      <c r="E22" s="367"/>
      <c r="F22" s="367"/>
      <c r="G22" s="367"/>
      <c r="H22" s="367"/>
      <c r="I22" s="367"/>
      <c r="J22" s="367"/>
      <c r="K22" s="368"/>
      <c r="L22" s="368"/>
      <c r="M22" s="369">
        <f t="shared" si="0"/>
        <v>0</v>
      </c>
      <c r="N22" s="370"/>
      <c r="O22" s="371"/>
      <c r="P22" s="367">
        <v>1463</v>
      </c>
      <c r="Q22" s="367"/>
      <c r="R22" s="367"/>
      <c r="S22" s="367"/>
      <c r="T22" s="367"/>
      <c r="U22" s="368"/>
      <c r="V22" s="368"/>
      <c r="W22" s="368"/>
      <c r="X22" s="372">
        <f t="shared" si="1"/>
        <v>1463</v>
      </c>
    </row>
    <row r="23" spans="1:24" s="7" customFormat="1" ht="34.5" customHeight="1">
      <c r="A23" s="366" t="s">
        <v>939</v>
      </c>
      <c r="B23" s="367" t="s">
        <v>203</v>
      </c>
      <c r="C23" s="367"/>
      <c r="D23" s="367"/>
      <c r="E23" s="367"/>
      <c r="F23" s="367"/>
      <c r="G23" s="367"/>
      <c r="H23" s="367"/>
      <c r="I23" s="367"/>
      <c r="J23" s="367"/>
      <c r="K23" s="368"/>
      <c r="L23" s="368"/>
      <c r="M23" s="369"/>
      <c r="N23" s="370"/>
      <c r="O23" s="371"/>
      <c r="P23" s="367"/>
      <c r="Q23" s="367"/>
      <c r="R23" s="367">
        <v>5475</v>
      </c>
      <c r="S23" s="367"/>
      <c r="T23" s="367"/>
      <c r="U23" s="368"/>
      <c r="V23" s="368"/>
      <c r="W23" s="368"/>
      <c r="X23" s="372">
        <f t="shared" si="1"/>
        <v>5475</v>
      </c>
    </row>
    <row r="24" spans="1:24" s="7" customFormat="1" ht="32.25" customHeight="1">
      <c r="A24" s="366" t="s">
        <v>817</v>
      </c>
      <c r="B24" s="367" t="s">
        <v>791</v>
      </c>
      <c r="C24" s="367"/>
      <c r="D24" s="367"/>
      <c r="E24" s="367"/>
      <c r="F24" s="367"/>
      <c r="G24" s="367"/>
      <c r="H24" s="367"/>
      <c r="I24" s="367"/>
      <c r="J24" s="367"/>
      <c r="K24" s="368"/>
      <c r="L24" s="368"/>
      <c r="M24" s="369">
        <f t="shared" si="0"/>
        <v>0</v>
      </c>
      <c r="N24" s="370">
        <f>2598+34+31+62+62+63+31+48+31+62</f>
        <v>3022</v>
      </c>
      <c r="O24" s="371">
        <f>701+9+8+16+16-174+16+8+15+8+16</f>
        <v>639</v>
      </c>
      <c r="P24" s="367">
        <v>11368</v>
      </c>
      <c r="Q24" s="367"/>
      <c r="R24" s="367"/>
      <c r="S24" s="367">
        <f>4+14</f>
        <v>18</v>
      </c>
      <c r="T24" s="367"/>
      <c r="U24" s="368"/>
      <c r="V24" s="368"/>
      <c r="W24" s="368"/>
      <c r="X24" s="372">
        <f t="shared" si="1"/>
        <v>15047</v>
      </c>
    </row>
    <row r="25" spans="1:24" s="7" customFormat="1" ht="93.75" customHeight="1">
      <c r="A25" s="366" t="s">
        <v>818</v>
      </c>
      <c r="B25" s="367" t="s">
        <v>792</v>
      </c>
      <c r="C25" s="367"/>
      <c r="D25" s="367"/>
      <c r="E25" s="367"/>
      <c r="F25" s="367"/>
      <c r="G25" s="367"/>
      <c r="H25" s="367"/>
      <c r="I25" s="367"/>
      <c r="J25" s="367"/>
      <c r="K25" s="368"/>
      <c r="L25" s="368"/>
      <c r="M25" s="369">
        <f t="shared" si="0"/>
        <v>0</v>
      </c>
      <c r="N25" s="370">
        <f>2478+29+29+56+56+56+28+48+28+56</f>
        <v>2864</v>
      </c>
      <c r="O25" s="371">
        <f>670+8+8+16+16+16+8+15+8+16</f>
        <v>781</v>
      </c>
      <c r="P25" s="367">
        <v>12346</v>
      </c>
      <c r="Q25" s="367"/>
      <c r="R25" s="367"/>
      <c r="S25" s="367">
        <f>4+16</f>
        <v>20</v>
      </c>
      <c r="T25" s="367"/>
      <c r="U25" s="368"/>
      <c r="V25" s="368"/>
      <c r="W25" s="368"/>
      <c r="X25" s="372">
        <f t="shared" si="1"/>
        <v>16011</v>
      </c>
    </row>
    <row r="26" spans="1:24" s="7" customFormat="1" ht="54" customHeight="1">
      <c r="A26" s="356" t="s">
        <v>894</v>
      </c>
      <c r="B26" s="357" t="s">
        <v>575</v>
      </c>
      <c r="C26" s="357" t="s">
        <v>774</v>
      </c>
      <c r="D26" s="357" t="s">
        <v>798</v>
      </c>
      <c r="E26" s="357" t="s">
        <v>66</v>
      </c>
      <c r="F26" s="357" t="s">
        <v>799</v>
      </c>
      <c r="G26" s="357" t="s">
        <v>795</v>
      </c>
      <c r="H26" s="358" t="s">
        <v>796</v>
      </c>
      <c r="I26" s="357" t="s">
        <v>609</v>
      </c>
      <c r="J26" s="358" t="s">
        <v>612</v>
      </c>
      <c r="K26" s="359" t="s">
        <v>179</v>
      </c>
      <c r="L26" s="359" t="s">
        <v>776</v>
      </c>
      <c r="M26" s="360" t="s">
        <v>775</v>
      </c>
      <c r="N26" s="361" t="s">
        <v>334</v>
      </c>
      <c r="O26" s="362" t="s">
        <v>336</v>
      </c>
      <c r="P26" s="362" t="s">
        <v>338</v>
      </c>
      <c r="Q26" s="362" t="s">
        <v>340</v>
      </c>
      <c r="R26" s="362" t="s">
        <v>938</v>
      </c>
      <c r="S26" s="363" t="s">
        <v>661</v>
      </c>
      <c r="T26" s="363" t="s">
        <v>360</v>
      </c>
      <c r="U26" s="364" t="s">
        <v>662</v>
      </c>
      <c r="V26" s="364" t="s">
        <v>940</v>
      </c>
      <c r="W26" s="364" t="s">
        <v>823</v>
      </c>
      <c r="X26" s="374" t="s">
        <v>777</v>
      </c>
    </row>
    <row r="27" spans="1:24" s="7" customFormat="1" ht="63">
      <c r="A27" s="366" t="s">
        <v>826</v>
      </c>
      <c r="B27" s="367" t="s">
        <v>827</v>
      </c>
      <c r="C27" s="367"/>
      <c r="D27" s="367"/>
      <c r="E27" s="367"/>
      <c r="F27" s="367"/>
      <c r="G27" s="367"/>
      <c r="H27" s="367"/>
      <c r="I27" s="367"/>
      <c r="J27" s="367"/>
      <c r="K27" s="368"/>
      <c r="L27" s="368"/>
      <c r="M27" s="369">
        <f>SUM(C27:L27)</f>
        <v>0</v>
      </c>
      <c r="N27" s="370"/>
      <c r="O27" s="371"/>
      <c r="P27" s="367"/>
      <c r="Q27" s="367">
        <v>500</v>
      </c>
      <c r="R27" s="367"/>
      <c r="S27" s="367"/>
      <c r="T27" s="367"/>
      <c r="U27" s="368"/>
      <c r="V27" s="368"/>
      <c r="W27" s="368"/>
      <c r="X27" s="372">
        <f t="shared" si="1"/>
        <v>500</v>
      </c>
    </row>
    <row r="28" spans="1:24" s="7" customFormat="1" ht="33" customHeight="1">
      <c r="A28" s="366" t="s">
        <v>161</v>
      </c>
      <c r="B28" s="367" t="s">
        <v>180</v>
      </c>
      <c r="C28" s="367"/>
      <c r="D28" s="367">
        <v>5023</v>
      </c>
      <c r="E28" s="367"/>
      <c r="F28" s="367"/>
      <c r="G28" s="367"/>
      <c r="H28" s="367"/>
      <c r="I28" s="367"/>
      <c r="J28" s="367"/>
      <c r="K28" s="368"/>
      <c r="L28" s="368"/>
      <c r="M28" s="369">
        <f>SUM(C28:L28)</f>
        <v>5023</v>
      </c>
      <c r="N28" s="370"/>
      <c r="O28" s="371"/>
      <c r="P28" s="367"/>
      <c r="Q28" s="367">
        <f>5023+1549</f>
        <v>6572</v>
      </c>
      <c r="R28" s="367"/>
      <c r="S28" s="367"/>
      <c r="T28" s="367"/>
      <c r="U28" s="368"/>
      <c r="V28" s="368"/>
      <c r="W28" s="368"/>
      <c r="X28" s="372">
        <f t="shared" si="1"/>
        <v>6572</v>
      </c>
    </row>
    <row r="29" spans="1:24" s="7" customFormat="1" ht="21" customHeight="1">
      <c r="A29" s="376" t="s">
        <v>828</v>
      </c>
      <c r="B29" s="377" t="s">
        <v>829</v>
      </c>
      <c r="C29" s="367"/>
      <c r="D29" s="367">
        <f>58979-4588-779-6115-1504-628-4426-2239-627-654-2642-1818-651-2663-709-601-3033-729-24573</f>
        <v>0</v>
      </c>
      <c r="E29" s="367"/>
      <c r="F29" s="367"/>
      <c r="G29" s="367"/>
      <c r="H29" s="367"/>
      <c r="I29" s="367"/>
      <c r="J29" s="367"/>
      <c r="K29" s="368"/>
      <c r="L29" s="368"/>
      <c r="M29" s="369">
        <f>SUM(C29:L29)</f>
        <v>0</v>
      </c>
      <c r="N29" s="370"/>
      <c r="O29" s="371"/>
      <c r="P29" s="367"/>
      <c r="Q29" s="367"/>
      <c r="R29" s="367"/>
      <c r="S29" s="367"/>
      <c r="T29" s="367"/>
      <c r="U29" s="368"/>
      <c r="V29" s="368"/>
      <c r="W29" s="368"/>
      <c r="X29" s="372">
        <f t="shared" si="1"/>
        <v>0</v>
      </c>
    </row>
    <row r="30" spans="1:24" s="7" customFormat="1" ht="47.25" customHeight="1">
      <c r="A30" s="366" t="s">
        <v>160</v>
      </c>
      <c r="B30" s="367" t="s">
        <v>793</v>
      </c>
      <c r="C30" s="367"/>
      <c r="E30" s="367"/>
      <c r="F30" s="367"/>
      <c r="G30" s="367">
        <v>56</v>
      </c>
      <c r="H30" s="367"/>
      <c r="I30" s="367"/>
      <c r="J30" s="367"/>
      <c r="K30" s="368"/>
      <c r="L30" s="368"/>
      <c r="M30" s="369">
        <f t="shared" si="0"/>
        <v>56</v>
      </c>
      <c r="N30" s="370"/>
      <c r="O30" s="371"/>
      <c r="P30" s="367"/>
      <c r="Q30" s="367"/>
      <c r="R30" s="367"/>
      <c r="S30" s="367"/>
      <c r="T30" s="367"/>
      <c r="U30" s="368"/>
      <c r="V30" s="368"/>
      <c r="W30" s="368"/>
      <c r="X30" s="372">
        <f t="shared" si="1"/>
        <v>0</v>
      </c>
    </row>
    <row r="31" spans="1:24" s="7" customFormat="1" ht="45.75">
      <c r="A31" s="366" t="s">
        <v>830</v>
      </c>
      <c r="B31" s="378" t="s">
        <v>794</v>
      </c>
      <c r="C31" s="367"/>
      <c r="D31" s="367">
        <f>-44+14485+44-22-1516-44-2804-44-22-1389-22-1371-1313-20-74-1368-7-1334-6-7-1219-1903</f>
        <v>0</v>
      </c>
      <c r="E31" s="367"/>
      <c r="F31" s="367"/>
      <c r="G31" s="367"/>
      <c r="H31" s="367"/>
      <c r="I31" s="367"/>
      <c r="J31" s="367"/>
      <c r="K31" s="368"/>
      <c r="L31" s="368"/>
      <c r="M31" s="369">
        <f t="shared" si="0"/>
        <v>0</v>
      </c>
      <c r="N31" s="370"/>
      <c r="O31" s="371"/>
      <c r="P31" s="367"/>
      <c r="Q31" s="367"/>
      <c r="R31" s="367"/>
      <c r="S31" s="367"/>
      <c r="T31" s="367"/>
      <c r="U31" s="368"/>
      <c r="V31" s="368"/>
      <c r="W31" s="368"/>
      <c r="X31" s="372">
        <f t="shared" si="1"/>
        <v>0</v>
      </c>
    </row>
    <row r="32" spans="1:24" s="7" customFormat="1" ht="31.5">
      <c r="A32" s="366" t="s">
        <v>824</v>
      </c>
      <c r="B32" s="367" t="s">
        <v>825</v>
      </c>
      <c r="C32" s="367"/>
      <c r="D32" s="367"/>
      <c r="E32" s="367"/>
      <c r="F32" s="367"/>
      <c r="G32" s="367"/>
      <c r="H32" s="367">
        <v>400</v>
      </c>
      <c r="I32" s="367"/>
      <c r="J32" s="367"/>
      <c r="K32" s="368"/>
      <c r="L32" s="368"/>
      <c r="M32" s="369">
        <f t="shared" si="0"/>
        <v>400</v>
      </c>
      <c r="N32" s="370"/>
      <c r="O32" s="371"/>
      <c r="P32" s="367"/>
      <c r="Q32" s="367">
        <f>200+1780+122</f>
        <v>2102</v>
      </c>
      <c r="R32" s="367"/>
      <c r="S32" s="367"/>
      <c r="T32" s="367"/>
      <c r="U32" s="367"/>
      <c r="V32" s="367"/>
      <c r="W32" s="379"/>
      <c r="X32" s="372">
        <f t="shared" si="1"/>
        <v>2102</v>
      </c>
    </row>
    <row r="33" spans="1:24" s="7" customFormat="1" ht="21">
      <c r="A33" s="366" t="s">
        <v>821</v>
      </c>
      <c r="B33" s="367" t="s">
        <v>822</v>
      </c>
      <c r="C33" s="367"/>
      <c r="D33" s="367"/>
      <c r="E33" s="367"/>
      <c r="F33" s="367"/>
      <c r="G33" s="367"/>
      <c r="H33" s="367"/>
      <c r="I33" s="367"/>
      <c r="J33" s="367"/>
      <c r="K33" s="368"/>
      <c r="L33" s="961">
        <f>258286+387+912+1324-339-2284+1063-46641-211645</f>
        <v>1063</v>
      </c>
      <c r="M33" s="369">
        <f t="shared" si="0"/>
        <v>1063</v>
      </c>
      <c r="N33" s="370"/>
      <c r="O33" s="371"/>
      <c r="P33" s="367"/>
      <c r="Q33" s="367"/>
      <c r="R33" s="367"/>
      <c r="S33" s="367"/>
      <c r="T33" s="367"/>
      <c r="U33" s="367"/>
      <c r="V33" s="367"/>
      <c r="W33" s="380"/>
      <c r="X33" s="372">
        <f t="shared" si="1"/>
        <v>0</v>
      </c>
    </row>
    <row r="34" spans="1:24" s="7" customFormat="1" ht="31.5">
      <c r="A34" s="366" t="s">
        <v>941</v>
      </c>
      <c r="B34" s="367" t="s">
        <v>0</v>
      </c>
      <c r="C34" s="367"/>
      <c r="D34" s="367"/>
      <c r="E34" s="367"/>
      <c r="F34" s="367"/>
      <c r="G34" s="367"/>
      <c r="H34" s="367"/>
      <c r="I34" s="367"/>
      <c r="J34" s="367"/>
      <c r="K34" s="368"/>
      <c r="L34" s="368"/>
      <c r="M34" s="369"/>
      <c r="N34" s="370"/>
      <c r="O34" s="371"/>
      <c r="P34" s="367"/>
      <c r="Q34" s="367"/>
      <c r="R34" s="367"/>
      <c r="S34" s="367"/>
      <c r="T34" s="367"/>
      <c r="U34" s="367"/>
      <c r="V34" s="367">
        <f>1118-381+137+57695+6641-1000-286-248-28-46-243-60+52-30-1522-826-30-2284-200-397-1420-20-40-200-75+2894-73+8594+24-5000-100-750-6803-64+1319+1147-100-100-94-200-3000-690-1877-37-2287-2054-109+3464+190+1826+705-1201+17000+732-122-1817</f>
        <v>67724</v>
      </c>
      <c r="W34" s="380"/>
      <c r="X34" s="372">
        <f t="shared" si="1"/>
        <v>67724</v>
      </c>
    </row>
    <row r="35" spans="1:24" s="7" customFormat="1" ht="10.5">
      <c r="A35" s="381"/>
      <c r="B35" s="382" t="s">
        <v>552</v>
      </c>
      <c r="C35" s="383">
        <f>SUM(C5:C34)</f>
        <v>408443</v>
      </c>
      <c r="D35" s="383">
        <f aca="true" t="shared" si="2" ref="D35:X35">SUM(D5:D34)</f>
        <v>33630</v>
      </c>
      <c r="E35" s="383">
        <f t="shared" si="2"/>
        <v>1229</v>
      </c>
      <c r="F35" s="383">
        <f t="shared" si="2"/>
        <v>145584</v>
      </c>
      <c r="G35" s="383">
        <f t="shared" si="2"/>
        <v>222292</v>
      </c>
      <c r="H35" s="383">
        <f t="shared" si="2"/>
        <v>9902</v>
      </c>
      <c r="I35" s="383">
        <f t="shared" si="2"/>
        <v>1853091</v>
      </c>
      <c r="J35" s="383">
        <f t="shared" si="2"/>
        <v>211574</v>
      </c>
      <c r="K35" s="383">
        <f t="shared" si="2"/>
        <v>621</v>
      </c>
      <c r="L35" s="384">
        <f t="shared" si="2"/>
        <v>99064</v>
      </c>
      <c r="M35" s="385">
        <f t="shared" si="2"/>
        <v>2985430</v>
      </c>
      <c r="N35" s="386">
        <f t="shared" si="2"/>
        <v>34676</v>
      </c>
      <c r="O35" s="383">
        <f t="shared" si="2"/>
        <v>12175</v>
      </c>
      <c r="P35" s="383">
        <f t="shared" si="2"/>
        <v>93316</v>
      </c>
      <c r="Q35" s="383">
        <f t="shared" si="2"/>
        <v>9174</v>
      </c>
      <c r="R35" s="383">
        <f t="shared" si="2"/>
        <v>39807</v>
      </c>
      <c r="S35" s="383">
        <f t="shared" si="2"/>
        <v>2232507</v>
      </c>
      <c r="T35" s="383">
        <f t="shared" si="2"/>
        <v>3600</v>
      </c>
      <c r="U35" s="383">
        <f t="shared" si="2"/>
        <v>15523</v>
      </c>
      <c r="V35" s="383">
        <f t="shared" si="2"/>
        <v>67724</v>
      </c>
      <c r="W35" s="384">
        <f t="shared" si="2"/>
        <v>476928</v>
      </c>
      <c r="X35" s="385">
        <f t="shared" si="2"/>
        <v>2985430</v>
      </c>
    </row>
    <row r="36" spans="1:22" s="7" customFormat="1" ht="10.5">
      <c r="A36" s="966" t="s">
        <v>151</v>
      </c>
      <c r="B36" s="966"/>
      <c r="C36" s="966"/>
      <c r="D36" s="966"/>
      <c r="E36" s="966"/>
      <c r="F36" s="966"/>
      <c r="G36" s="220"/>
      <c r="H36" s="220"/>
      <c r="I36" s="220"/>
      <c r="J36" s="220"/>
      <c r="K36" s="387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</row>
    <row r="37" spans="1:22" s="7" customFormat="1" ht="10.5">
      <c r="A37" s="388"/>
      <c r="B37" s="220"/>
      <c r="C37" s="220"/>
      <c r="D37" s="220"/>
      <c r="E37" s="220"/>
      <c r="F37" s="220"/>
      <c r="G37" s="220"/>
      <c r="H37" s="220"/>
      <c r="I37" s="220"/>
      <c r="J37" s="220"/>
      <c r="K37" s="387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</row>
    <row r="38" spans="1:22" s="7" customFormat="1" ht="10.5">
      <c r="A38" s="388"/>
      <c r="B38" s="220"/>
      <c r="C38" s="220"/>
      <c r="D38" s="220"/>
      <c r="E38" s="220"/>
      <c r="F38" s="220"/>
      <c r="G38" s="220"/>
      <c r="H38" s="220"/>
      <c r="I38" s="220"/>
      <c r="J38" s="220"/>
      <c r="K38" s="387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</row>
    <row r="39" spans="1:22" s="7" customFormat="1" ht="10.5">
      <c r="A39" s="388"/>
      <c r="B39" s="220"/>
      <c r="C39" s="220"/>
      <c r="D39" s="220"/>
      <c r="E39" s="220"/>
      <c r="F39" s="220"/>
      <c r="G39" s="220"/>
      <c r="H39" s="220"/>
      <c r="I39" s="220"/>
      <c r="J39" s="220"/>
      <c r="K39" s="387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</row>
    <row r="40" spans="1:22" s="7" customFormat="1" ht="10.5">
      <c r="A40" s="388"/>
      <c r="B40" s="220"/>
      <c r="C40" s="220"/>
      <c r="D40" s="220"/>
      <c r="E40" s="220"/>
      <c r="F40" s="220"/>
      <c r="G40" s="220"/>
      <c r="H40" s="220"/>
      <c r="I40" s="220"/>
      <c r="J40" s="220"/>
      <c r="K40" s="387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</row>
    <row r="41" spans="1:22" s="7" customFormat="1" ht="10.5">
      <c r="A41" s="388"/>
      <c r="B41" s="220"/>
      <c r="C41" s="220"/>
      <c r="D41" s="220"/>
      <c r="E41" s="220"/>
      <c r="F41" s="220"/>
      <c r="G41" s="220"/>
      <c r="H41" s="220"/>
      <c r="I41" s="220"/>
      <c r="J41" s="220"/>
      <c r="K41" s="387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</row>
    <row r="42" spans="1:22" s="7" customFormat="1" ht="10.5">
      <c r="A42" s="388"/>
      <c r="B42" s="220"/>
      <c r="C42" s="220"/>
      <c r="D42" s="220"/>
      <c r="E42" s="220"/>
      <c r="F42" s="220"/>
      <c r="G42" s="220"/>
      <c r="H42" s="220"/>
      <c r="I42" s="220"/>
      <c r="J42" s="220"/>
      <c r="K42" s="387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</row>
    <row r="43" spans="1:22" s="7" customFormat="1" ht="10.5">
      <c r="A43" s="388"/>
      <c r="B43" s="220"/>
      <c r="C43" s="220"/>
      <c r="D43" s="220"/>
      <c r="E43" s="220"/>
      <c r="F43" s="220"/>
      <c r="G43" s="220"/>
      <c r="H43" s="220"/>
      <c r="I43" s="220"/>
      <c r="J43" s="220"/>
      <c r="K43" s="387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</row>
    <row r="44" spans="1:22" ht="9.75">
      <c r="A44" s="389"/>
      <c r="C44" s="390"/>
      <c r="D44" s="390"/>
      <c r="E44" s="390"/>
      <c r="F44" s="390"/>
      <c r="G44" s="390"/>
      <c r="H44" s="390"/>
      <c r="I44" s="390"/>
      <c r="J44" s="390"/>
      <c r="K44" s="391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</row>
  </sheetData>
  <sheetProtection/>
  <mergeCells count="4">
    <mergeCell ref="A1:U1"/>
    <mergeCell ref="A2:U2"/>
    <mergeCell ref="A3:U3"/>
    <mergeCell ref="A36:F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3">
      <selection activeCell="A17" sqref="A17:F17"/>
    </sheetView>
  </sheetViews>
  <sheetFormatPr defaultColWidth="9.00390625" defaultRowHeight="12.75"/>
  <cols>
    <col min="1" max="1" width="7.00390625" style="348" customWidth="1"/>
    <col min="2" max="2" width="13.625" style="348" customWidth="1"/>
    <col min="3" max="3" width="4.25390625" style="348" customWidth="1"/>
    <col min="4" max="4" width="6.25390625" style="348" customWidth="1"/>
    <col min="5" max="5" width="5.125" style="348" customWidth="1"/>
    <col min="6" max="6" width="4.875" style="348" customWidth="1"/>
    <col min="7" max="7" width="5.875" style="348" customWidth="1"/>
    <col min="8" max="8" width="4.75390625" style="348" customWidth="1"/>
    <col min="9" max="9" width="5.25390625" style="348" customWidth="1"/>
    <col min="10" max="10" width="7.625" style="348" customWidth="1"/>
    <col min="11" max="11" width="8.125" style="348" customWidth="1"/>
    <col min="12" max="12" width="5.75390625" style="348" customWidth="1"/>
    <col min="13" max="13" width="6.75390625" style="348" customWidth="1"/>
    <col min="14" max="14" width="5.625" style="348" customWidth="1"/>
    <col min="15" max="15" width="6.875" style="348" customWidth="1"/>
    <col min="16" max="16" width="6.375" style="348" customWidth="1"/>
    <col min="17" max="17" width="5.125" style="348" customWidth="1"/>
    <col min="18" max="18" width="6.25390625" style="348" customWidth="1"/>
    <col min="19" max="19" width="6.375" style="348" customWidth="1"/>
    <col min="20" max="20" width="7.375" style="348" customWidth="1"/>
    <col min="21" max="16384" width="9.125" style="348" customWidth="1"/>
  </cols>
  <sheetData>
    <row r="1" spans="1:20" ht="10.5">
      <c r="A1" s="972" t="s">
        <v>249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</row>
    <row r="2" spans="1:20" ht="10.5">
      <c r="A2" s="986" t="s">
        <v>927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</row>
    <row r="5" spans="1:20" ht="124.5" customHeight="1">
      <c r="A5" s="907" t="s">
        <v>894</v>
      </c>
      <c r="B5" s="908" t="s">
        <v>575</v>
      </c>
      <c r="C5" s="908" t="s">
        <v>774</v>
      </c>
      <c r="D5" s="908" t="s">
        <v>798</v>
      </c>
      <c r="E5" s="908" t="s">
        <v>799</v>
      </c>
      <c r="F5" s="908" t="s">
        <v>795</v>
      </c>
      <c r="G5" s="909" t="s">
        <v>796</v>
      </c>
      <c r="H5" s="910" t="s">
        <v>797</v>
      </c>
      <c r="I5" s="909" t="s">
        <v>612</v>
      </c>
      <c r="J5" s="911" t="s">
        <v>776</v>
      </c>
      <c r="K5" s="912" t="s">
        <v>775</v>
      </c>
      <c r="L5" s="913" t="s">
        <v>334</v>
      </c>
      <c r="M5" s="914" t="s">
        <v>336</v>
      </c>
      <c r="N5" s="914" t="s">
        <v>338</v>
      </c>
      <c r="O5" s="914" t="s">
        <v>340</v>
      </c>
      <c r="P5" s="914" t="s">
        <v>342</v>
      </c>
      <c r="Q5" s="910" t="s">
        <v>661</v>
      </c>
      <c r="R5" s="910" t="s">
        <v>360</v>
      </c>
      <c r="S5" s="915" t="s">
        <v>823</v>
      </c>
      <c r="T5" s="912" t="s">
        <v>777</v>
      </c>
    </row>
    <row r="6" spans="1:20" ht="48.75" customHeight="1">
      <c r="A6" s="274" t="s">
        <v>800</v>
      </c>
      <c r="B6" s="275" t="s">
        <v>204</v>
      </c>
      <c r="C6" s="275"/>
      <c r="D6" s="275"/>
      <c r="E6" s="275"/>
      <c r="F6" s="275">
        <f>24+889+68+560+77-560</f>
        <v>1058</v>
      </c>
      <c r="G6" s="275"/>
      <c r="H6" s="275"/>
      <c r="I6" s="275"/>
      <c r="J6" s="278">
        <v>605</v>
      </c>
      <c r="K6" s="916">
        <f aca="true" t="shared" si="0" ref="K6:K14">SUM(C6:J6)</f>
        <v>1663</v>
      </c>
      <c r="L6" s="279">
        <f>30643+55+51+104+104+52+52+95-867+540</f>
        <v>30829</v>
      </c>
      <c r="M6" s="242">
        <f>8520+14+14+28-870+28+14-1+13+26+311+173</f>
        <v>8270</v>
      </c>
      <c r="N6" s="275">
        <f>-2402+12300+521-17</f>
        <v>10402</v>
      </c>
      <c r="O6" s="275"/>
      <c r="P6" s="275">
        <f>605+870</f>
        <v>1475</v>
      </c>
      <c r="Q6" s="275">
        <f>600+200+100-100+200+90+109-16-3</f>
        <v>1180</v>
      </c>
      <c r="R6" s="275"/>
      <c r="S6" s="278"/>
      <c r="T6" s="917">
        <f>SUM(L6:S6)</f>
        <v>52156</v>
      </c>
    </row>
    <row r="7" spans="1:20" ht="25.5" customHeight="1">
      <c r="A7" s="274" t="s">
        <v>834</v>
      </c>
      <c r="B7" s="275" t="s">
        <v>205</v>
      </c>
      <c r="C7" s="275"/>
      <c r="D7" s="275"/>
      <c r="E7" s="275"/>
      <c r="F7" s="275"/>
      <c r="G7" s="275"/>
      <c r="H7" s="275"/>
      <c r="I7" s="275"/>
      <c r="J7" s="278"/>
      <c r="K7" s="916">
        <f t="shared" si="0"/>
        <v>0</v>
      </c>
      <c r="L7" s="279">
        <f>340+5283-39</f>
        <v>5584</v>
      </c>
      <c r="M7" s="242">
        <f>1375+100+49</f>
        <v>1524</v>
      </c>
      <c r="N7" s="275"/>
      <c r="O7" s="275"/>
      <c r="P7" s="275"/>
      <c r="Q7" s="275"/>
      <c r="R7" s="275"/>
      <c r="S7" s="278"/>
      <c r="T7" s="917">
        <f aca="true" t="shared" si="1" ref="T7:T15">SUM(L7:S7)</f>
        <v>7108</v>
      </c>
    </row>
    <row r="8" spans="1:20" ht="70.5" customHeight="1">
      <c r="A8" s="274" t="s">
        <v>835</v>
      </c>
      <c r="B8" s="275" t="s">
        <v>836</v>
      </c>
      <c r="C8" s="275"/>
      <c r="D8" s="275"/>
      <c r="E8" s="275"/>
      <c r="F8" s="275"/>
      <c r="G8" s="275"/>
      <c r="H8" s="275"/>
      <c r="I8" s="275"/>
      <c r="J8" s="278"/>
      <c r="K8" s="916">
        <f t="shared" si="0"/>
        <v>0</v>
      </c>
      <c r="L8" s="279">
        <f>13059+26+26+176+52+52+26+26+39-589+425-468</f>
        <v>12850</v>
      </c>
      <c r="M8" s="242">
        <f>3385+7+7+48+14-348+14+8+8+10+1184-779-228</f>
        <v>3330</v>
      </c>
      <c r="N8" s="275"/>
      <c r="O8" s="275"/>
      <c r="P8" s="275">
        <v>348</v>
      </c>
      <c r="Q8" s="275"/>
      <c r="R8" s="275"/>
      <c r="S8" s="278"/>
      <c r="T8" s="917">
        <f t="shared" si="1"/>
        <v>16528</v>
      </c>
    </row>
    <row r="9" spans="1:20" ht="52.5" customHeight="1">
      <c r="A9" s="274" t="s">
        <v>1</v>
      </c>
      <c r="B9" s="220" t="s">
        <v>206</v>
      </c>
      <c r="C9" s="275"/>
      <c r="D9" s="275">
        <f>973+973-44+44+1142+182</f>
        <v>3270</v>
      </c>
      <c r="E9" s="275"/>
      <c r="F9" s="275"/>
      <c r="G9" s="275"/>
      <c r="H9" s="275"/>
      <c r="I9" s="275"/>
      <c r="J9" s="278"/>
      <c r="K9" s="916">
        <f t="shared" si="0"/>
        <v>3270</v>
      </c>
      <c r="L9" s="279">
        <f>706+658+835+135+101-33</f>
        <v>2402</v>
      </c>
      <c r="M9" s="242">
        <f>209+194+237+39-1+6</f>
        <v>684</v>
      </c>
      <c r="N9" s="275">
        <f>58+121+70+8-39+17</f>
        <v>235</v>
      </c>
      <c r="O9" s="275"/>
      <c r="P9" s="275"/>
      <c r="Q9" s="275"/>
      <c r="R9" s="275"/>
      <c r="S9" s="278"/>
      <c r="T9" s="917">
        <f t="shared" si="1"/>
        <v>3321</v>
      </c>
    </row>
    <row r="10" spans="1:20" ht="21" customHeight="1">
      <c r="A10" s="274" t="s">
        <v>832</v>
      </c>
      <c r="B10" s="275" t="s">
        <v>833</v>
      </c>
      <c r="C10" s="275"/>
      <c r="D10" s="275"/>
      <c r="E10" s="275"/>
      <c r="F10" s="275"/>
      <c r="G10" s="275"/>
      <c r="H10" s="275"/>
      <c r="I10" s="275"/>
      <c r="J10" s="278">
        <f>93786+98+102+200+18626+73464+100+44+224-100+198-44+60+198-24+99+200+90+99+109+170-31738-2402+1184-589-16-3-68-560-77</f>
        <v>153430</v>
      </c>
      <c r="K10" s="916">
        <f t="shared" si="0"/>
        <v>153430</v>
      </c>
      <c r="L10" s="279"/>
      <c r="M10" s="242"/>
      <c r="N10" s="275"/>
      <c r="O10" s="275"/>
      <c r="P10" s="275"/>
      <c r="Q10" s="275"/>
      <c r="R10" s="275"/>
      <c r="S10" s="278"/>
      <c r="T10" s="917">
        <f t="shared" si="1"/>
        <v>0</v>
      </c>
    </row>
    <row r="11" spans="1:20" ht="33.75">
      <c r="A11" s="274" t="s">
        <v>828</v>
      </c>
      <c r="B11" s="275" t="s">
        <v>829</v>
      </c>
      <c r="C11" s="275"/>
      <c r="D11" s="275">
        <f>4500+5400+63200-14121-58979</f>
        <v>0</v>
      </c>
      <c r="E11" s="275"/>
      <c r="F11" s="275"/>
      <c r="G11" s="275">
        <v>541</v>
      </c>
      <c r="H11" s="275"/>
      <c r="I11" s="275"/>
      <c r="J11" s="278"/>
      <c r="K11" s="916">
        <f t="shared" si="0"/>
        <v>541</v>
      </c>
      <c r="L11" s="279"/>
      <c r="M11" s="242"/>
      <c r="N11" s="275"/>
      <c r="O11" s="275">
        <f>-31738+90000+1213</f>
        <v>59475</v>
      </c>
      <c r="P11" s="275"/>
      <c r="Q11" s="275"/>
      <c r="R11" s="275"/>
      <c r="S11" s="278"/>
      <c r="T11" s="917">
        <f t="shared" si="1"/>
        <v>59475</v>
      </c>
    </row>
    <row r="12" spans="1:20" ht="20.25" customHeight="1">
      <c r="A12" s="274" t="s">
        <v>830</v>
      </c>
      <c r="B12" s="275" t="s">
        <v>794</v>
      </c>
      <c r="C12" s="275"/>
      <c r="D12" s="275">
        <f>18450+360+180-4505-14485</f>
        <v>0</v>
      </c>
      <c r="E12" s="275"/>
      <c r="F12" s="275"/>
      <c r="G12" s="275">
        <v>19</v>
      </c>
      <c r="H12" s="275"/>
      <c r="I12" s="275"/>
      <c r="J12" s="278"/>
      <c r="K12" s="916">
        <f t="shared" si="0"/>
        <v>19</v>
      </c>
      <c r="L12" s="279"/>
      <c r="M12" s="242"/>
      <c r="N12" s="275"/>
      <c r="O12" s="275">
        <f>21100-1985</f>
        <v>19115</v>
      </c>
      <c r="P12" s="275"/>
      <c r="Q12" s="275"/>
      <c r="R12" s="275"/>
      <c r="S12" s="278"/>
      <c r="T12" s="917">
        <f t="shared" si="1"/>
        <v>19115</v>
      </c>
    </row>
    <row r="13" spans="1:20" ht="45">
      <c r="A13" s="274" t="s">
        <v>831</v>
      </c>
      <c r="B13" s="275" t="s">
        <v>207</v>
      </c>
      <c r="C13" s="275"/>
      <c r="D13" s="275"/>
      <c r="E13" s="275"/>
      <c r="F13" s="275"/>
      <c r="G13" s="275"/>
      <c r="H13" s="275"/>
      <c r="I13" s="275"/>
      <c r="J13" s="278"/>
      <c r="K13" s="916">
        <f t="shared" si="0"/>
        <v>0</v>
      </c>
      <c r="L13" s="279"/>
      <c r="M13" s="242"/>
      <c r="N13" s="275"/>
      <c r="O13" s="275">
        <f>110+500</f>
        <v>610</v>
      </c>
      <c r="P13" s="275"/>
      <c r="Q13" s="275"/>
      <c r="R13" s="275"/>
      <c r="S13" s="278"/>
      <c r="T13" s="917">
        <f t="shared" si="1"/>
        <v>610</v>
      </c>
    </row>
    <row r="14" spans="1:20" ht="45">
      <c r="A14" s="274" t="s">
        <v>161</v>
      </c>
      <c r="B14" s="918" t="s">
        <v>208</v>
      </c>
      <c r="C14" s="275"/>
      <c r="D14" s="275"/>
      <c r="E14" s="275"/>
      <c r="F14" s="275"/>
      <c r="G14" s="275"/>
      <c r="H14" s="275"/>
      <c r="I14" s="275"/>
      <c r="J14" s="278"/>
      <c r="K14" s="916">
        <f t="shared" si="0"/>
        <v>0</v>
      </c>
      <c r="L14" s="279"/>
      <c r="M14" s="242"/>
      <c r="N14" s="275"/>
      <c r="O14" s="275">
        <f>550+60</f>
        <v>610</v>
      </c>
      <c r="P14" s="275"/>
      <c r="Q14" s="275"/>
      <c r="R14" s="275"/>
      <c r="S14" s="278"/>
      <c r="T14" s="917">
        <f t="shared" si="1"/>
        <v>610</v>
      </c>
    </row>
    <row r="15" spans="1:20" ht="11.25">
      <c r="A15" s="919"/>
      <c r="B15" s="920" t="s">
        <v>552</v>
      </c>
      <c r="C15" s="921">
        <f aca="true" t="shared" si="2" ref="C15:S15">SUM(C6:C14)</f>
        <v>0</v>
      </c>
      <c r="D15" s="921">
        <f t="shared" si="2"/>
        <v>3270</v>
      </c>
      <c r="E15" s="921">
        <f t="shared" si="2"/>
        <v>0</v>
      </c>
      <c r="F15" s="921">
        <f t="shared" si="2"/>
        <v>1058</v>
      </c>
      <c r="G15" s="921">
        <f t="shared" si="2"/>
        <v>560</v>
      </c>
      <c r="H15" s="921">
        <f t="shared" si="2"/>
        <v>0</v>
      </c>
      <c r="I15" s="921">
        <f t="shared" si="2"/>
        <v>0</v>
      </c>
      <c r="J15" s="922">
        <f t="shared" si="2"/>
        <v>154035</v>
      </c>
      <c r="K15" s="923">
        <f t="shared" si="2"/>
        <v>158923</v>
      </c>
      <c r="L15" s="924">
        <f t="shared" si="2"/>
        <v>51665</v>
      </c>
      <c r="M15" s="921">
        <f t="shared" si="2"/>
        <v>13808</v>
      </c>
      <c r="N15" s="921">
        <f t="shared" si="2"/>
        <v>10637</v>
      </c>
      <c r="O15" s="921">
        <f t="shared" si="2"/>
        <v>79810</v>
      </c>
      <c r="P15" s="921">
        <f t="shared" si="2"/>
        <v>1823</v>
      </c>
      <c r="Q15" s="921">
        <f t="shared" si="2"/>
        <v>1180</v>
      </c>
      <c r="R15" s="921">
        <f t="shared" si="2"/>
        <v>0</v>
      </c>
      <c r="S15" s="922">
        <f t="shared" si="2"/>
        <v>0</v>
      </c>
      <c r="T15" s="917">
        <f t="shared" si="1"/>
        <v>158923</v>
      </c>
    </row>
    <row r="17" spans="1:6" ht="10.5">
      <c r="A17" s="966" t="s">
        <v>151</v>
      </c>
      <c r="B17" s="966"/>
      <c r="C17" s="966"/>
      <c r="D17" s="966"/>
      <c r="E17" s="966"/>
      <c r="F17" s="966"/>
    </row>
  </sheetData>
  <sheetProtection/>
  <mergeCells count="3">
    <mergeCell ref="A1:T1"/>
    <mergeCell ref="A2:T2"/>
    <mergeCell ref="A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12" sqref="A12:F12"/>
    </sheetView>
  </sheetViews>
  <sheetFormatPr defaultColWidth="9.00390625" defaultRowHeight="12.75"/>
  <cols>
    <col min="1" max="1" width="6.375" style="0" customWidth="1"/>
    <col min="3" max="3" width="5.75390625" style="0" customWidth="1"/>
    <col min="5" max="5" width="4.875" style="0" customWidth="1"/>
    <col min="6" max="6" width="5.75390625" style="0" customWidth="1"/>
    <col min="7" max="7" width="5.375" style="0" customWidth="1"/>
    <col min="8" max="8" width="7.625" style="0" customWidth="1"/>
    <col min="9" max="9" width="2.625" style="0" customWidth="1"/>
    <col min="10" max="10" width="5.00390625" style="0" customWidth="1"/>
    <col min="11" max="11" width="5.875" style="0" customWidth="1"/>
    <col min="12" max="12" width="5.375" style="0" customWidth="1"/>
    <col min="13" max="13" width="6.00390625" style="0" customWidth="1"/>
    <col min="16" max="16" width="5.375" style="0" customWidth="1"/>
    <col min="17" max="17" width="6.125" style="0" customWidth="1"/>
    <col min="18" max="18" width="6.625" style="0" customWidth="1"/>
    <col min="19" max="19" width="4.375" style="0" customWidth="1"/>
    <col min="20" max="20" width="4.00390625" style="0" customWidth="1"/>
    <col min="21" max="21" width="7.25390625" style="0" customWidth="1"/>
  </cols>
  <sheetData>
    <row r="1" spans="1:21" ht="12.75">
      <c r="A1" s="987" t="s">
        <v>248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</row>
    <row r="2" spans="1:20" ht="12.75">
      <c r="A2" s="988" t="s">
        <v>926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</row>
    <row r="4" spans="1:21" ht="93.75">
      <c r="A4" s="280" t="s">
        <v>894</v>
      </c>
      <c r="B4" s="281" t="s">
        <v>575</v>
      </c>
      <c r="C4" s="281" t="s">
        <v>774</v>
      </c>
      <c r="D4" s="281" t="s">
        <v>798</v>
      </c>
      <c r="E4" s="281" t="s">
        <v>799</v>
      </c>
      <c r="F4" s="281" t="s">
        <v>795</v>
      </c>
      <c r="G4" s="282" t="s">
        <v>796</v>
      </c>
      <c r="H4" s="281" t="s">
        <v>609</v>
      </c>
      <c r="I4" s="193" t="s">
        <v>797</v>
      </c>
      <c r="J4" s="282" t="s">
        <v>612</v>
      </c>
      <c r="K4" s="283" t="s">
        <v>776</v>
      </c>
      <c r="L4" s="284" t="s">
        <v>775</v>
      </c>
      <c r="M4" s="285" t="s">
        <v>334</v>
      </c>
      <c r="N4" s="103" t="s">
        <v>336</v>
      </c>
      <c r="O4" s="103" t="s">
        <v>338</v>
      </c>
      <c r="P4" s="103" t="s">
        <v>340</v>
      </c>
      <c r="Q4" s="103" t="s">
        <v>938</v>
      </c>
      <c r="R4" s="193" t="s">
        <v>661</v>
      </c>
      <c r="S4" s="193" t="s">
        <v>360</v>
      </c>
      <c r="T4" s="286" t="s">
        <v>823</v>
      </c>
      <c r="U4" s="284" t="s">
        <v>777</v>
      </c>
    </row>
    <row r="5" spans="1:21" ht="56.25">
      <c r="A5" s="274" t="s">
        <v>832</v>
      </c>
      <c r="B5" s="275" t="s">
        <v>833</v>
      </c>
      <c r="C5" s="275"/>
      <c r="D5" s="275"/>
      <c r="E5" s="275"/>
      <c r="F5" s="275"/>
      <c r="G5" s="228"/>
      <c r="H5" s="275"/>
      <c r="I5" s="287"/>
      <c r="J5" s="228"/>
      <c r="K5" s="288">
        <f>85203+78+73+144+143+248+143+71+692+65+130+1201</f>
        <v>88191</v>
      </c>
      <c r="L5" s="289">
        <f>K5</f>
        <v>88191</v>
      </c>
      <c r="M5" s="290"/>
      <c r="N5" s="291"/>
      <c r="O5" s="291"/>
      <c r="P5" s="291"/>
      <c r="Q5" s="291"/>
      <c r="R5" s="287"/>
      <c r="S5" s="287"/>
      <c r="T5" s="292"/>
      <c r="U5" s="289"/>
    </row>
    <row r="6" spans="1:21" ht="56.25">
      <c r="A6" s="274" t="s">
        <v>837</v>
      </c>
      <c r="B6" s="275" t="s">
        <v>838</v>
      </c>
      <c r="C6" s="144"/>
      <c r="D6" s="275"/>
      <c r="E6" s="275"/>
      <c r="F6" s="275"/>
      <c r="G6" s="275"/>
      <c r="H6" s="275"/>
      <c r="I6" s="275"/>
      <c r="J6" s="275"/>
      <c r="K6" s="278"/>
      <c r="L6" s="293">
        <f>SUM(B6:K6)</f>
        <v>0</v>
      </c>
      <c r="M6" s="279">
        <f>62214+61+57+114+113+113+56+528+51+102-454+188</f>
        <v>63143</v>
      </c>
      <c r="N6" s="242">
        <f>15317+17+16+30+30+30+15+164+14-1218+28+1186+454+137-234+4</f>
        <v>15990</v>
      </c>
      <c r="O6" s="275"/>
      <c r="P6" s="275"/>
      <c r="Q6" s="275"/>
      <c r="R6" s="275"/>
      <c r="S6" s="275"/>
      <c r="T6" s="278"/>
      <c r="U6" s="289">
        <f>SUM(M6:T6)</f>
        <v>79133</v>
      </c>
    </row>
    <row r="7" spans="1:21" ht="67.5">
      <c r="A7" s="274" t="s">
        <v>839</v>
      </c>
      <c r="B7" s="275" t="s">
        <v>840</v>
      </c>
      <c r="C7" s="275"/>
      <c r="D7" s="275"/>
      <c r="E7" s="275"/>
      <c r="F7" s="275">
        <v>5</v>
      </c>
      <c r="G7" s="275">
        <v>1</v>
      </c>
      <c r="H7" s="275"/>
      <c r="I7" s="275"/>
      <c r="J7" s="275"/>
      <c r="K7" s="278">
        <v>508</v>
      </c>
      <c r="L7" s="293">
        <f>SUM(C7:K7)</f>
        <v>514</v>
      </c>
      <c r="M7" s="279">
        <f>-25+180</f>
        <v>155</v>
      </c>
      <c r="N7" s="242">
        <f>-2+44-4</f>
        <v>38</v>
      </c>
      <c r="O7" s="275">
        <f>248+6426+5+15+19+20+1</f>
        <v>6734</v>
      </c>
      <c r="P7" s="275"/>
      <c r="Q7" s="275">
        <f>73+1226</f>
        <v>1299</v>
      </c>
      <c r="R7" s="275">
        <f>-155-1+1022</f>
        <v>866</v>
      </c>
      <c r="S7" s="275">
        <f>-16+500-4</f>
        <v>480</v>
      </c>
      <c r="T7" s="278"/>
      <c r="U7" s="289">
        <f>SUM(M7:T7)</f>
        <v>9572</v>
      </c>
    </row>
    <row r="8" spans="1:21" ht="12.75">
      <c r="A8" s="294"/>
      <c r="B8" s="277" t="s">
        <v>552</v>
      </c>
      <c r="C8" s="224">
        <f aca="true" t="shared" si="0" ref="C8:L8">C5+C6+C7</f>
        <v>0</v>
      </c>
      <c r="D8" s="224">
        <f t="shared" si="0"/>
        <v>0</v>
      </c>
      <c r="E8" s="224">
        <f t="shared" si="0"/>
        <v>0</v>
      </c>
      <c r="F8" s="224">
        <f t="shared" si="0"/>
        <v>5</v>
      </c>
      <c r="G8" s="224">
        <f t="shared" si="0"/>
        <v>1</v>
      </c>
      <c r="H8" s="224">
        <f t="shared" si="0"/>
        <v>0</v>
      </c>
      <c r="I8" s="224">
        <f t="shared" si="0"/>
        <v>0</v>
      </c>
      <c r="J8" s="224">
        <f t="shared" si="0"/>
        <v>0</v>
      </c>
      <c r="K8" s="295">
        <f t="shared" si="0"/>
        <v>88699</v>
      </c>
      <c r="L8" s="296">
        <f t="shared" si="0"/>
        <v>88705</v>
      </c>
      <c r="M8" s="297">
        <f aca="true" t="shared" si="1" ref="M8:T8">SUM(M6:M7)</f>
        <v>63298</v>
      </c>
      <c r="N8" s="224">
        <f t="shared" si="1"/>
        <v>16028</v>
      </c>
      <c r="O8" s="224">
        <f t="shared" si="1"/>
        <v>6734</v>
      </c>
      <c r="P8" s="224">
        <f t="shared" si="1"/>
        <v>0</v>
      </c>
      <c r="Q8" s="224">
        <f t="shared" si="1"/>
        <v>1299</v>
      </c>
      <c r="R8" s="224">
        <f t="shared" si="1"/>
        <v>866</v>
      </c>
      <c r="S8" s="224">
        <f t="shared" si="1"/>
        <v>480</v>
      </c>
      <c r="T8" s="295">
        <f t="shared" si="1"/>
        <v>0</v>
      </c>
      <c r="U8" s="289">
        <f>SUM(M8:T8)</f>
        <v>88705</v>
      </c>
    </row>
    <row r="12" spans="1:6" ht="12.75">
      <c r="A12" s="966" t="s">
        <v>151</v>
      </c>
      <c r="B12" s="966"/>
      <c r="C12" s="966"/>
      <c r="D12" s="966"/>
      <c r="E12" s="966"/>
      <c r="F12" s="966"/>
    </row>
  </sheetData>
  <sheetProtection/>
  <mergeCells count="3">
    <mergeCell ref="A1:U1"/>
    <mergeCell ref="A2:T2"/>
    <mergeCell ref="A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3">
      <selection activeCell="A25" sqref="A25:F25"/>
    </sheetView>
  </sheetViews>
  <sheetFormatPr defaultColWidth="9.00390625" defaultRowHeight="12.75"/>
  <cols>
    <col min="1" max="1" width="6.875" style="0" customWidth="1"/>
    <col min="2" max="2" width="11.625" style="28" customWidth="1"/>
    <col min="3" max="3" width="4.00390625" style="0" customWidth="1"/>
    <col min="4" max="4" width="7.25390625" style="0" customWidth="1"/>
    <col min="5" max="5" width="4.625" style="0" customWidth="1"/>
    <col min="6" max="6" width="5.875" style="0" customWidth="1"/>
    <col min="7" max="8" width="5.375" style="0" customWidth="1"/>
    <col min="9" max="9" width="3.875" style="0" customWidth="1"/>
    <col min="10" max="10" width="5.375" style="0" customWidth="1"/>
    <col min="11" max="11" width="7.00390625" style="0" customWidth="1"/>
    <col min="12" max="12" width="7.125" style="0" customWidth="1"/>
    <col min="13" max="13" width="7.625" style="0" customWidth="1"/>
    <col min="15" max="15" width="7.125" style="0" customWidth="1"/>
    <col min="16" max="16" width="5.375" style="0" customWidth="1"/>
    <col min="17" max="17" width="5.00390625" style="0" customWidth="1"/>
    <col min="18" max="18" width="7.00390625" style="0" customWidth="1"/>
    <col min="19" max="19" width="4.375" style="0" customWidth="1"/>
    <col min="20" max="20" width="2.875" style="0" customWidth="1"/>
    <col min="21" max="21" width="6.625" style="0" customWidth="1"/>
  </cols>
  <sheetData>
    <row r="1" spans="1:21" ht="12.75">
      <c r="A1" s="987" t="s">
        <v>247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</row>
    <row r="2" spans="1:21" ht="12.75">
      <c r="A2" s="989" t="s">
        <v>925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</row>
    <row r="4" spans="1:21" ht="67.5" customHeight="1">
      <c r="A4" s="280" t="s">
        <v>894</v>
      </c>
      <c r="B4" s="281" t="s">
        <v>575</v>
      </c>
      <c r="C4" s="281" t="s">
        <v>774</v>
      </c>
      <c r="D4" s="281" t="s">
        <v>798</v>
      </c>
      <c r="E4" s="281" t="s">
        <v>2</v>
      </c>
      <c r="F4" s="281" t="s">
        <v>795</v>
      </c>
      <c r="G4" s="282" t="s">
        <v>796</v>
      </c>
      <c r="H4" s="281" t="s">
        <v>609</v>
      </c>
      <c r="I4" s="193" t="s">
        <v>797</v>
      </c>
      <c r="J4" s="282" t="s">
        <v>612</v>
      </c>
      <c r="K4" s="283" t="s">
        <v>776</v>
      </c>
      <c r="L4" s="284" t="s">
        <v>775</v>
      </c>
      <c r="M4" s="285" t="s">
        <v>334</v>
      </c>
      <c r="N4" s="103" t="s">
        <v>336</v>
      </c>
      <c r="O4" s="103" t="s">
        <v>338</v>
      </c>
      <c r="P4" s="103" t="s">
        <v>340</v>
      </c>
      <c r="Q4" s="103" t="s">
        <v>342</v>
      </c>
      <c r="R4" s="193" t="s">
        <v>661</v>
      </c>
      <c r="S4" s="193" t="s">
        <v>360</v>
      </c>
      <c r="T4" s="286" t="s">
        <v>823</v>
      </c>
      <c r="U4" s="284" t="s">
        <v>777</v>
      </c>
    </row>
    <row r="5" spans="1:21" ht="36.75" customHeight="1">
      <c r="A5" s="274" t="s">
        <v>851</v>
      </c>
      <c r="B5" s="275" t="s">
        <v>836</v>
      </c>
      <c r="C5" s="275"/>
      <c r="D5" s="275"/>
      <c r="E5" s="275"/>
      <c r="F5" s="275">
        <f>-127+400+21-96+3</f>
        <v>201</v>
      </c>
      <c r="G5" s="275"/>
      <c r="H5" s="275"/>
      <c r="I5" s="275"/>
      <c r="J5" s="275"/>
      <c r="K5" s="278"/>
      <c r="L5" s="293">
        <f>SUM(C5:K5)</f>
        <v>201</v>
      </c>
      <c r="M5" s="279">
        <f>11540+20+100+1+40+37+74+74-1098-472+73+37+168+37+74-861</f>
        <v>9844</v>
      </c>
      <c r="N5" s="242">
        <f>3114+5+27+1+11+11+20+20-478-314-127+20+10+52+10+20-120</f>
        <v>2282</v>
      </c>
      <c r="O5" s="275">
        <f>1700+2718-1700+200+300-68</f>
        <v>3150</v>
      </c>
      <c r="P5" s="275"/>
      <c r="Q5" s="275">
        <f>49+1700</f>
        <v>1749</v>
      </c>
      <c r="R5" s="275">
        <f>115+320+180-49</f>
        <v>566</v>
      </c>
      <c r="S5" s="275"/>
      <c r="T5" s="278"/>
      <c r="U5" s="289">
        <f>SUM(M5:T5)</f>
        <v>17591</v>
      </c>
    </row>
    <row r="6" spans="1:21" ht="36.75" customHeight="1">
      <c r="A6" s="274" t="s">
        <v>832</v>
      </c>
      <c r="B6" s="275" t="s">
        <v>833</v>
      </c>
      <c r="C6" s="275"/>
      <c r="D6" s="275"/>
      <c r="E6" s="275"/>
      <c r="F6" s="275"/>
      <c r="G6" s="275"/>
      <c r="H6" s="275"/>
      <c r="I6" s="275"/>
      <c r="J6" s="275"/>
      <c r="K6" s="278">
        <f>71916+181+202+406+1324+408+3539+1420+407+204+668+204+408</f>
        <v>81287</v>
      </c>
      <c r="L6" s="293">
        <f>SUM(C6:K6)</f>
        <v>81287</v>
      </c>
      <c r="M6" s="279"/>
      <c r="N6" s="242"/>
      <c r="O6" s="275"/>
      <c r="P6" s="275"/>
      <c r="Q6" s="275">
        <v>3539</v>
      </c>
      <c r="R6" s="275"/>
      <c r="S6" s="275"/>
      <c r="T6" s="278"/>
      <c r="U6" s="289">
        <f>SUM(M6:T6)</f>
        <v>3539</v>
      </c>
    </row>
    <row r="7" spans="1:21" ht="45">
      <c r="A7" s="274" t="s">
        <v>804</v>
      </c>
      <c r="B7" s="275" t="s">
        <v>781</v>
      </c>
      <c r="C7" s="224"/>
      <c r="D7" s="275">
        <f>-64811+64811</f>
        <v>0</v>
      </c>
      <c r="E7" s="275"/>
      <c r="F7" s="275"/>
      <c r="G7" s="275"/>
      <c r="H7" s="275"/>
      <c r="I7" s="275"/>
      <c r="J7" s="275"/>
      <c r="K7" s="278"/>
      <c r="L7" s="293">
        <f aca="true" t="shared" si="0" ref="L7:L20">SUM(C7:K7)</f>
        <v>0</v>
      </c>
      <c r="M7" s="279">
        <f>1043+57102-57102-1043</f>
        <v>0</v>
      </c>
      <c r="N7" s="242">
        <f>7709+281-7709-281</f>
        <v>0</v>
      </c>
      <c r="O7" s="275">
        <f>150-150</f>
        <v>0</v>
      </c>
      <c r="P7" s="275"/>
      <c r="Q7" s="275"/>
      <c r="R7" s="275"/>
      <c r="S7" s="275"/>
      <c r="T7" s="278"/>
      <c r="U7" s="289">
        <f aca="true" t="shared" si="1" ref="U7:U21">SUM(M7:T7)</f>
        <v>0</v>
      </c>
    </row>
    <row r="8" spans="1:21" ht="47.25" customHeight="1">
      <c r="A8" s="274" t="s">
        <v>841</v>
      </c>
      <c r="B8" s="275" t="s">
        <v>842</v>
      </c>
      <c r="C8" s="224"/>
      <c r="D8" s="275">
        <f>38338-733</f>
        <v>37605</v>
      </c>
      <c r="E8" s="275"/>
      <c r="F8" s="275"/>
      <c r="G8" s="275"/>
      <c r="H8" s="275"/>
      <c r="I8" s="275"/>
      <c r="J8" s="275"/>
      <c r="K8" s="278"/>
      <c r="L8" s="293">
        <f t="shared" si="0"/>
        <v>37605</v>
      </c>
      <c r="M8" s="279">
        <f>30751-1250+1334</f>
        <v>30835</v>
      </c>
      <c r="N8" s="242">
        <f>4151-169+208</f>
        <v>4190</v>
      </c>
      <c r="O8" s="275">
        <v>686</v>
      </c>
      <c r="P8" s="275"/>
      <c r="Q8" s="275"/>
      <c r="R8" s="275">
        <v>1727</v>
      </c>
      <c r="S8" s="275"/>
      <c r="T8" s="278"/>
      <c r="U8" s="289">
        <f t="shared" si="1"/>
        <v>37438</v>
      </c>
    </row>
    <row r="9" spans="1:21" ht="45">
      <c r="A9" s="274" t="s">
        <v>805</v>
      </c>
      <c r="B9" s="275" t="s">
        <v>227</v>
      </c>
      <c r="C9" s="224"/>
      <c r="D9" s="275">
        <f>53551+8483</f>
        <v>62034</v>
      </c>
      <c r="E9" s="275"/>
      <c r="F9" s="275">
        <f>1000-213-787</f>
        <v>0</v>
      </c>
      <c r="G9" s="275"/>
      <c r="H9" s="275">
        <v>3511</v>
      </c>
      <c r="I9" s="275"/>
      <c r="J9" s="275"/>
      <c r="K9" s="278"/>
      <c r="L9" s="293">
        <f t="shared" si="0"/>
        <v>65545</v>
      </c>
      <c r="M9" s="279">
        <v>7474</v>
      </c>
      <c r="N9" s="242">
        <v>1009</v>
      </c>
      <c r="O9" s="275">
        <f>686+1000-1686</f>
        <v>0</v>
      </c>
      <c r="P9" s="275"/>
      <c r="Q9" s="275"/>
      <c r="R9" s="275">
        <v>1199</v>
      </c>
      <c r="S9" s="275"/>
      <c r="T9" s="278"/>
      <c r="U9" s="289">
        <f t="shared" si="1"/>
        <v>9682</v>
      </c>
    </row>
    <row r="10" spans="1:21" ht="35.25" customHeight="1">
      <c r="A10" s="274" t="s">
        <v>843</v>
      </c>
      <c r="B10" s="275" t="s">
        <v>844</v>
      </c>
      <c r="C10" s="275"/>
      <c r="D10" s="275">
        <f>26666+21228+18309+13248+21108</f>
        <v>100559</v>
      </c>
      <c r="E10" s="275"/>
      <c r="F10" s="275">
        <f>1500+438+405+2280+616+1308+353-181+124+632+284</f>
        <v>7759</v>
      </c>
      <c r="G10" s="275"/>
      <c r="H10" s="275">
        <f>3936+1745+24</f>
        <v>5705</v>
      </c>
      <c r="I10" s="275"/>
      <c r="J10" s="275"/>
      <c r="K10" s="278"/>
      <c r="L10" s="293">
        <f t="shared" si="0"/>
        <v>114023</v>
      </c>
      <c r="M10" s="279">
        <f>26351+16733+20229+16131+11672+28694</f>
        <v>119810</v>
      </c>
      <c r="N10" s="242">
        <f>3558+2260+2731+2178+1576+3919</f>
        <v>16222</v>
      </c>
      <c r="O10" s="275">
        <f>438+2235+1705+3706+1053+117+2596-330+1661+15347</f>
        <v>28528</v>
      </c>
      <c r="P10" s="275"/>
      <c r="Q10" s="275"/>
      <c r="R10" s="275">
        <f>1053-600+387+600+305+3936+1200-1053+74+220-266-145+330+2392</f>
        <v>8433</v>
      </c>
      <c r="S10" s="275"/>
      <c r="T10" s="278"/>
      <c r="U10" s="289">
        <f t="shared" si="1"/>
        <v>172993</v>
      </c>
    </row>
    <row r="11" spans="1:21" ht="31.5" customHeight="1">
      <c r="A11" s="274" t="s">
        <v>845</v>
      </c>
      <c r="B11" s="275" t="s">
        <v>846</v>
      </c>
      <c r="C11" s="275"/>
      <c r="D11" s="275">
        <f>44680+928-45608</f>
        <v>0</v>
      </c>
      <c r="E11" s="275"/>
      <c r="F11" s="275"/>
      <c r="G11" s="275"/>
      <c r="H11" s="275">
        <f>600+4721-5321</f>
        <v>0</v>
      </c>
      <c r="I11" s="275"/>
      <c r="J11" s="275"/>
      <c r="K11" s="278">
        <v>843</v>
      </c>
      <c r="L11" s="293">
        <f t="shared" si="0"/>
        <v>843</v>
      </c>
      <c r="M11" s="279">
        <f>843+33441-34284</f>
        <v>0</v>
      </c>
      <c r="N11" s="242">
        <f>4515-4515</f>
        <v>0</v>
      </c>
      <c r="O11" s="275">
        <f>6724+928-7652</f>
        <v>0</v>
      </c>
      <c r="P11" s="275"/>
      <c r="Q11" s="275"/>
      <c r="R11" s="275">
        <f>472+128+4721-5321</f>
        <v>0</v>
      </c>
      <c r="S11" s="275"/>
      <c r="T11" s="278"/>
      <c r="U11" s="289">
        <f t="shared" si="1"/>
        <v>0</v>
      </c>
    </row>
    <row r="12" spans="1:21" ht="57.75" customHeight="1">
      <c r="A12" s="280" t="s">
        <v>894</v>
      </c>
      <c r="B12" s="281" t="s">
        <v>575</v>
      </c>
      <c r="C12" s="281" t="s">
        <v>774</v>
      </c>
      <c r="D12" s="281" t="s">
        <v>798</v>
      </c>
      <c r="E12" s="281" t="s">
        <v>2</v>
      </c>
      <c r="F12" s="281" t="s">
        <v>795</v>
      </c>
      <c r="G12" s="282" t="s">
        <v>796</v>
      </c>
      <c r="H12" s="281" t="s">
        <v>609</v>
      </c>
      <c r="I12" s="193" t="s">
        <v>797</v>
      </c>
      <c r="J12" s="282" t="s">
        <v>612</v>
      </c>
      <c r="K12" s="283" t="s">
        <v>776</v>
      </c>
      <c r="L12" s="284" t="s">
        <v>775</v>
      </c>
      <c r="M12" s="285" t="s">
        <v>334</v>
      </c>
      <c r="N12" s="103" t="s">
        <v>336</v>
      </c>
      <c r="O12" s="103" t="s">
        <v>338</v>
      </c>
      <c r="P12" s="103" t="s">
        <v>340</v>
      </c>
      <c r="Q12" s="103" t="s">
        <v>342</v>
      </c>
      <c r="R12" s="193" t="s">
        <v>661</v>
      </c>
      <c r="S12" s="193" t="s">
        <v>360</v>
      </c>
      <c r="T12" s="286" t="s">
        <v>823</v>
      </c>
      <c r="U12" s="284" t="s">
        <v>777</v>
      </c>
    </row>
    <row r="13" spans="1:21" ht="23.25" customHeight="1">
      <c r="A13" s="274" t="s">
        <v>812</v>
      </c>
      <c r="B13" s="275" t="s">
        <v>788</v>
      </c>
      <c r="C13" s="224"/>
      <c r="D13" s="275"/>
      <c r="E13" s="275"/>
      <c r="F13" s="275">
        <f>130+127+35+7+24</f>
        <v>323</v>
      </c>
      <c r="G13" s="275"/>
      <c r="H13" s="275"/>
      <c r="I13" s="275"/>
      <c r="J13" s="275"/>
      <c r="K13" s="278"/>
      <c r="L13" s="293">
        <f t="shared" si="0"/>
        <v>323</v>
      </c>
      <c r="M13" s="279">
        <f>1215+6+5+10+10+10+5+24+5+10</f>
        <v>1300</v>
      </c>
      <c r="N13" s="242">
        <f>1+328+2+1+2+2+2+1+8+1+2+1</f>
        <v>351</v>
      </c>
      <c r="O13" s="275">
        <f>599+2529+165+5</f>
        <v>3298</v>
      </c>
      <c r="P13" s="275"/>
      <c r="Q13" s="275"/>
      <c r="R13" s="275">
        <f>-1200+1200</f>
        <v>0</v>
      </c>
      <c r="S13" s="275"/>
      <c r="T13" s="278"/>
      <c r="U13" s="289">
        <f t="shared" si="1"/>
        <v>4949</v>
      </c>
    </row>
    <row r="14" spans="1:21" ht="45">
      <c r="A14" s="298" t="s">
        <v>813</v>
      </c>
      <c r="B14" s="299" t="s">
        <v>847</v>
      </c>
      <c r="C14" s="224"/>
      <c r="D14" s="224">
        <f>-261+2000</f>
        <v>1739</v>
      </c>
      <c r="E14" s="224"/>
      <c r="F14" s="224">
        <f>150+381+100+40+27+127+75</f>
        <v>900</v>
      </c>
      <c r="G14" s="224"/>
      <c r="H14" s="224"/>
      <c r="I14" s="224"/>
      <c r="J14" s="300"/>
      <c r="K14" s="301"/>
      <c r="L14" s="293">
        <f t="shared" si="0"/>
        <v>2639</v>
      </c>
      <c r="M14" s="302">
        <f>12760+52+73+148+150+150+75+198+75+1575+150</f>
        <v>15406</v>
      </c>
      <c r="N14" s="300">
        <f>3445+14+19+40+38-700+38+61+19+425+19+38</f>
        <v>3456</v>
      </c>
      <c r="O14" s="300">
        <f>190+127+7854-547+50-127</f>
        <v>7547</v>
      </c>
      <c r="P14" s="300"/>
      <c r="Q14" s="300"/>
      <c r="R14" s="300">
        <f>547+526-117</f>
        <v>956</v>
      </c>
      <c r="S14" s="300"/>
      <c r="T14" s="301"/>
      <c r="U14" s="289">
        <f t="shared" si="1"/>
        <v>27365</v>
      </c>
    </row>
    <row r="15" spans="1:21" ht="22.5">
      <c r="A15" s="303" t="s">
        <v>852</v>
      </c>
      <c r="B15" s="304" t="s">
        <v>848</v>
      </c>
      <c r="C15" s="224"/>
      <c r="D15" s="224"/>
      <c r="E15" s="224"/>
      <c r="F15" s="224">
        <f>40+1016+11-248-65</f>
        <v>754</v>
      </c>
      <c r="G15" s="224"/>
      <c r="H15" s="224"/>
      <c r="I15" s="224"/>
      <c r="J15" s="224"/>
      <c r="K15" s="295"/>
      <c r="L15" s="293">
        <f t="shared" si="0"/>
        <v>754</v>
      </c>
      <c r="M15" s="297">
        <f>1123+607-66</f>
        <v>1664</v>
      </c>
      <c r="N15" s="224">
        <f>303+164-348</f>
        <v>119</v>
      </c>
      <c r="O15" s="224">
        <f>100+3709+51-197-521-757</f>
        <v>2385</v>
      </c>
      <c r="P15" s="224"/>
      <c r="Q15" s="224"/>
      <c r="R15" s="224">
        <f>300+200+197-61</f>
        <v>636</v>
      </c>
      <c r="S15" s="224"/>
      <c r="T15" s="295"/>
      <c r="U15" s="289">
        <f t="shared" si="1"/>
        <v>4804</v>
      </c>
    </row>
    <row r="16" spans="1:21" ht="22.5">
      <c r="A16" s="303" t="s">
        <v>814</v>
      </c>
      <c r="B16" s="304" t="s">
        <v>789</v>
      </c>
      <c r="C16" s="224"/>
      <c r="D16" s="224">
        <f>-30+4656</f>
        <v>4626</v>
      </c>
      <c r="E16" s="224"/>
      <c r="F16" s="224"/>
      <c r="G16" s="224"/>
      <c r="H16" s="224"/>
      <c r="I16" s="224"/>
      <c r="J16" s="224"/>
      <c r="K16" s="295"/>
      <c r="L16" s="293">
        <f t="shared" si="0"/>
        <v>4626</v>
      </c>
      <c r="M16" s="297">
        <f>4432+24+22+44+44+44+22+72+22+44-68</f>
        <v>4702</v>
      </c>
      <c r="N16" s="224">
        <f>1197+5+6+12+12+12+6+22+6+12</f>
        <v>1290</v>
      </c>
      <c r="O16" s="224">
        <f>100+17575-30+521+525</f>
        <v>18691</v>
      </c>
      <c r="P16" s="224"/>
      <c r="Q16" s="224"/>
      <c r="R16" s="224">
        <f>100+100+40-100+61</f>
        <v>201</v>
      </c>
      <c r="S16" s="224"/>
      <c r="T16" s="295"/>
      <c r="U16" s="289">
        <f t="shared" si="1"/>
        <v>24884</v>
      </c>
    </row>
    <row r="17" spans="1:21" ht="22.5">
      <c r="A17" s="303" t="s">
        <v>815</v>
      </c>
      <c r="B17" s="304" t="s">
        <v>679</v>
      </c>
      <c r="C17" s="224"/>
      <c r="D17" s="224"/>
      <c r="E17" s="224"/>
      <c r="F17" s="224">
        <f>20+75</f>
        <v>95</v>
      </c>
      <c r="G17" s="224"/>
      <c r="H17" s="224"/>
      <c r="I17" s="224"/>
      <c r="J17" s="224"/>
      <c r="K17" s="295"/>
      <c r="L17" s="293">
        <f t="shared" si="0"/>
        <v>95</v>
      </c>
      <c r="M17" s="297"/>
      <c r="N17" s="224"/>
      <c r="O17" s="224">
        <f>-348+584</f>
        <v>236</v>
      </c>
      <c r="P17" s="224"/>
      <c r="Q17" s="224"/>
      <c r="R17" s="224">
        <v>33</v>
      </c>
      <c r="S17" s="224"/>
      <c r="T17" s="295"/>
      <c r="U17" s="289">
        <f t="shared" si="1"/>
        <v>269</v>
      </c>
    </row>
    <row r="18" spans="1:21" ht="45">
      <c r="A18" s="303" t="s">
        <v>853</v>
      </c>
      <c r="B18" s="304" t="s">
        <v>209</v>
      </c>
      <c r="C18" s="224"/>
      <c r="D18" s="224">
        <f>444+5335</f>
        <v>5779</v>
      </c>
      <c r="E18" s="224"/>
      <c r="F18" s="224"/>
      <c r="G18" s="224"/>
      <c r="H18" s="224"/>
      <c r="I18" s="224"/>
      <c r="J18" s="224"/>
      <c r="K18" s="295"/>
      <c r="L18" s="293">
        <f t="shared" si="0"/>
        <v>5779</v>
      </c>
      <c r="M18" s="297">
        <f>4141+17+18+36+36+36+18+38+18+200+36+97</f>
        <v>4691</v>
      </c>
      <c r="N18" s="224">
        <f>1118+5+5+10+10-139+10+5+12+5+54+10-1</f>
        <v>1104</v>
      </c>
      <c r="O18" s="224">
        <f>9+892+190+60</f>
        <v>1151</v>
      </c>
      <c r="P18" s="224"/>
      <c r="Q18" s="224"/>
      <c r="R18" s="224">
        <f>70+40-69</f>
        <v>41</v>
      </c>
      <c r="S18" s="224"/>
      <c r="T18" s="295"/>
      <c r="U18" s="289">
        <f t="shared" si="1"/>
        <v>6987</v>
      </c>
    </row>
    <row r="19" spans="1:21" ht="33.75">
      <c r="A19" s="303" t="s">
        <v>854</v>
      </c>
      <c r="B19" s="304" t="s">
        <v>849</v>
      </c>
      <c r="C19" s="224"/>
      <c r="D19" s="224">
        <f>112+1333</f>
        <v>1445</v>
      </c>
      <c r="E19" s="224"/>
      <c r="F19" s="224"/>
      <c r="G19" s="224"/>
      <c r="H19" s="224"/>
      <c r="I19" s="224"/>
      <c r="J19" s="224"/>
      <c r="K19" s="295"/>
      <c r="L19" s="293">
        <f t="shared" si="0"/>
        <v>1445</v>
      </c>
      <c r="M19" s="297">
        <f>1035+4+4+7+8+8+4+10+4+50+8</f>
        <v>1142</v>
      </c>
      <c r="N19" s="224">
        <f>242+1+1+3+4-35+4+2+3+2+14+4</f>
        <v>245</v>
      </c>
      <c r="O19" s="224">
        <f>4+223+48</f>
        <v>275</v>
      </c>
      <c r="P19" s="224"/>
      <c r="Q19" s="224"/>
      <c r="R19" s="224"/>
      <c r="S19" s="224"/>
      <c r="T19" s="295"/>
      <c r="U19" s="289">
        <f t="shared" si="1"/>
        <v>1662</v>
      </c>
    </row>
    <row r="20" spans="1:21" ht="56.25">
      <c r="A20" s="305">
        <v>102021</v>
      </c>
      <c r="B20" s="304" t="s">
        <v>850</v>
      </c>
      <c r="C20" s="224"/>
      <c r="D20" s="224"/>
      <c r="E20" s="224"/>
      <c r="F20" s="224"/>
      <c r="G20" s="224"/>
      <c r="H20" s="224"/>
      <c r="I20" s="224"/>
      <c r="J20" s="224"/>
      <c r="K20" s="295"/>
      <c r="L20" s="293">
        <f t="shared" si="0"/>
        <v>0</v>
      </c>
      <c r="M20" s="297">
        <f>886+1098</f>
        <v>1984</v>
      </c>
      <c r="N20" s="224">
        <f>120+314</f>
        <v>434</v>
      </c>
      <c r="O20" s="224"/>
      <c r="P20" s="224"/>
      <c r="Q20" s="224"/>
      <c r="R20" s="224"/>
      <c r="S20" s="224"/>
      <c r="T20" s="295"/>
      <c r="U20" s="289">
        <f t="shared" si="1"/>
        <v>2418</v>
      </c>
    </row>
    <row r="21" spans="1:21" ht="97.5" customHeight="1">
      <c r="A21" s="305">
        <v>900080</v>
      </c>
      <c r="B21" s="276" t="s">
        <v>162</v>
      </c>
      <c r="C21" s="224"/>
      <c r="D21" s="224"/>
      <c r="E21" s="224"/>
      <c r="F21" s="224"/>
      <c r="G21" s="224"/>
      <c r="H21" s="224"/>
      <c r="I21" s="224"/>
      <c r="J21" s="224"/>
      <c r="K21" s="295"/>
      <c r="L21" s="293"/>
      <c r="M21" s="297"/>
      <c r="N21" s="224"/>
      <c r="O21" s="224">
        <v>584</v>
      </c>
      <c r="P21" s="224"/>
      <c r="Q21" s="224"/>
      <c r="R21" s="224">
        <f>100+40-140</f>
        <v>0</v>
      </c>
      <c r="S21" s="224"/>
      <c r="T21" s="295"/>
      <c r="U21" s="289">
        <f t="shared" si="1"/>
        <v>584</v>
      </c>
    </row>
    <row r="22" spans="1:21" ht="12.75">
      <c r="A22" s="306"/>
      <c r="B22" s="224" t="s">
        <v>552</v>
      </c>
      <c r="C22" s="224">
        <f>SUM((C5:C21))</f>
        <v>0</v>
      </c>
      <c r="D22" s="224">
        <f aca="true" t="shared" si="2" ref="D22:U22">SUM((D5:D21))</f>
        <v>213787</v>
      </c>
      <c r="E22" s="224">
        <f t="shared" si="2"/>
        <v>0</v>
      </c>
      <c r="F22" s="224">
        <f t="shared" si="2"/>
        <v>10032</v>
      </c>
      <c r="G22" s="224">
        <f t="shared" si="2"/>
        <v>0</v>
      </c>
      <c r="H22" s="224">
        <f t="shared" si="2"/>
        <v>9216</v>
      </c>
      <c r="I22" s="224">
        <f t="shared" si="2"/>
        <v>0</v>
      </c>
      <c r="J22" s="224">
        <f t="shared" si="2"/>
        <v>0</v>
      </c>
      <c r="K22" s="295">
        <f t="shared" si="2"/>
        <v>82130</v>
      </c>
      <c r="L22" s="296">
        <f t="shared" si="2"/>
        <v>315165</v>
      </c>
      <c r="M22" s="297">
        <f t="shared" si="2"/>
        <v>198852</v>
      </c>
      <c r="N22" s="224">
        <f t="shared" si="2"/>
        <v>30702</v>
      </c>
      <c r="O22" s="224">
        <f t="shared" si="2"/>
        <v>66531</v>
      </c>
      <c r="P22" s="224">
        <f t="shared" si="2"/>
        <v>0</v>
      </c>
      <c r="Q22" s="224">
        <f t="shared" si="2"/>
        <v>5288</v>
      </c>
      <c r="R22" s="224">
        <f t="shared" si="2"/>
        <v>13792</v>
      </c>
      <c r="S22" s="224">
        <f t="shared" si="2"/>
        <v>0</v>
      </c>
      <c r="T22" s="295">
        <f t="shared" si="2"/>
        <v>0</v>
      </c>
      <c r="U22" s="296">
        <f t="shared" si="2"/>
        <v>315165</v>
      </c>
    </row>
    <row r="25" spans="1:6" ht="12.75">
      <c r="A25" s="966" t="s">
        <v>151</v>
      </c>
      <c r="B25" s="966"/>
      <c r="C25" s="966"/>
      <c r="D25" s="966"/>
      <c r="E25" s="966"/>
      <c r="F25" s="966"/>
    </row>
  </sheetData>
  <sheetProtection/>
  <mergeCells count="3">
    <mergeCell ref="A1:U1"/>
    <mergeCell ref="A2:U2"/>
    <mergeCell ref="A25:F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4">
      <selection activeCell="A16" sqref="A16:F16"/>
    </sheetView>
  </sheetViews>
  <sheetFormatPr defaultColWidth="9.00390625" defaultRowHeight="12.75"/>
  <cols>
    <col min="1" max="1" width="6.375" style="348" customWidth="1"/>
    <col min="2" max="2" width="12.125" style="354" customWidth="1"/>
    <col min="3" max="3" width="5.125" style="348" customWidth="1"/>
    <col min="4" max="4" width="8.125" style="348" customWidth="1"/>
    <col min="5" max="5" width="3.375" style="348" customWidth="1"/>
    <col min="6" max="6" width="6.375" style="348" customWidth="1"/>
    <col min="7" max="7" width="6.00390625" style="348" customWidth="1"/>
    <col min="8" max="8" width="6.25390625" style="348" customWidth="1"/>
    <col min="9" max="9" width="3.125" style="348" customWidth="1"/>
    <col min="10" max="10" width="6.25390625" style="348" customWidth="1"/>
    <col min="11" max="11" width="7.125" style="348" customWidth="1"/>
    <col min="12" max="12" width="7.00390625" style="348" customWidth="1"/>
    <col min="13" max="13" width="5.75390625" style="348" customWidth="1"/>
    <col min="14" max="14" width="7.00390625" style="348" customWidth="1"/>
    <col min="15" max="15" width="6.875" style="348" customWidth="1"/>
    <col min="16" max="16" width="5.75390625" style="348" customWidth="1"/>
    <col min="17" max="17" width="5.625" style="348" customWidth="1"/>
    <col min="18" max="18" width="5.25390625" style="348" customWidth="1"/>
    <col min="19" max="19" width="3.75390625" style="348" customWidth="1"/>
    <col min="20" max="20" width="4.75390625" style="348" customWidth="1"/>
    <col min="21" max="21" width="6.875" style="348" customWidth="1"/>
    <col min="22" max="16384" width="9.125" style="348" customWidth="1"/>
  </cols>
  <sheetData>
    <row r="1" spans="1:21" ht="117">
      <c r="A1" s="907" t="s">
        <v>894</v>
      </c>
      <c r="B1" s="908" t="s">
        <v>575</v>
      </c>
      <c r="C1" s="281" t="s">
        <v>774</v>
      </c>
      <c r="D1" s="281" t="s">
        <v>798</v>
      </c>
      <c r="E1" s="281" t="s">
        <v>799</v>
      </c>
      <c r="F1" s="281" t="s">
        <v>795</v>
      </c>
      <c r="G1" s="282" t="s">
        <v>796</v>
      </c>
      <c r="H1" s="281" t="s">
        <v>609</v>
      </c>
      <c r="I1" s="193" t="s">
        <v>797</v>
      </c>
      <c r="J1" s="282" t="s">
        <v>612</v>
      </c>
      <c r="K1" s="283" t="s">
        <v>776</v>
      </c>
      <c r="L1" s="284" t="s">
        <v>775</v>
      </c>
      <c r="M1" s="285" t="s">
        <v>334</v>
      </c>
      <c r="N1" s="103" t="s">
        <v>336</v>
      </c>
      <c r="O1" s="103" t="s">
        <v>338</v>
      </c>
      <c r="P1" s="103" t="s">
        <v>340</v>
      </c>
      <c r="Q1" s="103" t="s">
        <v>938</v>
      </c>
      <c r="R1" s="193" t="s">
        <v>661</v>
      </c>
      <c r="S1" s="193" t="s">
        <v>360</v>
      </c>
      <c r="T1" s="286" t="s">
        <v>823</v>
      </c>
      <c r="U1" s="284" t="s">
        <v>777</v>
      </c>
    </row>
    <row r="2" spans="1:21" ht="33.75">
      <c r="A2" s="925" t="s">
        <v>832</v>
      </c>
      <c r="B2" s="275" t="s">
        <v>833</v>
      </c>
      <c r="C2" s="926"/>
      <c r="D2" s="275"/>
      <c r="E2" s="275"/>
      <c r="F2" s="275"/>
      <c r="G2" s="228"/>
      <c r="H2" s="275"/>
      <c r="I2" s="287"/>
      <c r="J2" s="228"/>
      <c r="K2" s="288">
        <f>108409+189+188+50+421+372+1063+1344+366+793+183+805+3000+328+173+2500+346+1804</f>
        <v>122334</v>
      </c>
      <c r="L2" s="289">
        <f>SUM(C2:K2)</f>
        <v>122334</v>
      </c>
      <c r="M2" s="830"/>
      <c r="N2" s="291"/>
      <c r="O2" s="291"/>
      <c r="P2" s="291"/>
      <c r="Q2" s="291">
        <v>1063</v>
      </c>
      <c r="R2" s="287"/>
      <c r="S2" s="287"/>
      <c r="T2" s="292"/>
      <c r="U2" s="289">
        <f>SUM(M2:T2)</f>
        <v>1063</v>
      </c>
    </row>
    <row r="3" spans="1:21" ht="33.75">
      <c r="A3" s="925" t="s">
        <v>3</v>
      </c>
      <c r="B3" s="275" t="s">
        <v>210</v>
      </c>
      <c r="C3" s="926"/>
      <c r="D3" s="275"/>
      <c r="E3" s="275"/>
      <c r="F3" s="275">
        <f>1220+5635+329+353+95-3000+1244-1042</f>
        <v>4834</v>
      </c>
      <c r="G3" s="228"/>
      <c r="H3" s="275"/>
      <c r="I3" s="287"/>
      <c r="J3" s="228"/>
      <c r="K3" s="288"/>
      <c r="L3" s="289">
        <f>SUM(C3:K3)</f>
        <v>4834</v>
      </c>
      <c r="M3" s="830">
        <v>520</v>
      </c>
      <c r="N3" s="291">
        <v>92</v>
      </c>
      <c r="O3" s="927">
        <f>448+1549+2500+1467</f>
        <v>5964</v>
      </c>
      <c r="P3" s="291"/>
      <c r="Q3" s="291"/>
      <c r="R3" s="287">
        <f>-12+50-3</f>
        <v>35</v>
      </c>
      <c r="S3" s="287"/>
      <c r="T3" s="292"/>
      <c r="U3" s="289">
        <f>SUM(M3:T3)</f>
        <v>6611</v>
      </c>
    </row>
    <row r="4" spans="1:21" ht="33.75">
      <c r="A4" s="925" t="s">
        <v>855</v>
      </c>
      <c r="B4" s="275" t="s">
        <v>856</v>
      </c>
      <c r="C4" s="644"/>
      <c r="D4" s="275"/>
      <c r="E4" s="275"/>
      <c r="F4" s="275">
        <f>1734+2300+13-1488-225</f>
        <v>2334</v>
      </c>
      <c r="G4" s="275"/>
      <c r="H4" s="275"/>
      <c r="I4" s="275"/>
      <c r="J4" s="275"/>
      <c r="K4" s="278"/>
      <c r="L4" s="293">
        <f>SUM(B4:K4)</f>
        <v>2334</v>
      </c>
      <c r="M4" s="279">
        <f>3482+8+8+16+13+13+6+50+6+12+157</f>
        <v>3771</v>
      </c>
      <c r="N4" s="242">
        <f>940+2+2+4+4-48+4+2+16+2+4-11</f>
        <v>921</v>
      </c>
      <c r="O4" s="275">
        <f>-135+10085</f>
        <v>9950</v>
      </c>
      <c r="P4" s="275"/>
      <c r="Q4" s="275"/>
      <c r="R4" s="275"/>
      <c r="S4" s="275"/>
      <c r="T4" s="278"/>
      <c r="U4" s="289">
        <f aca="true" t="shared" si="0" ref="U4:U12">SUM(M4:T4)</f>
        <v>14642</v>
      </c>
    </row>
    <row r="5" spans="1:21" ht="33.75">
      <c r="A5" s="925" t="s">
        <v>857</v>
      </c>
      <c r="B5" s="275" t="s">
        <v>858</v>
      </c>
      <c r="C5" s="275"/>
      <c r="D5" s="275"/>
      <c r="E5" s="275"/>
      <c r="F5" s="275">
        <f>5505+3280-5635+113-42-12-455</f>
        <v>2754</v>
      </c>
      <c r="G5" s="275"/>
      <c r="H5" s="275"/>
      <c r="I5" s="275"/>
      <c r="J5" s="275"/>
      <c r="K5" s="278"/>
      <c r="L5" s="293">
        <f>SUM(C5:K5)</f>
        <v>2754</v>
      </c>
      <c r="M5" s="279">
        <f>11057+25+25+50+53+54+27+200+27+54+182</f>
        <v>11754</v>
      </c>
      <c r="N5" s="242">
        <f>2986+7+7+13+14-216+14+7+62+6+12-4</f>
        <v>2908</v>
      </c>
      <c r="O5" s="275">
        <f>5415+26611-719</f>
        <v>31307</v>
      </c>
      <c r="P5" s="275"/>
      <c r="Q5" s="275"/>
      <c r="R5" s="275"/>
      <c r="S5" s="275"/>
      <c r="T5" s="278"/>
      <c r="U5" s="289">
        <f t="shared" si="0"/>
        <v>45969</v>
      </c>
    </row>
    <row r="6" spans="1:21" ht="22.5" customHeight="1">
      <c r="A6" s="925" t="s">
        <v>859</v>
      </c>
      <c r="B6" s="275" t="s">
        <v>850</v>
      </c>
      <c r="C6" s="224"/>
      <c r="D6" s="275"/>
      <c r="E6" s="275"/>
      <c r="F6" s="275">
        <f>8+26000-417</f>
        <v>25591</v>
      </c>
      <c r="G6" s="275"/>
      <c r="H6" s="275"/>
      <c r="I6" s="275"/>
      <c r="J6" s="275"/>
      <c r="K6" s="278"/>
      <c r="L6" s="293">
        <f aca="true" t="shared" si="1" ref="L6:L12">SUM(C6:K6)</f>
        <v>25591</v>
      </c>
      <c r="M6" s="279">
        <f>25912+67+68+171+135+550+133+333+67+315+60+120-1923</f>
        <v>26008</v>
      </c>
      <c r="N6" s="242">
        <f>7406+18+18+46+36+149-783+35+91+17+83+16+32+59-3</f>
        <v>7220</v>
      </c>
      <c r="O6" s="275">
        <f>1569+23083-1569+109</f>
        <v>23192</v>
      </c>
      <c r="P6" s="275"/>
      <c r="Q6" s="275">
        <f>21+1569</f>
        <v>1590</v>
      </c>
      <c r="R6" s="275">
        <f>-25+423+79+15</f>
        <v>492</v>
      </c>
      <c r="S6" s="275"/>
      <c r="T6" s="278"/>
      <c r="U6" s="289">
        <f t="shared" si="0"/>
        <v>58502</v>
      </c>
    </row>
    <row r="7" spans="1:21" ht="33.75">
      <c r="A7" s="925" t="s">
        <v>860</v>
      </c>
      <c r="B7" s="304" t="s">
        <v>861</v>
      </c>
      <c r="C7" s="644"/>
      <c r="D7" s="275"/>
      <c r="E7" s="275"/>
      <c r="F7" s="275">
        <f>-378+1100</f>
        <v>722</v>
      </c>
      <c r="G7" s="275"/>
      <c r="H7" s="275"/>
      <c r="I7" s="275"/>
      <c r="J7" s="275"/>
      <c r="K7" s="278"/>
      <c r="L7" s="293">
        <f>SUM(B7:K7)</f>
        <v>722</v>
      </c>
      <c r="M7" s="279">
        <f>4456+23+22+45+44+110+44+66+22+67+22+44+170</f>
        <v>5135</v>
      </c>
      <c r="N7" s="242">
        <f>1202+6+6+12+12+30-174+12+18+6+18+6+12+23</f>
        <v>1189</v>
      </c>
      <c r="O7" s="275">
        <f>-330+2055</f>
        <v>1725</v>
      </c>
      <c r="P7" s="275"/>
      <c r="Q7" s="275"/>
      <c r="R7" s="275"/>
      <c r="S7" s="275"/>
      <c r="T7" s="278"/>
      <c r="U7" s="289">
        <f t="shared" si="0"/>
        <v>8049</v>
      </c>
    </row>
    <row r="8" spans="1:21" ht="39" customHeight="1">
      <c r="A8" s="925" t="s">
        <v>862</v>
      </c>
      <c r="B8" s="275" t="s">
        <v>863</v>
      </c>
      <c r="C8" s="224"/>
      <c r="D8" s="275"/>
      <c r="E8" s="275"/>
      <c r="F8" s="275">
        <v>114</v>
      </c>
      <c r="G8" s="275"/>
      <c r="H8" s="275"/>
      <c r="I8" s="275"/>
      <c r="J8" s="275"/>
      <c r="K8" s="278"/>
      <c r="L8" s="293">
        <f t="shared" si="1"/>
        <v>114</v>
      </c>
      <c r="M8" s="279">
        <f>77+3193+46+46-10</f>
        <v>3352</v>
      </c>
      <c r="N8" s="242">
        <f>21+861+12+13+23</f>
        <v>930</v>
      </c>
      <c r="O8" s="275">
        <f>-363+1089</f>
        <v>726</v>
      </c>
      <c r="P8" s="275"/>
      <c r="Q8" s="275"/>
      <c r="R8" s="275"/>
      <c r="S8" s="275"/>
      <c r="T8" s="278"/>
      <c r="U8" s="289">
        <f t="shared" si="0"/>
        <v>5008</v>
      </c>
    </row>
    <row r="9" spans="1:21" ht="32.25" customHeight="1">
      <c r="A9" s="925" t="s">
        <v>864</v>
      </c>
      <c r="B9" s="275" t="s">
        <v>865</v>
      </c>
      <c r="C9" s="644"/>
      <c r="D9" s="275"/>
      <c r="E9" s="275"/>
      <c r="F9" s="275">
        <f>-252+12393-68-167</f>
        <v>11906</v>
      </c>
      <c r="G9" s="275"/>
      <c r="H9" s="275"/>
      <c r="I9" s="275"/>
      <c r="J9" s="275"/>
      <c r="K9" s="278"/>
      <c r="L9" s="293">
        <f>SUM(B9:K9)</f>
        <v>11906</v>
      </c>
      <c r="M9" s="279">
        <f>3340+15+14+28+26+103+23+44+12+74+12+24+352</f>
        <v>4067</v>
      </c>
      <c r="N9" s="242">
        <f>901+4+4+8+7+28-174+7+12+4+20+3+6+20</f>
        <v>850</v>
      </c>
      <c r="O9" s="275">
        <f>13107-662</f>
        <v>12445</v>
      </c>
      <c r="P9" s="275"/>
      <c r="Q9" s="275"/>
      <c r="R9" s="275"/>
      <c r="S9" s="275"/>
      <c r="T9" s="278"/>
      <c r="U9" s="289">
        <f t="shared" si="0"/>
        <v>17362</v>
      </c>
    </row>
    <row r="10" spans="1:21" ht="22.5">
      <c r="A10" s="925" t="s">
        <v>866</v>
      </c>
      <c r="B10" s="275" t="s">
        <v>867</v>
      </c>
      <c r="C10" s="275"/>
      <c r="D10" s="275"/>
      <c r="E10" s="275"/>
      <c r="F10" s="275">
        <f>-3+6</f>
        <v>3</v>
      </c>
      <c r="G10" s="275"/>
      <c r="H10" s="275"/>
      <c r="I10" s="275"/>
      <c r="J10" s="275"/>
      <c r="K10" s="278"/>
      <c r="L10" s="293">
        <f t="shared" si="1"/>
        <v>3</v>
      </c>
      <c r="M10" s="279">
        <f>124+4323+76+75+40</f>
        <v>4638</v>
      </c>
      <c r="N10" s="242">
        <f>33+1166+20+20+43</f>
        <v>1282</v>
      </c>
      <c r="O10" s="275">
        <f>-47+89</f>
        <v>42</v>
      </c>
      <c r="P10" s="275"/>
      <c r="Q10" s="275"/>
      <c r="R10" s="275">
        <f>-5+114-2</f>
        <v>107</v>
      </c>
      <c r="S10" s="275"/>
      <c r="T10" s="278"/>
      <c r="U10" s="289">
        <f t="shared" si="0"/>
        <v>6069</v>
      </c>
    </row>
    <row r="11" spans="1:21" ht="11.25">
      <c r="A11" s="925" t="s">
        <v>868</v>
      </c>
      <c r="B11" s="304" t="s">
        <v>869</v>
      </c>
      <c r="C11" s="644"/>
      <c r="D11" s="275"/>
      <c r="E11" s="275"/>
      <c r="F11" s="275"/>
      <c r="G11" s="275"/>
      <c r="H11" s="275"/>
      <c r="I11" s="275"/>
      <c r="J11" s="275"/>
      <c r="K11" s="278"/>
      <c r="L11" s="293">
        <f>SUM(B11:K11)</f>
        <v>0</v>
      </c>
      <c r="M11" s="279">
        <f>37+1698+25+25+29</f>
        <v>1814</v>
      </c>
      <c r="N11" s="242">
        <f>10+458+7+6+11</f>
        <v>492</v>
      </c>
      <c r="O11" s="275">
        <f>-133+579</f>
        <v>446</v>
      </c>
      <c r="P11" s="275"/>
      <c r="Q11" s="275"/>
      <c r="R11" s="275"/>
      <c r="S11" s="275"/>
      <c r="T11" s="278"/>
      <c r="U11" s="289">
        <f t="shared" si="0"/>
        <v>2752</v>
      </c>
    </row>
    <row r="12" spans="1:21" ht="33.75">
      <c r="A12" s="928" t="s">
        <v>870</v>
      </c>
      <c r="B12" s="299" t="s">
        <v>871</v>
      </c>
      <c r="C12" s="300"/>
      <c r="D12" s="300"/>
      <c r="E12" s="300"/>
      <c r="F12" s="300"/>
      <c r="G12" s="300"/>
      <c r="H12" s="300"/>
      <c r="I12" s="300"/>
      <c r="J12" s="300"/>
      <c r="K12" s="301"/>
      <c r="L12" s="929">
        <f t="shared" si="1"/>
        <v>0</v>
      </c>
      <c r="M12" s="302">
        <f>1809+11+11+22+22+57+21+34+10+33+20-55</f>
        <v>1995</v>
      </c>
      <c r="N12" s="300">
        <f>-174+480+3+3+6+15+6+6+9+3+10+3+6+5</f>
        <v>381</v>
      </c>
      <c r="O12" s="300">
        <f>-218+2407</f>
        <v>2189</v>
      </c>
      <c r="P12" s="300"/>
      <c r="Q12" s="300"/>
      <c r="R12" s="300"/>
      <c r="S12" s="300"/>
      <c r="T12" s="301"/>
      <c r="U12" s="289">
        <f t="shared" si="0"/>
        <v>4565</v>
      </c>
    </row>
    <row r="13" spans="1:21" ht="14.25" customHeight="1">
      <c r="A13" s="930"/>
      <c r="B13" s="304" t="s">
        <v>552</v>
      </c>
      <c r="C13" s="224">
        <f>SUM((C2:C12))</f>
        <v>0</v>
      </c>
      <c r="D13" s="224">
        <f aca="true" t="shared" si="2" ref="D13:U13">SUM((D2:D12))</f>
        <v>0</v>
      </c>
      <c r="E13" s="224">
        <f t="shared" si="2"/>
        <v>0</v>
      </c>
      <c r="F13" s="224">
        <f t="shared" si="2"/>
        <v>48258</v>
      </c>
      <c r="G13" s="224">
        <f t="shared" si="2"/>
        <v>0</v>
      </c>
      <c r="H13" s="224">
        <f t="shared" si="2"/>
        <v>0</v>
      </c>
      <c r="I13" s="224">
        <f t="shared" si="2"/>
        <v>0</v>
      </c>
      <c r="J13" s="224">
        <f t="shared" si="2"/>
        <v>0</v>
      </c>
      <c r="K13" s="295">
        <f t="shared" si="2"/>
        <v>122334</v>
      </c>
      <c r="L13" s="296">
        <f t="shared" si="2"/>
        <v>170592</v>
      </c>
      <c r="M13" s="297">
        <f t="shared" si="2"/>
        <v>63054</v>
      </c>
      <c r="N13" s="224">
        <f t="shared" si="2"/>
        <v>16265</v>
      </c>
      <c r="O13" s="224">
        <f t="shared" si="2"/>
        <v>87986</v>
      </c>
      <c r="P13" s="224">
        <f t="shared" si="2"/>
        <v>0</v>
      </c>
      <c r="Q13" s="224">
        <f t="shared" si="2"/>
        <v>2653</v>
      </c>
      <c r="R13" s="224">
        <f t="shared" si="2"/>
        <v>634</v>
      </c>
      <c r="S13" s="224">
        <f t="shared" si="2"/>
        <v>0</v>
      </c>
      <c r="T13" s="295">
        <f t="shared" si="2"/>
        <v>0</v>
      </c>
      <c r="U13" s="296">
        <f t="shared" si="2"/>
        <v>170592</v>
      </c>
    </row>
    <row r="16" spans="1:6" ht="10.5">
      <c r="A16" s="966" t="s">
        <v>151</v>
      </c>
      <c r="B16" s="966"/>
      <c r="C16" s="966"/>
      <c r="D16" s="966"/>
      <c r="E16" s="966"/>
      <c r="F16" s="966"/>
    </row>
  </sheetData>
  <sheetProtection/>
  <mergeCells count="1"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H17" sqref="H17"/>
    </sheetView>
  </sheetViews>
  <sheetFormatPr defaultColWidth="9.00390625" defaultRowHeight="19.5" customHeight="1"/>
  <cols>
    <col min="1" max="1" width="6.625" style="348" customWidth="1"/>
    <col min="2" max="2" width="19.625" style="354" customWidth="1"/>
    <col min="3" max="3" width="4.25390625" style="348" customWidth="1"/>
    <col min="4" max="4" width="6.00390625" style="348" customWidth="1"/>
    <col min="5" max="5" width="4.00390625" style="348" customWidth="1"/>
    <col min="6" max="6" width="5.875" style="348" customWidth="1"/>
    <col min="7" max="7" width="5.625" style="348" customWidth="1"/>
    <col min="8" max="8" width="5.875" style="348" customWidth="1"/>
    <col min="9" max="9" width="4.625" style="348" customWidth="1"/>
    <col min="10" max="10" width="4.875" style="348" customWidth="1"/>
    <col min="11" max="11" width="6.25390625" style="348" customWidth="1"/>
    <col min="12" max="12" width="6.625" style="348" customWidth="1"/>
    <col min="13" max="13" width="7.00390625" style="348" customWidth="1"/>
    <col min="14" max="14" width="7.375" style="348" customWidth="1"/>
    <col min="15" max="15" width="6.375" style="348" customWidth="1"/>
    <col min="16" max="16" width="5.00390625" style="348" customWidth="1"/>
    <col min="17" max="17" width="4.75390625" style="348" customWidth="1"/>
    <col min="18" max="18" width="4.875" style="348" customWidth="1"/>
    <col min="19" max="19" width="4.125" style="348" customWidth="1"/>
    <col min="20" max="20" width="4.875" style="348" customWidth="1"/>
    <col min="21" max="21" width="6.00390625" style="348" customWidth="1"/>
    <col min="22" max="16384" width="9.125" style="348" customWidth="1"/>
  </cols>
  <sheetData>
    <row r="1" spans="1:21" ht="19.5" customHeight="1">
      <c r="A1" s="972" t="s">
        <v>154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</row>
    <row r="2" spans="1:21" ht="19.5" customHeight="1">
      <c r="A2" s="972" t="s">
        <v>929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</row>
    <row r="3" ht="7.5" customHeight="1"/>
    <row r="4" spans="1:21" ht="114.75" customHeight="1">
      <c r="A4" s="280" t="s">
        <v>894</v>
      </c>
      <c r="B4" s="281" t="s">
        <v>575</v>
      </c>
      <c r="C4" s="281" t="s">
        <v>774</v>
      </c>
      <c r="D4" s="281" t="s">
        <v>798</v>
      </c>
      <c r="E4" s="281" t="s">
        <v>799</v>
      </c>
      <c r="F4" s="281" t="s">
        <v>795</v>
      </c>
      <c r="G4" s="282" t="s">
        <v>796</v>
      </c>
      <c r="H4" s="281" t="s">
        <v>609</v>
      </c>
      <c r="I4" s="193" t="s">
        <v>797</v>
      </c>
      <c r="J4" s="282" t="s">
        <v>612</v>
      </c>
      <c r="K4" s="283" t="s">
        <v>776</v>
      </c>
      <c r="L4" s="284" t="s">
        <v>775</v>
      </c>
      <c r="M4" s="285" t="s">
        <v>334</v>
      </c>
      <c r="N4" s="103" t="s">
        <v>336</v>
      </c>
      <c r="O4" s="103" t="s">
        <v>338</v>
      </c>
      <c r="P4" s="103" t="s">
        <v>340</v>
      </c>
      <c r="Q4" s="103" t="s">
        <v>228</v>
      </c>
      <c r="R4" s="193" t="s">
        <v>661</v>
      </c>
      <c r="S4" s="193" t="s">
        <v>360</v>
      </c>
      <c r="T4" s="286" t="s">
        <v>823</v>
      </c>
      <c r="U4" s="284" t="s">
        <v>777</v>
      </c>
    </row>
    <row r="5" spans="1:21" ht="22.5" customHeight="1">
      <c r="A5" s="274" t="s">
        <v>832</v>
      </c>
      <c r="B5" s="275" t="s">
        <v>833</v>
      </c>
      <c r="C5" s="275"/>
      <c r="D5" s="275"/>
      <c r="E5" s="275"/>
      <c r="F5" s="275"/>
      <c r="G5" s="228"/>
      <c r="H5" s="275"/>
      <c r="I5" s="287"/>
      <c r="J5" s="228"/>
      <c r="K5" s="288">
        <f>36312+73+339+134+226+1118+774+226+113+113-2500+226-732</f>
        <v>36422</v>
      </c>
      <c r="L5" s="289">
        <f>SUM(C5:K5)</f>
        <v>36422</v>
      </c>
      <c r="M5" s="830"/>
      <c r="N5" s="291"/>
      <c r="O5" s="291"/>
      <c r="P5" s="291"/>
      <c r="Q5" s="291">
        <v>134</v>
      </c>
      <c r="R5" s="287"/>
      <c r="S5" s="287"/>
      <c r="T5" s="292"/>
      <c r="U5" s="289">
        <f>SUM(M5:T5)</f>
        <v>134</v>
      </c>
    </row>
    <row r="6" spans="1:21" ht="30" customHeight="1">
      <c r="A6" s="274" t="s">
        <v>802</v>
      </c>
      <c r="B6" s="228" t="s">
        <v>779</v>
      </c>
      <c r="C6" s="224"/>
      <c r="D6" s="275"/>
      <c r="E6" s="275"/>
      <c r="F6" s="275">
        <f>-2000+2000</f>
        <v>0</v>
      </c>
      <c r="G6" s="275"/>
      <c r="H6" s="275"/>
      <c r="I6" s="275"/>
      <c r="J6" s="275"/>
      <c r="K6" s="278"/>
      <c r="L6" s="293">
        <f>SUM(B6:K6)</f>
        <v>0</v>
      </c>
      <c r="M6" s="279"/>
      <c r="N6" s="242"/>
      <c r="O6" s="275"/>
      <c r="P6" s="275"/>
      <c r="Q6" s="275"/>
      <c r="R6" s="275"/>
      <c r="S6" s="275"/>
      <c r="T6" s="278"/>
      <c r="U6" s="289">
        <f aca="true" t="shared" si="0" ref="U6:U12">SUM(M6:T6)</f>
        <v>0</v>
      </c>
    </row>
    <row r="7" spans="1:21" ht="23.25" customHeight="1">
      <c r="A7" s="274" t="s">
        <v>877</v>
      </c>
      <c r="B7" s="228" t="s">
        <v>872</v>
      </c>
      <c r="C7" s="224"/>
      <c r="D7" s="275"/>
      <c r="E7" s="275"/>
      <c r="F7" s="275">
        <f>1012+599+162+550+148+221-159-270</f>
        <v>2263</v>
      </c>
      <c r="G7" s="275"/>
      <c r="H7" s="275"/>
      <c r="I7" s="275"/>
      <c r="J7" s="275"/>
      <c r="K7" s="278"/>
      <c r="L7" s="293">
        <f>SUM(B7:K7)</f>
        <v>2263</v>
      </c>
      <c r="M7" s="279">
        <f>4485+29+103+68+68+34+34+68+72+96+5</f>
        <v>5062</v>
      </c>
      <c r="N7" s="242">
        <f>1211+8+27-348+18+18+9+9+18+63</f>
        <v>1033</v>
      </c>
      <c r="O7" s="275">
        <f>8048+761+698-257</f>
        <v>9250</v>
      </c>
      <c r="P7" s="275"/>
      <c r="Q7" s="275"/>
      <c r="R7" s="275">
        <f>31+117</f>
        <v>148</v>
      </c>
      <c r="S7" s="275"/>
      <c r="T7" s="278"/>
      <c r="U7" s="289">
        <f t="shared" si="0"/>
        <v>15493</v>
      </c>
    </row>
    <row r="8" spans="1:21" ht="21" customHeight="1">
      <c r="A8" s="274" t="s">
        <v>878</v>
      </c>
      <c r="B8" s="228" t="s">
        <v>873</v>
      </c>
      <c r="C8" s="224"/>
      <c r="D8" s="275"/>
      <c r="E8" s="275"/>
      <c r="F8" s="275"/>
      <c r="G8" s="275"/>
      <c r="H8" s="275"/>
      <c r="I8" s="275"/>
      <c r="J8" s="275"/>
      <c r="K8" s="278">
        <v>138</v>
      </c>
      <c r="L8" s="293">
        <f>SUM(C8:K8)</f>
        <v>138</v>
      </c>
      <c r="M8" s="279"/>
      <c r="N8" s="242"/>
      <c r="O8" s="275">
        <f>138+1139+344-340-148-1277</f>
        <v>-144</v>
      </c>
      <c r="P8" s="275"/>
      <c r="Q8" s="275"/>
      <c r="R8" s="275">
        <f>60+1217</f>
        <v>1277</v>
      </c>
      <c r="S8" s="275"/>
      <c r="T8" s="278"/>
      <c r="U8" s="289">
        <f t="shared" si="0"/>
        <v>1133</v>
      </c>
    </row>
    <row r="9" spans="1:21" ht="15.75" customHeight="1">
      <c r="A9" s="274" t="s">
        <v>879</v>
      </c>
      <c r="B9" s="228" t="s">
        <v>229</v>
      </c>
      <c r="C9" s="224"/>
      <c r="D9" s="275"/>
      <c r="E9" s="275"/>
      <c r="F9" s="275">
        <f>500+232+47+384-50+125</f>
        <v>1238</v>
      </c>
      <c r="G9" s="275"/>
      <c r="H9" s="275"/>
      <c r="I9" s="275"/>
      <c r="J9" s="275"/>
      <c r="K9" s="278"/>
      <c r="L9" s="293">
        <f>SUM(B9:K9)</f>
        <v>1238</v>
      </c>
      <c r="M9" s="279">
        <f>5163+6+51+34+34+17+17-250+34-168+80-40</f>
        <v>4978</v>
      </c>
      <c r="N9" s="242">
        <f>1394+1+15+10+10+5+5-68+10-37</f>
        <v>1345</v>
      </c>
      <c r="O9" s="275">
        <f>500+3046-500+148-92</f>
        <v>3102</v>
      </c>
      <c r="P9" s="275"/>
      <c r="Q9" s="275"/>
      <c r="R9" s="275">
        <f>-128+152+247+43</f>
        <v>314</v>
      </c>
      <c r="S9" s="275"/>
      <c r="T9" s="278"/>
      <c r="U9" s="289">
        <f t="shared" si="0"/>
        <v>9739</v>
      </c>
    </row>
    <row r="10" spans="1:21" ht="20.25" customHeight="1">
      <c r="A10" s="274" t="s">
        <v>880</v>
      </c>
      <c r="B10" s="228" t="s">
        <v>874</v>
      </c>
      <c r="C10" s="224"/>
      <c r="D10" s="275"/>
      <c r="E10" s="275"/>
      <c r="F10" s="275"/>
      <c r="G10" s="275"/>
      <c r="H10" s="275"/>
      <c r="I10" s="275"/>
      <c r="J10" s="275"/>
      <c r="K10" s="278"/>
      <c r="L10" s="293">
        <f>SUM(C10:K10)</f>
        <v>0</v>
      </c>
      <c r="M10" s="279"/>
      <c r="N10" s="242"/>
      <c r="O10" s="275"/>
      <c r="P10" s="275"/>
      <c r="Q10" s="275"/>
      <c r="R10" s="275"/>
      <c r="S10" s="275"/>
      <c r="T10" s="278"/>
      <c r="U10" s="289">
        <f t="shared" si="0"/>
        <v>0</v>
      </c>
    </row>
    <row r="11" spans="1:21" ht="30" customHeight="1">
      <c r="A11" s="274" t="s">
        <v>881</v>
      </c>
      <c r="B11" s="831" t="s">
        <v>875</v>
      </c>
      <c r="C11" s="224"/>
      <c r="D11" s="275"/>
      <c r="E11" s="275"/>
      <c r="F11" s="275">
        <f>444+826+10+21-31-379+1401+495-238-42-7</f>
        <v>2500</v>
      </c>
      <c r="G11" s="275"/>
      <c r="H11" s="275"/>
      <c r="I11" s="275"/>
      <c r="J11" s="275"/>
      <c r="K11" s="278">
        <v>23</v>
      </c>
      <c r="L11" s="293">
        <f>SUM(B11:K11)</f>
        <v>2523</v>
      </c>
      <c r="M11" s="279">
        <f>8003+624+23+113-624+76+76+38+38+76+96+46-176-5</f>
        <v>8404</v>
      </c>
      <c r="N11" s="242">
        <f>2161+168+40+6+30-168-174+20+20+10+10+20+8</f>
        <v>2151</v>
      </c>
      <c r="O11" s="275">
        <f>3826+1074-280+23-1044+522+774+774-774-522+444-53-1182-39-215</f>
        <v>3328</v>
      </c>
      <c r="P11" s="275"/>
      <c r="Q11" s="275">
        <f>53+522-58</f>
        <v>517</v>
      </c>
      <c r="R11" s="275">
        <f>-152+280+774-20-681+69+612-17</f>
        <v>865</v>
      </c>
      <c r="S11" s="275"/>
      <c r="T11" s="278"/>
      <c r="U11" s="289">
        <f t="shared" si="0"/>
        <v>15265</v>
      </c>
    </row>
    <row r="12" spans="1:21" ht="33.75" customHeight="1">
      <c r="A12" s="274" t="s">
        <v>882</v>
      </c>
      <c r="B12" s="831" t="s">
        <v>876</v>
      </c>
      <c r="C12" s="224"/>
      <c r="D12" s="275"/>
      <c r="E12" s="275"/>
      <c r="F12" s="275">
        <f>26+60+7</f>
        <v>93</v>
      </c>
      <c r="G12" s="275"/>
      <c r="H12" s="275"/>
      <c r="I12" s="275"/>
      <c r="J12" s="275"/>
      <c r="K12" s="278">
        <v>56</v>
      </c>
      <c r="L12" s="293">
        <f>SUM(C12:K12)</f>
        <v>149</v>
      </c>
      <c r="M12" s="279">
        <f>624+56-46-34-166</f>
        <v>434</v>
      </c>
      <c r="N12" s="242">
        <f>-32+168</f>
        <v>136</v>
      </c>
      <c r="O12" s="275">
        <f>-500+1044-145</f>
        <v>399</v>
      </c>
      <c r="P12" s="275"/>
      <c r="Q12" s="275"/>
      <c r="R12" s="275"/>
      <c r="S12" s="275"/>
      <c r="T12" s="278"/>
      <c r="U12" s="289">
        <f t="shared" si="0"/>
        <v>969</v>
      </c>
    </row>
    <row r="13" spans="1:21" ht="19.5" customHeight="1">
      <c r="A13" s="273"/>
      <c r="B13" s="304" t="s">
        <v>552</v>
      </c>
      <c r="C13" s="224">
        <f aca="true" t="shared" si="1" ref="C13:U13">SUM((C5:C12))</f>
        <v>0</v>
      </c>
      <c r="D13" s="224">
        <f t="shared" si="1"/>
        <v>0</v>
      </c>
      <c r="E13" s="224">
        <f t="shared" si="1"/>
        <v>0</v>
      </c>
      <c r="F13" s="224">
        <f t="shared" si="1"/>
        <v>6094</v>
      </c>
      <c r="G13" s="224">
        <f t="shared" si="1"/>
        <v>0</v>
      </c>
      <c r="H13" s="224">
        <f t="shared" si="1"/>
        <v>0</v>
      </c>
      <c r="I13" s="224">
        <f t="shared" si="1"/>
        <v>0</v>
      </c>
      <c r="J13" s="224">
        <f t="shared" si="1"/>
        <v>0</v>
      </c>
      <c r="K13" s="295">
        <f t="shared" si="1"/>
        <v>36639</v>
      </c>
      <c r="L13" s="296">
        <f t="shared" si="1"/>
        <v>42733</v>
      </c>
      <c r="M13" s="297">
        <f t="shared" si="1"/>
        <v>18878</v>
      </c>
      <c r="N13" s="224">
        <f t="shared" si="1"/>
        <v>4665</v>
      </c>
      <c r="O13" s="224">
        <f t="shared" si="1"/>
        <v>15935</v>
      </c>
      <c r="P13" s="224">
        <f t="shared" si="1"/>
        <v>0</v>
      </c>
      <c r="Q13" s="224">
        <f t="shared" si="1"/>
        <v>651</v>
      </c>
      <c r="R13" s="224">
        <f t="shared" si="1"/>
        <v>2604</v>
      </c>
      <c r="S13" s="224">
        <f t="shared" si="1"/>
        <v>0</v>
      </c>
      <c r="T13" s="295">
        <f t="shared" si="1"/>
        <v>0</v>
      </c>
      <c r="U13" s="296">
        <f t="shared" si="1"/>
        <v>42733</v>
      </c>
    </row>
    <row r="16" spans="1:6" ht="19.5" customHeight="1">
      <c r="A16" s="966" t="s">
        <v>151</v>
      </c>
      <c r="B16" s="966"/>
      <c r="C16" s="966"/>
      <c r="D16" s="966"/>
      <c r="E16" s="966"/>
      <c r="F16" s="966"/>
    </row>
  </sheetData>
  <sheetProtection/>
  <mergeCells count="3">
    <mergeCell ref="A1:U1"/>
    <mergeCell ref="A2:U2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9">
      <selection activeCell="A22" sqref="A22:F22"/>
    </sheetView>
  </sheetViews>
  <sheetFormatPr defaultColWidth="9.00390625" defaultRowHeight="12.75"/>
  <cols>
    <col min="1" max="1" width="6.625" style="189" customWidth="1"/>
    <col min="8" max="8" width="2.25390625" style="0" customWidth="1"/>
    <col min="9" max="9" width="11.75390625" style="0" customWidth="1"/>
  </cols>
  <sheetData>
    <row r="1" spans="1:10" ht="12.75">
      <c r="A1" s="998" t="s">
        <v>71</v>
      </c>
      <c r="B1" s="998"/>
      <c r="C1" s="998"/>
      <c r="D1" s="998"/>
      <c r="E1" s="998"/>
      <c r="F1" s="998"/>
      <c r="G1" s="998"/>
      <c r="H1" s="998"/>
      <c r="I1" s="998"/>
      <c r="J1" s="998"/>
    </row>
    <row r="2" spans="1:10" ht="12.75">
      <c r="A2" s="999" t="s">
        <v>348</v>
      </c>
      <c r="B2" s="999"/>
      <c r="C2" s="999"/>
      <c r="D2" s="999"/>
      <c r="E2" s="999"/>
      <c r="F2" s="999"/>
      <c r="G2" s="999"/>
      <c r="H2" s="999"/>
      <c r="I2" s="999"/>
      <c r="J2" s="999"/>
    </row>
    <row r="3" spans="1:10" ht="36" customHeight="1">
      <c r="A3" s="20" t="s">
        <v>574</v>
      </c>
      <c r="B3" s="1000" t="s">
        <v>666</v>
      </c>
      <c r="C3" s="1000"/>
      <c r="D3" s="1000"/>
      <c r="E3" s="1000"/>
      <c r="F3" s="1000"/>
      <c r="G3" s="1000"/>
      <c r="H3" s="1000"/>
      <c r="I3" s="22" t="s">
        <v>667</v>
      </c>
      <c r="J3" s="21" t="s">
        <v>4</v>
      </c>
    </row>
    <row r="4" spans="1:10" ht="12.75" customHeight="1">
      <c r="A4" s="307" t="s">
        <v>946</v>
      </c>
      <c r="B4" s="995" t="s">
        <v>5</v>
      </c>
      <c r="C4" s="996"/>
      <c r="D4" s="996"/>
      <c r="E4" s="996"/>
      <c r="F4" s="996"/>
      <c r="G4" s="996"/>
      <c r="H4" s="997"/>
      <c r="I4" s="221" t="s">
        <v>6</v>
      </c>
      <c r="J4" s="222">
        <v>1500</v>
      </c>
    </row>
    <row r="5" spans="1:10" ht="24" customHeight="1">
      <c r="A5" s="307"/>
      <c r="B5" s="995" t="s">
        <v>7</v>
      </c>
      <c r="C5" s="1001"/>
      <c r="D5" s="1001"/>
      <c r="E5" s="1001"/>
      <c r="F5" s="1001"/>
      <c r="G5" s="1001"/>
      <c r="H5" s="1002"/>
      <c r="I5" s="221" t="s">
        <v>8</v>
      </c>
      <c r="J5" s="222">
        <v>500</v>
      </c>
    </row>
    <row r="6" spans="1:10" ht="24" customHeight="1">
      <c r="A6" s="190" t="s">
        <v>390</v>
      </c>
      <c r="B6" s="1003" t="s">
        <v>685</v>
      </c>
      <c r="C6" s="1004"/>
      <c r="D6" s="1004"/>
      <c r="E6" s="1004"/>
      <c r="F6" s="1004"/>
      <c r="G6" s="1004"/>
      <c r="H6" s="1005"/>
      <c r="I6" s="23" t="s">
        <v>668</v>
      </c>
      <c r="J6" s="24">
        <f>1000+750+2000+750-500-1500+100</f>
        <v>2600</v>
      </c>
    </row>
    <row r="7" spans="1:10" ht="12.75" customHeight="1">
      <c r="A7" s="190" t="s">
        <v>350</v>
      </c>
      <c r="B7" s="1006" t="s">
        <v>669</v>
      </c>
      <c r="C7" s="1006"/>
      <c r="D7" s="1006"/>
      <c r="E7" s="1006"/>
      <c r="F7" s="1006"/>
      <c r="G7" s="1006"/>
      <c r="H7" s="1006"/>
      <c r="I7" s="25" t="s">
        <v>670</v>
      </c>
      <c r="J7" s="25">
        <v>120</v>
      </c>
    </row>
    <row r="8" spans="1:10" ht="12.75" customHeight="1">
      <c r="A8" s="190" t="s">
        <v>396</v>
      </c>
      <c r="B8" s="1006" t="s">
        <v>671</v>
      </c>
      <c r="C8" s="1006"/>
      <c r="D8" s="1006"/>
      <c r="E8" s="1006"/>
      <c r="F8" s="1006"/>
      <c r="G8" s="1006"/>
      <c r="H8" s="1006"/>
      <c r="I8" s="25" t="s">
        <v>672</v>
      </c>
      <c r="J8" s="25">
        <v>229</v>
      </c>
    </row>
    <row r="9" spans="1:10" ht="12.75" customHeight="1">
      <c r="A9" s="190" t="s">
        <v>397</v>
      </c>
      <c r="B9" s="990" t="s">
        <v>673</v>
      </c>
      <c r="C9" s="991"/>
      <c r="D9" s="991"/>
      <c r="E9" s="991"/>
      <c r="F9" s="991"/>
      <c r="G9" s="991"/>
      <c r="H9" s="1018"/>
      <c r="I9" s="25" t="s">
        <v>672</v>
      </c>
      <c r="J9" s="25">
        <v>60</v>
      </c>
    </row>
    <row r="10" spans="1:10" ht="22.5" customHeight="1">
      <c r="A10" s="190" t="s">
        <v>372</v>
      </c>
      <c r="B10" s="1006" t="s">
        <v>674</v>
      </c>
      <c r="C10" s="1006"/>
      <c r="D10" s="1006"/>
      <c r="E10" s="1006"/>
      <c r="F10" s="1006"/>
      <c r="G10" s="1006"/>
      <c r="H10" s="1006"/>
      <c r="I10" s="25" t="s">
        <v>672</v>
      </c>
      <c r="J10" s="25">
        <v>145</v>
      </c>
    </row>
    <row r="11" spans="1:10" ht="12.75" customHeight="1">
      <c r="A11" s="190" t="s">
        <v>375</v>
      </c>
      <c r="B11" s="1006" t="s">
        <v>675</v>
      </c>
      <c r="C11" s="1006"/>
      <c r="D11" s="1006"/>
      <c r="E11" s="1006"/>
      <c r="F11" s="1006"/>
      <c r="G11" s="1006"/>
      <c r="H11" s="1006"/>
      <c r="I11" s="25" t="s">
        <v>672</v>
      </c>
      <c r="J11" s="25">
        <v>600</v>
      </c>
    </row>
    <row r="12" spans="1:10" ht="12.75" customHeight="1">
      <c r="A12" s="190" t="s">
        <v>384</v>
      </c>
      <c r="B12" s="1024" t="s">
        <v>887</v>
      </c>
      <c r="C12" s="1025"/>
      <c r="D12" s="1025"/>
      <c r="E12" s="1025"/>
      <c r="F12" s="1025"/>
      <c r="G12" s="1025"/>
      <c r="H12" s="1026"/>
      <c r="I12" s="25" t="s">
        <v>672</v>
      </c>
      <c r="J12" s="25">
        <v>261</v>
      </c>
    </row>
    <row r="13" spans="1:10" ht="48">
      <c r="A13" s="190" t="s">
        <v>567</v>
      </c>
      <c r="B13" s="990" t="s">
        <v>676</v>
      </c>
      <c r="C13" s="991"/>
      <c r="D13" s="991"/>
      <c r="E13" s="991"/>
      <c r="F13" s="991"/>
      <c r="G13" s="991"/>
      <c r="H13" s="1023"/>
      <c r="I13" s="26" t="s">
        <v>677</v>
      </c>
      <c r="J13" s="25">
        <f>2287+1000</f>
        <v>3287</v>
      </c>
    </row>
    <row r="14" spans="1:10" ht="12.75" customHeight="1">
      <c r="A14" s="190" t="s">
        <v>443</v>
      </c>
      <c r="B14" s="990" t="s">
        <v>678</v>
      </c>
      <c r="C14" s="1021"/>
      <c r="D14" s="1021"/>
      <c r="E14" s="1021"/>
      <c r="F14" s="1021"/>
      <c r="G14" s="1021"/>
      <c r="H14" s="1022"/>
      <c r="I14" s="26" t="s">
        <v>677</v>
      </c>
      <c r="J14" s="25">
        <f>500+1808</f>
        <v>2308</v>
      </c>
    </row>
    <row r="15" spans="1:10" ht="12.75" customHeight="1">
      <c r="A15" s="190" t="s">
        <v>569</v>
      </c>
      <c r="B15" s="990" t="s">
        <v>679</v>
      </c>
      <c r="C15" s="991"/>
      <c r="D15" s="991"/>
      <c r="E15" s="991"/>
      <c r="F15" s="991"/>
      <c r="G15" s="991"/>
      <c r="H15" s="308"/>
      <c r="I15" s="26" t="s">
        <v>680</v>
      </c>
      <c r="J15" s="25">
        <f>540+6000+72</f>
        <v>6612</v>
      </c>
    </row>
    <row r="16" spans="1:10" ht="12.75" customHeight="1">
      <c r="A16" s="190" t="s">
        <v>444</v>
      </c>
      <c r="B16" s="1024" t="s">
        <v>848</v>
      </c>
      <c r="C16" s="1025"/>
      <c r="D16" s="1025"/>
      <c r="E16" s="1088"/>
      <c r="F16" s="1089"/>
      <c r="G16" s="1089"/>
      <c r="H16" s="1090"/>
      <c r="I16" s="1091" t="s">
        <v>69</v>
      </c>
      <c r="J16" s="310">
        <v>2136</v>
      </c>
    </row>
    <row r="17" spans="1:10" ht="12.75">
      <c r="A17" s="190" t="s">
        <v>445</v>
      </c>
      <c r="B17" s="992" t="s">
        <v>681</v>
      </c>
      <c r="C17" s="993"/>
      <c r="D17" s="993"/>
      <c r="E17" s="993"/>
      <c r="F17" s="993"/>
      <c r="G17" s="993"/>
      <c r="H17" s="994"/>
      <c r="I17" s="309" t="s">
        <v>682</v>
      </c>
      <c r="J17" s="310">
        <v>2500</v>
      </c>
    </row>
    <row r="18" spans="1:10" ht="12.75" customHeight="1">
      <c r="A18" s="190" t="s">
        <v>446</v>
      </c>
      <c r="B18" s="992" t="s">
        <v>681</v>
      </c>
      <c r="C18" s="993"/>
      <c r="D18" s="993"/>
      <c r="E18" s="993"/>
      <c r="F18" s="993"/>
      <c r="G18" s="993"/>
      <c r="H18" s="994"/>
      <c r="I18" s="948" t="s">
        <v>70</v>
      </c>
      <c r="J18" s="25">
        <v>1554</v>
      </c>
    </row>
    <row r="19" spans="1:10" ht="24">
      <c r="A19" s="190" t="s">
        <v>591</v>
      </c>
      <c r="B19" s="311" t="s">
        <v>9</v>
      </c>
      <c r="C19" s="312"/>
      <c r="D19" s="312"/>
      <c r="E19" s="312"/>
      <c r="F19" s="312"/>
      <c r="G19" s="312"/>
      <c r="H19" s="312"/>
      <c r="I19" s="23" t="s">
        <v>10</v>
      </c>
      <c r="J19" s="310">
        <v>299</v>
      </c>
    </row>
    <row r="20" spans="1:13" ht="12.75">
      <c r="A20" s="1012" t="s">
        <v>683</v>
      </c>
      <c r="B20" s="1019"/>
      <c r="C20" s="1019"/>
      <c r="D20" s="1019"/>
      <c r="E20" s="1019"/>
      <c r="F20" s="1019"/>
      <c r="G20" s="1019"/>
      <c r="H20" s="1019"/>
      <c r="I20" s="1020"/>
      <c r="J20" s="196">
        <f>SUM(J4:J19)</f>
        <v>24711</v>
      </c>
      <c r="M20" s="83"/>
    </row>
    <row r="21" ht="12.75" customHeight="1">
      <c r="A21"/>
    </row>
    <row r="22" spans="1:6" ht="12.75">
      <c r="A22" s="966" t="s">
        <v>151</v>
      </c>
      <c r="B22" s="966"/>
      <c r="C22" s="966"/>
      <c r="D22" s="966"/>
      <c r="E22" s="966"/>
      <c r="F22" s="966"/>
    </row>
    <row r="23" spans="1:10" ht="27" customHeight="1">
      <c r="A23" s="998" t="s">
        <v>181</v>
      </c>
      <c r="B23" s="998"/>
      <c r="C23" s="998"/>
      <c r="D23" s="998"/>
      <c r="E23" s="998"/>
      <c r="F23" s="998"/>
      <c r="G23" s="998"/>
      <c r="H23" s="998"/>
      <c r="I23" s="998"/>
      <c r="J23" s="998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 customHeight="1">
      <c r="A25" s="1017" t="s">
        <v>930</v>
      </c>
      <c r="B25" s="1017"/>
      <c r="C25" s="1017"/>
      <c r="D25" s="1017"/>
      <c r="E25" s="1017"/>
      <c r="F25" s="1017"/>
      <c r="G25" s="1017"/>
      <c r="H25" s="1017"/>
      <c r="I25" s="1017"/>
      <c r="J25" s="1017"/>
    </row>
    <row r="26" spans="1:10" ht="12.75">
      <c r="A26" s="191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36">
      <c r="A27" s="192" t="s">
        <v>390</v>
      </c>
      <c r="B27" s="1014" t="s">
        <v>684</v>
      </c>
      <c r="C27" s="1015"/>
      <c r="D27" s="1015"/>
      <c r="E27" s="1015"/>
      <c r="F27" s="1015"/>
      <c r="G27" s="1015"/>
      <c r="H27" s="1016"/>
      <c r="I27" s="25" t="s">
        <v>686</v>
      </c>
      <c r="J27" s="24">
        <f>-165+750</f>
        <v>585</v>
      </c>
    </row>
    <row r="28" spans="1:10" ht="38.25" customHeight="1">
      <c r="A28" s="192" t="s">
        <v>350</v>
      </c>
      <c r="B28" s="1008" t="s">
        <v>11</v>
      </c>
      <c r="C28" s="1009"/>
      <c r="D28" s="1009"/>
      <c r="E28" s="1009"/>
      <c r="F28" s="1009"/>
      <c r="G28" s="1010"/>
      <c r="H28" s="313"/>
      <c r="I28" s="314" t="s">
        <v>12</v>
      </c>
      <c r="J28" s="24">
        <f>-5349+5349</f>
        <v>0</v>
      </c>
    </row>
    <row r="29" spans="1:10" ht="25.5" customHeight="1">
      <c r="A29" s="192" t="s">
        <v>396</v>
      </c>
      <c r="B29" s="1011" t="s">
        <v>13</v>
      </c>
      <c r="C29" s="1009"/>
      <c r="D29" s="1009"/>
      <c r="E29" s="1009"/>
      <c r="F29" s="1009"/>
      <c r="G29" s="1009"/>
      <c r="H29" s="315"/>
      <c r="I29" s="314" t="s">
        <v>14</v>
      </c>
      <c r="J29" s="24">
        <v>200</v>
      </c>
    </row>
    <row r="30" spans="1:10" ht="12.75" customHeight="1">
      <c r="A30" s="1012" t="s">
        <v>552</v>
      </c>
      <c r="B30" s="1009"/>
      <c r="C30" s="1009"/>
      <c r="D30" s="1009"/>
      <c r="E30" s="1009"/>
      <c r="F30" s="1009"/>
      <c r="G30" s="1009"/>
      <c r="H30" s="1009"/>
      <c r="I30" s="1013"/>
      <c r="J30" s="196">
        <f>J27+J28+J29</f>
        <v>785</v>
      </c>
    </row>
    <row r="31" ht="12.75">
      <c r="A31"/>
    </row>
    <row r="32" ht="12.75">
      <c r="A32"/>
    </row>
    <row r="33" ht="12.75">
      <c r="A33"/>
    </row>
    <row r="34" spans="1:6" ht="12.75">
      <c r="A34" s="1007"/>
      <c r="B34" s="1007"/>
      <c r="C34" s="1007"/>
      <c r="D34" s="1007"/>
      <c r="E34" s="1007"/>
      <c r="F34" s="1007"/>
    </row>
  </sheetData>
  <sheetProtection/>
  <mergeCells count="27">
    <mergeCell ref="B16:E16"/>
    <mergeCell ref="B17:H17"/>
    <mergeCell ref="B18:H18"/>
    <mergeCell ref="A20:I20"/>
    <mergeCell ref="B27:H27"/>
    <mergeCell ref="A25:J25"/>
    <mergeCell ref="B9:H9"/>
    <mergeCell ref="A23:J23"/>
    <mergeCell ref="B10:H10"/>
    <mergeCell ref="B14:H14"/>
    <mergeCell ref="B13:H13"/>
    <mergeCell ref="B11:H11"/>
    <mergeCell ref="B12:H12"/>
    <mergeCell ref="A22:F22"/>
    <mergeCell ref="A34:F34"/>
    <mergeCell ref="B28:G28"/>
    <mergeCell ref="B29:G29"/>
    <mergeCell ref="A30:I30"/>
    <mergeCell ref="B15:G15"/>
    <mergeCell ref="B4:H4"/>
    <mergeCell ref="A1:J1"/>
    <mergeCell ref="A2:J2"/>
    <mergeCell ref="B3:H3"/>
    <mergeCell ref="B5:H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9.125" style="7" customWidth="1"/>
    <col min="2" max="2" width="47.875" style="7" customWidth="1"/>
    <col min="3" max="8" width="9.125" style="7" customWidth="1"/>
    <col min="9" max="9" width="10.625" style="7" customWidth="1"/>
    <col min="10" max="16384" width="9.125" style="7" customWidth="1"/>
  </cols>
  <sheetData>
    <row r="1" spans="1:9" ht="11.25">
      <c r="A1" s="1028" t="s">
        <v>67</v>
      </c>
      <c r="B1" s="1028"/>
      <c r="C1" s="1028"/>
      <c r="D1" s="1028"/>
      <c r="E1" s="1028"/>
      <c r="F1" s="1028"/>
      <c r="G1" s="1028"/>
      <c r="H1" s="1028"/>
      <c r="I1" s="1028"/>
    </row>
    <row r="2" spans="1:9" ht="22.5" customHeight="1">
      <c r="A2" s="1029" t="s">
        <v>553</v>
      </c>
      <c r="B2" s="1030"/>
      <c r="C2" s="1030"/>
      <c r="D2" s="1030"/>
      <c r="E2" s="1030"/>
      <c r="F2" s="1030"/>
      <c r="G2" s="1030"/>
      <c r="H2" s="1030"/>
      <c r="I2" s="1031"/>
    </row>
    <row r="3" spans="1:9" ht="42.75" customHeight="1">
      <c r="A3" s="141"/>
      <c r="B3" s="142"/>
      <c r="C3" s="142"/>
      <c r="D3" s="142"/>
      <c r="E3" s="142"/>
      <c r="F3" s="142"/>
      <c r="G3" s="142"/>
      <c r="H3" s="142"/>
      <c r="I3" s="143" t="s">
        <v>554</v>
      </c>
    </row>
    <row r="4" spans="1:9" ht="10.5">
      <c r="A4" s="1032" t="s">
        <v>555</v>
      </c>
      <c r="B4" s="1033" t="s">
        <v>556</v>
      </c>
      <c r="C4" s="1034" t="s">
        <v>557</v>
      </c>
      <c r="D4" s="1034" t="s">
        <v>573</v>
      </c>
      <c r="E4" s="1035" t="s">
        <v>558</v>
      </c>
      <c r="F4" s="1035"/>
      <c r="G4" s="1035"/>
      <c r="H4" s="1035"/>
      <c r="I4" s="1035" t="s">
        <v>552</v>
      </c>
    </row>
    <row r="5" spans="1:9" ht="10.5">
      <c r="A5" s="1032"/>
      <c r="B5" s="1033"/>
      <c r="C5" s="1035"/>
      <c r="D5" s="1034"/>
      <c r="E5" s="126">
        <v>2014</v>
      </c>
      <c r="F5" s="126">
        <v>2015</v>
      </c>
      <c r="G5" s="126">
        <v>2016</v>
      </c>
      <c r="H5" s="125" t="s">
        <v>617</v>
      </c>
      <c r="I5" s="1035"/>
    </row>
    <row r="6" spans="1:9" ht="21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 t="s">
        <v>559</v>
      </c>
    </row>
    <row r="7" spans="1:9" ht="11.25">
      <c r="A7" s="124" t="s">
        <v>390</v>
      </c>
      <c r="B7" s="127" t="s">
        <v>560</v>
      </c>
      <c r="C7" s="128"/>
      <c r="D7" s="129">
        <v>0</v>
      </c>
      <c r="E7" s="129"/>
      <c r="F7" s="129"/>
      <c r="G7" s="129"/>
      <c r="H7" s="129"/>
      <c r="I7" s="123">
        <v>0</v>
      </c>
    </row>
    <row r="8" spans="1:9" ht="11.25">
      <c r="A8" s="124" t="s">
        <v>350</v>
      </c>
      <c r="B8" s="130" t="s">
        <v>561</v>
      </c>
      <c r="C8" s="128"/>
      <c r="D8" s="129"/>
      <c r="E8" s="129"/>
      <c r="F8" s="129"/>
      <c r="G8" s="129"/>
      <c r="H8" s="129"/>
      <c r="I8" s="123">
        <v>0</v>
      </c>
    </row>
    <row r="9" spans="1:9" ht="11.25">
      <c r="A9" s="124" t="s">
        <v>396</v>
      </c>
      <c r="B9" s="130" t="s">
        <v>562</v>
      </c>
      <c r="C9" s="128"/>
      <c r="D9" s="129">
        <f aca="true" t="shared" si="0" ref="D9:I9">D10+D11</f>
        <v>0</v>
      </c>
      <c r="E9" s="82">
        <f t="shared" si="0"/>
        <v>4145380</v>
      </c>
      <c r="F9" s="82">
        <f t="shared" si="0"/>
        <v>1128208</v>
      </c>
      <c r="G9" s="82">
        <f t="shared" si="0"/>
        <v>0</v>
      </c>
      <c r="H9" s="82">
        <f t="shared" si="0"/>
        <v>0</v>
      </c>
      <c r="I9" s="82">
        <f t="shared" si="0"/>
        <v>5273588</v>
      </c>
    </row>
    <row r="10" spans="1:9" ht="11.25">
      <c r="A10" s="124" t="s">
        <v>397</v>
      </c>
      <c r="B10" s="1" t="s">
        <v>563</v>
      </c>
      <c r="C10" s="131">
        <v>2009</v>
      </c>
      <c r="D10" s="132"/>
      <c r="E10" s="133">
        <v>3321265</v>
      </c>
      <c r="F10" s="133">
        <v>1107088</v>
      </c>
      <c r="G10" s="133"/>
      <c r="H10" s="133"/>
      <c r="I10" s="123">
        <f>SUM(D10:H10)</f>
        <v>4428353</v>
      </c>
    </row>
    <row r="11" spans="1:9" ht="11.25">
      <c r="A11" s="124" t="s">
        <v>372</v>
      </c>
      <c r="B11" s="1" t="s">
        <v>564</v>
      </c>
      <c r="C11" s="131">
        <v>2005</v>
      </c>
      <c r="D11" s="132"/>
      <c r="E11" s="132">
        <v>824115</v>
      </c>
      <c r="F11" s="132">
        <v>21120</v>
      </c>
      <c r="G11" s="132"/>
      <c r="H11" s="132"/>
      <c r="I11" s="123">
        <f>SUM(D11:H11)</f>
        <v>845235</v>
      </c>
    </row>
    <row r="12" spans="1:9" ht="11.25">
      <c r="A12" s="124" t="s">
        <v>375</v>
      </c>
      <c r="B12" s="130" t="s">
        <v>565</v>
      </c>
      <c r="C12" s="134"/>
      <c r="D12" s="129">
        <f>SUM(D13:D13)</f>
        <v>0</v>
      </c>
      <c r="E12" s="129">
        <f>SUM(E13:E13)</f>
        <v>0</v>
      </c>
      <c r="F12" s="129">
        <f>SUM(F13:F13)</f>
        <v>0</v>
      </c>
      <c r="G12" s="129">
        <f>SUM(G13:G13)</f>
        <v>0</v>
      </c>
      <c r="H12" s="129">
        <f>SUM(H13:H13)</f>
        <v>0</v>
      </c>
      <c r="I12" s="123">
        <f>SUM(D12:H12)</f>
        <v>0</v>
      </c>
    </row>
    <row r="13" spans="1:9" ht="11.25">
      <c r="A13" s="124" t="s">
        <v>384</v>
      </c>
      <c r="B13" s="135" t="s">
        <v>566</v>
      </c>
      <c r="C13" s="131"/>
      <c r="D13" s="132"/>
      <c r="E13" s="132"/>
      <c r="F13" s="132"/>
      <c r="G13" s="132"/>
      <c r="H13" s="132"/>
      <c r="I13" s="123">
        <f>SUM(D13:H13)</f>
        <v>0</v>
      </c>
    </row>
    <row r="14" spans="1:9" ht="11.25">
      <c r="A14" s="124" t="s">
        <v>567</v>
      </c>
      <c r="B14" s="130" t="s">
        <v>568</v>
      </c>
      <c r="C14" s="134"/>
      <c r="D14" s="132">
        <f aca="true" t="shared" si="1" ref="D14:I14">SUM(D15:D16)</f>
        <v>0</v>
      </c>
      <c r="E14" s="136">
        <f t="shared" si="1"/>
        <v>7408</v>
      </c>
      <c r="F14" s="136">
        <f t="shared" si="1"/>
        <v>4405</v>
      </c>
      <c r="G14" s="136">
        <f t="shared" si="1"/>
        <v>2588</v>
      </c>
      <c r="H14" s="136"/>
      <c r="I14" s="136">
        <f t="shared" si="1"/>
        <v>14401</v>
      </c>
    </row>
    <row r="15" spans="1:9" ht="11.25">
      <c r="A15" s="124" t="s">
        <v>569</v>
      </c>
      <c r="B15" s="137" t="s">
        <v>570</v>
      </c>
      <c r="C15" s="138">
        <v>2004</v>
      </c>
      <c r="D15" s="18"/>
      <c r="E15" s="18">
        <v>4132</v>
      </c>
      <c r="F15" s="18">
        <v>4132</v>
      </c>
      <c r="G15" s="18">
        <v>2588</v>
      </c>
      <c r="H15" s="18"/>
      <c r="I15" s="123">
        <f>SUM(D15:H15)</f>
        <v>10852</v>
      </c>
    </row>
    <row r="16" spans="1:10" ht="11.25">
      <c r="A16" s="124" t="s">
        <v>444</v>
      </c>
      <c r="B16" s="137" t="s">
        <v>571</v>
      </c>
      <c r="C16" s="138">
        <v>2004</v>
      </c>
      <c r="D16" s="18"/>
      <c r="E16" s="18">
        <v>3276</v>
      </c>
      <c r="F16" s="18">
        <v>273</v>
      </c>
      <c r="G16" s="18"/>
      <c r="H16" s="18"/>
      <c r="I16" s="123">
        <f>SUM(D16:H16)</f>
        <v>3549</v>
      </c>
      <c r="J16" s="8"/>
    </row>
    <row r="17" spans="1:9" ht="11.25">
      <c r="A17" s="1027" t="s">
        <v>572</v>
      </c>
      <c r="B17" s="1027"/>
      <c r="C17" s="139"/>
      <c r="D17" s="129">
        <f>D7+D8+D9+D12+D14</f>
        <v>0</v>
      </c>
      <c r="E17" s="82">
        <f>E7+E8+E9+E12+E14</f>
        <v>4152788</v>
      </c>
      <c r="F17" s="82">
        <f>F7+F8+F9+F12+F14</f>
        <v>1132613</v>
      </c>
      <c r="G17" s="82">
        <f>G7+G8+G9+G12+G14</f>
        <v>2588</v>
      </c>
      <c r="H17" s="82">
        <f>H7+H8+H9+H12+H14</f>
        <v>0</v>
      </c>
      <c r="I17" s="140">
        <f>SUM(D17:H17)</f>
        <v>5287989</v>
      </c>
    </row>
  </sheetData>
  <sheetProtection/>
  <mergeCells count="9">
    <mergeCell ref="A17:B17"/>
    <mergeCell ref="A1:I1"/>
    <mergeCell ref="A2:I2"/>
    <mergeCell ref="A4:A5"/>
    <mergeCell ref="B4:B5"/>
    <mergeCell ref="C4:C5"/>
    <mergeCell ref="D4:D5"/>
    <mergeCell ref="E4:H4"/>
    <mergeCell ref="I4:I5"/>
  </mergeCells>
  <conditionalFormatting sqref="E10:H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3">
      <selection activeCell="A36" sqref="A36:F36"/>
    </sheetView>
  </sheetViews>
  <sheetFormatPr defaultColWidth="9.00390625" defaultRowHeight="12.75"/>
  <cols>
    <col min="1" max="1" width="43.125" style="355" customWidth="1"/>
    <col min="2" max="2" width="8.25390625" style="355" customWidth="1"/>
    <col min="3" max="3" width="8.00390625" style="355" customWidth="1"/>
    <col min="4" max="4" width="7.25390625" style="355" customWidth="1"/>
    <col min="5" max="5" width="5.375" style="355" customWidth="1"/>
    <col min="6" max="6" width="31.875" style="355" customWidth="1"/>
    <col min="7" max="7" width="8.125" style="355" customWidth="1"/>
    <col min="8" max="8" width="8.25390625" style="355" customWidth="1"/>
    <col min="9" max="9" width="6.00390625" style="355" customWidth="1"/>
    <col min="10" max="10" width="5.125" style="355" customWidth="1"/>
    <col min="11" max="16384" width="9.125" style="355" customWidth="1"/>
  </cols>
  <sheetData>
    <row r="1" spans="1:10" ht="10.5">
      <c r="A1" s="968" t="s">
        <v>259</v>
      </c>
      <c r="B1" s="968"/>
      <c r="C1" s="968"/>
      <c r="D1" s="968"/>
      <c r="E1" s="968"/>
      <c r="F1" s="968"/>
      <c r="G1" s="968"/>
      <c r="H1" s="968"/>
      <c r="I1" s="968"/>
      <c r="J1" s="968"/>
    </row>
    <row r="2" spans="1:19" ht="10.5">
      <c r="A2" s="949" t="s">
        <v>906</v>
      </c>
      <c r="B2" s="949"/>
      <c r="C2" s="949"/>
      <c r="D2" s="949"/>
      <c r="E2" s="949"/>
      <c r="F2" s="949"/>
      <c r="G2" s="949"/>
      <c r="H2" s="949"/>
      <c r="I2" s="949"/>
      <c r="J2" s="949"/>
      <c r="K2" s="832"/>
      <c r="L2" s="832"/>
      <c r="M2" s="832"/>
      <c r="N2" s="832"/>
      <c r="O2" s="832"/>
      <c r="P2" s="832"/>
      <c r="Q2" s="833"/>
      <c r="R2" s="833"/>
      <c r="S2" s="833"/>
    </row>
    <row r="3" spans="1:19" ht="9.75">
      <c r="A3" s="950"/>
      <c r="B3" s="950"/>
      <c r="C3" s="950"/>
      <c r="D3" s="950"/>
      <c r="E3" s="950"/>
      <c r="F3" s="950"/>
      <c r="G3" s="950"/>
      <c r="H3" s="950"/>
      <c r="I3" s="950"/>
      <c r="J3" s="950"/>
      <c r="K3" s="833"/>
      <c r="L3" s="833"/>
      <c r="M3" s="833"/>
      <c r="N3" s="833"/>
      <c r="O3" s="833"/>
      <c r="P3" s="833"/>
      <c r="Q3" s="833"/>
      <c r="R3" s="833"/>
      <c r="S3" s="833"/>
    </row>
    <row r="4" spans="1:19" ht="10.5">
      <c r="A4" s="951" t="s">
        <v>904</v>
      </c>
      <c r="B4" s="951"/>
      <c r="C4" s="951"/>
      <c r="D4" s="951"/>
      <c r="E4" s="951"/>
      <c r="F4" s="951" t="s">
        <v>905</v>
      </c>
      <c r="G4" s="951"/>
      <c r="H4" s="951"/>
      <c r="I4" s="951"/>
      <c r="J4" s="951"/>
      <c r="K4" s="832"/>
      <c r="L4" s="832"/>
      <c r="M4" s="832"/>
      <c r="N4" s="832"/>
      <c r="O4" s="832"/>
      <c r="P4" s="833"/>
      <c r="Q4" s="833"/>
      <c r="R4" s="833"/>
      <c r="S4" s="833"/>
    </row>
    <row r="5" spans="1:19" ht="30" customHeight="1">
      <c r="A5" s="834" t="s">
        <v>689</v>
      </c>
      <c r="B5" s="835" t="s">
        <v>688</v>
      </c>
      <c r="C5" s="835" t="s">
        <v>690</v>
      </c>
      <c r="D5" s="835" t="s">
        <v>691</v>
      </c>
      <c r="E5" s="835" t="s">
        <v>692</v>
      </c>
      <c r="F5" s="834" t="s">
        <v>689</v>
      </c>
      <c r="G5" s="835" t="s">
        <v>688</v>
      </c>
      <c r="H5" s="835" t="s">
        <v>690</v>
      </c>
      <c r="I5" s="835" t="s">
        <v>691</v>
      </c>
      <c r="J5" s="835" t="s">
        <v>692</v>
      </c>
      <c r="K5" s="833"/>
      <c r="L5" s="833"/>
      <c r="M5" s="833"/>
      <c r="N5" s="833"/>
      <c r="O5" s="833"/>
      <c r="P5" s="833"/>
      <c r="Q5" s="833"/>
      <c r="R5" s="833"/>
      <c r="S5" s="833"/>
    </row>
    <row r="6" spans="1:19" ht="10.5" customHeight="1">
      <c r="A6" s="836" t="s">
        <v>647</v>
      </c>
      <c r="B6" s="837">
        <f>B7+B8</f>
        <v>443302</v>
      </c>
      <c r="C6" s="838">
        <f>C7+C8</f>
        <v>424061</v>
      </c>
      <c r="D6" s="837">
        <f>D7+D8</f>
        <v>19241</v>
      </c>
      <c r="E6" s="837">
        <f>E7+E8</f>
        <v>0</v>
      </c>
      <c r="F6" s="839" t="s">
        <v>334</v>
      </c>
      <c r="G6" s="840">
        <f aca="true" t="shared" si="0" ref="G6:G11">H6+I6</f>
        <v>34676</v>
      </c>
      <c r="H6" s="838">
        <f>127+16691+63+144+63+126</f>
        <v>17214</v>
      </c>
      <c r="I6" s="375">
        <f>5200+2062+651+3700+30+263+3336+2220</f>
        <v>17462</v>
      </c>
      <c r="J6" s="375"/>
      <c r="K6" s="833"/>
      <c r="L6" s="833"/>
      <c r="M6" s="833"/>
      <c r="N6" s="833"/>
      <c r="O6" s="833"/>
      <c r="P6" s="833"/>
      <c r="Q6" s="833"/>
      <c r="R6" s="833"/>
      <c r="S6" s="833"/>
    </row>
    <row r="7" spans="1:19" ht="21.75" customHeight="1">
      <c r="A7" s="367" t="s">
        <v>687</v>
      </c>
      <c r="B7" s="841">
        <f>C7+D7+E7</f>
        <v>408443</v>
      </c>
      <c r="C7" s="375">
        <f>354423+10467+1457+2988-774-344+6525+6804+349+1549+2221-2892+1319+2011+4713-37+734+3030+5236+8664</f>
        <v>408443</v>
      </c>
      <c r="D7" s="375"/>
      <c r="E7" s="375"/>
      <c r="F7" s="839" t="s">
        <v>336</v>
      </c>
      <c r="G7" s="840">
        <f t="shared" si="0"/>
        <v>12175</v>
      </c>
      <c r="H7" s="838">
        <f>-348+9067-38+34+17+45+17+642</f>
        <v>9436</v>
      </c>
      <c r="I7" s="375">
        <f>317+1022+940+16+137+40+38-337+566</f>
        <v>2739</v>
      </c>
      <c r="J7" s="375"/>
      <c r="K7" s="833"/>
      <c r="L7" s="833"/>
      <c r="M7" s="833"/>
      <c r="N7" s="833"/>
      <c r="O7" s="833"/>
      <c r="P7" s="833"/>
      <c r="Q7" s="833"/>
      <c r="R7" s="833"/>
      <c r="S7" s="833"/>
    </row>
    <row r="8" spans="1:19" ht="10.5">
      <c r="A8" s="367" t="s">
        <v>276</v>
      </c>
      <c r="B8" s="841">
        <f>C8+D8+E8</f>
        <v>34859</v>
      </c>
      <c r="C8" s="375">
        <f>74091+5349-6115-44-2804-1504-44-6465-4259-3911-2160-4713-2308-29495</f>
        <v>15618</v>
      </c>
      <c r="D8" s="375">
        <f>5168+4785+1229+2160+5899</f>
        <v>19241</v>
      </c>
      <c r="E8" s="375"/>
      <c r="F8" s="839" t="s">
        <v>338</v>
      </c>
      <c r="G8" s="840">
        <f t="shared" si="0"/>
        <v>93316</v>
      </c>
      <c r="H8" s="838">
        <f>1287+76952+381+810+22+1063-22+94+210+3450</f>
        <v>84247</v>
      </c>
      <c r="I8" s="375">
        <f>1463+1080+3495+145+429+20+22+2273+142</f>
        <v>9069</v>
      </c>
      <c r="J8" s="375"/>
      <c r="K8" s="833"/>
      <c r="L8" s="833"/>
      <c r="M8" s="833"/>
      <c r="N8" s="833"/>
      <c r="O8" s="833"/>
      <c r="P8" s="833"/>
      <c r="Q8" s="833"/>
      <c r="R8" s="833"/>
      <c r="S8" s="833"/>
    </row>
    <row r="9" spans="1:19" ht="10.5">
      <c r="A9" s="842" t="s">
        <v>408</v>
      </c>
      <c r="B9" s="843">
        <f>B10+B11+B12+B13+B14</f>
        <v>145584</v>
      </c>
      <c r="C9" s="843">
        <f>C10+C11+C12+C13+C14</f>
        <v>145584</v>
      </c>
      <c r="D9" s="843">
        <f>D10+D11+D12+D13</f>
        <v>0</v>
      </c>
      <c r="E9" s="375"/>
      <c r="F9" s="839" t="s">
        <v>340</v>
      </c>
      <c r="G9" s="840">
        <f t="shared" si="0"/>
        <v>9174</v>
      </c>
      <c r="H9" s="375">
        <f>1549+700+5145</f>
        <v>7394</v>
      </c>
      <c r="I9" s="375">
        <v>1780</v>
      </c>
      <c r="J9" s="375"/>
      <c r="K9" s="833"/>
      <c r="L9" s="833"/>
      <c r="M9" s="833"/>
      <c r="N9" s="833"/>
      <c r="O9" s="833"/>
      <c r="P9" s="833"/>
      <c r="Q9" s="833"/>
      <c r="R9" s="833"/>
      <c r="S9" s="833"/>
    </row>
    <row r="10" spans="1:19" ht="9.75" customHeight="1">
      <c r="A10" s="844" t="s">
        <v>284</v>
      </c>
      <c r="B10" s="843">
        <f>C10+D10+E10</f>
        <v>20000</v>
      </c>
      <c r="C10" s="841">
        <v>20000</v>
      </c>
      <c r="D10" s="375"/>
      <c r="E10" s="375"/>
      <c r="F10" s="839" t="s">
        <v>657</v>
      </c>
      <c r="G10" s="840">
        <f t="shared" si="0"/>
        <v>39807</v>
      </c>
      <c r="H10" s="375">
        <f>1808+6540+9899-1897+1229+299+348+2287+2820+4120</f>
        <v>27453</v>
      </c>
      <c r="I10" s="838">
        <f>10165-165+100+200+2054</f>
        <v>12354</v>
      </c>
      <c r="J10" s="375"/>
      <c r="K10" s="833"/>
      <c r="L10" s="833"/>
      <c r="M10" s="833"/>
      <c r="N10" s="833"/>
      <c r="O10" s="833"/>
      <c r="P10" s="833"/>
      <c r="Q10" s="833"/>
      <c r="R10" s="833"/>
      <c r="S10" s="833"/>
    </row>
    <row r="11" spans="1:19" ht="21">
      <c r="A11" s="844" t="s">
        <v>285</v>
      </c>
      <c r="B11" s="843">
        <f>C11+D11+E11</f>
        <v>110000</v>
      </c>
      <c r="C11" s="841">
        <f>17000+93000</f>
        <v>110000</v>
      </c>
      <c r="D11" s="375"/>
      <c r="E11" s="375"/>
      <c r="F11" s="367" t="s">
        <v>349</v>
      </c>
      <c r="G11" s="840">
        <f t="shared" si="0"/>
        <v>47076</v>
      </c>
      <c r="H11" s="375">
        <f>-381+292+56161-28-46-243-60+52-30-1522-30-2284-200-1817-60-200-75+11512-100-750-5000-7831-2567-15030+17313</f>
        <v>47076</v>
      </c>
      <c r="I11" s="375"/>
      <c r="J11" s="375"/>
      <c r="K11" s="833"/>
      <c r="L11" s="833"/>
      <c r="M11" s="833"/>
      <c r="N11" s="833"/>
      <c r="O11" s="833"/>
      <c r="P11" s="833"/>
      <c r="Q11" s="833"/>
      <c r="R11" s="833"/>
      <c r="S11" s="833"/>
    </row>
    <row r="12" spans="1:10" ht="10.5">
      <c r="A12" s="844" t="s">
        <v>286</v>
      </c>
      <c r="B12" s="843">
        <f>C12+D12+E12</f>
        <v>12000</v>
      </c>
      <c r="C12" s="841">
        <v>12000</v>
      </c>
      <c r="D12" s="375"/>
      <c r="E12" s="375"/>
      <c r="F12" s="375"/>
      <c r="G12" s="375"/>
      <c r="H12" s="375"/>
      <c r="I12" s="375"/>
      <c r="J12" s="375"/>
    </row>
    <row r="13" spans="1:10" ht="10.5">
      <c r="A13" s="844" t="s">
        <v>287</v>
      </c>
      <c r="B13" s="843">
        <f>C13+D13+E13</f>
        <v>3539</v>
      </c>
      <c r="C13" s="841">
        <v>3539</v>
      </c>
      <c r="D13" s="375"/>
      <c r="E13" s="375"/>
      <c r="F13" s="375"/>
      <c r="G13" s="375"/>
      <c r="H13" s="375"/>
      <c r="I13" s="375"/>
      <c r="J13" s="375"/>
    </row>
    <row r="14" spans="1:10" ht="10.5">
      <c r="A14" s="844" t="s">
        <v>169</v>
      </c>
      <c r="B14" s="843">
        <f>C14+D14+E14</f>
        <v>45</v>
      </c>
      <c r="C14" s="841">
        <v>45</v>
      </c>
      <c r="D14" s="375"/>
      <c r="E14" s="375"/>
      <c r="F14" s="375"/>
      <c r="G14" s="375"/>
      <c r="H14" s="375"/>
      <c r="I14" s="375"/>
      <c r="J14" s="375"/>
    </row>
    <row r="15" spans="1:10" ht="10.5">
      <c r="A15" s="842" t="s">
        <v>421</v>
      </c>
      <c r="B15" s="843">
        <f>SUM(B16:B20)</f>
        <v>32069</v>
      </c>
      <c r="C15" s="843">
        <f>SUM(C16:C20)</f>
        <v>32069</v>
      </c>
      <c r="D15" s="843">
        <f>SUM(D16:D20)</f>
        <v>0</v>
      </c>
      <c r="E15" s="843"/>
      <c r="F15" s="375"/>
      <c r="G15" s="375"/>
      <c r="H15" s="375"/>
      <c r="I15" s="375"/>
      <c r="J15" s="375"/>
    </row>
    <row r="16" spans="1:10" ht="10.5">
      <c r="A16" s="844" t="s">
        <v>290</v>
      </c>
      <c r="B16" s="845">
        <f>C16+D16+E16</f>
        <v>8862</v>
      </c>
      <c r="C16" s="845">
        <f>1000+6556+1306</f>
        <v>8862</v>
      </c>
      <c r="D16" s="375"/>
      <c r="E16" s="375"/>
      <c r="F16" s="375"/>
      <c r="G16" s="375"/>
      <c r="H16" s="375"/>
      <c r="I16" s="375"/>
      <c r="J16" s="375"/>
    </row>
    <row r="17" spans="1:10" ht="10.5">
      <c r="A17" s="844" t="s">
        <v>292</v>
      </c>
      <c r="B17" s="845">
        <f>C17+D17+E17</f>
        <v>7079</v>
      </c>
      <c r="C17" s="845">
        <v>7079</v>
      </c>
      <c r="D17" s="375"/>
      <c r="E17" s="375"/>
      <c r="F17" s="375"/>
      <c r="G17" s="375"/>
      <c r="H17" s="375"/>
      <c r="I17" s="375"/>
      <c r="J17" s="375"/>
    </row>
    <row r="18" spans="1:10" ht="21">
      <c r="A18" s="844" t="s">
        <v>294</v>
      </c>
      <c r="B18" s="845">
        <f>C18+D18+E18</f>
        <v>3181</v>
      </c>
      <c r="C18" s="845">
        <f>2181+1000</f>
        <v>3181</v>
      </c>
      <c r="D18" s="375"/>
      <c r="E18" s="375"/>
      <c r="F18" s="375"/>
      <c r="G18" s="375"/>
      <c r="H18" s="375"/>
      <c r="I18" s="375"/>
      <c r="J18" s="375"/>
    </row>
    <row r="19" spans="1:10" ht="10.5">
      <c r="A19" s="846" t="s">
        <v>298</v>
      </c>
      <c r="B19" s="845">
        <f>C19+D19+E19</f>
        <v>1000</v>
      </c>
      <c r="C19" s="845">
        <v>1000</v>
      </c>
      <c r="D19" s="375"/>
      <c r="E19" s="375"/>
      <c r="F19" s="375"/>
      <c r="G19" s="375"/>
      <c r="H19" s="375"/>
      <c r="I19" s="375"/>
      <c r="J19" s="375"/>
    </row>
    <row r="20" spans="1:10" ht="10.5">
      <c r="A20" s="844" t="s">
        <v>300</v>
      </c>
      <c r="B20" s="845">
        <f>C20+D20+E20</f>
        <v>11947</v>
      </c>
      <c r="C20" s="845">
        <v>11947</v>
      </c>
      <c r="D20" s="375"/>
      <c r="E20" s="375"/>
      <c r="F20" s="375"/>
      <c r="G20" s="375"/>
      <c r="H20" s="375"/>
      <c r="I20" s="375"/>
      <c r="J20" s="375"/>
    </row>
    <row r="21" spans="1:10" ht="10.5">
      <c r="A21" s="847" t="s">
        <v>431</v>
      </c>
      <c r="B21" s="848">
        <f>B22+B23</f>
        <v>9908</v>
      </c>
      <c r="C21" s="848">
        <f>C22+C23</f>
        <v>0</v>
      </c>
      <c r="D21" s="848">
        <f>D22+D23</f>
        <v>9908</v>
      </c>
      <c r="E21" s="375"/>
      <c r="F21" s="375"/>
      <c r="G21" s="375"/>
      <c r="H21" s="375"/>
      <c r="I21" s="375"/>
      <c r="J21" s="375"/>
    </row>
    <row r="22" spans="1:10" ht="20.25" customHeight="1">
      <c r="A22" s="849" t="s">
        <v>308</v>
      </c>
      <c r="B22" s="848">
        <f>C22+D22+E22</f>
        <v>9508</v>
      </c>
      <c r="C22" s="375"/>
      <c r="D22" s="375">
        <v>9508</v>
      </c>
      <c r="E22" s="375"/>
      <c r="F22" s="375"/>
      <c r="G22" s="375"/>
      <c r="H22" s="375"/>
      <c r="I22" s="375"/>
      <c r="J22" s="375"/>
    </row>
    <row r="23" spans="1:12" ht="12" customHeight="1">
      <c r="A23" s="849" t="s">
        <v>309</v>
      </c>
      <c r="B23" s="848">
        <f>C23+D23+E23</f>
        <v>400</v>
      </c>
      <c r="C23" s="375"/>
      <c r="D23" s="375">
        <v>400</v>
      </c>
      <c r="E23" s="375"/>
      <c r="F23" s="375"/>
      <c r="G23" s="375"/>
      <c r="H23" s="375"/>
      <c r="I23" s="375"/>
      <c r="J23" s="375"/>
      <c r="L23" s="850"/>
    </row>
    <row r="24" spans="1:10" ht="11.25" customHeight="1">
      <c r="A24" s="851" t="s">
        <v>693</v>
      </c>
      <c r="B24" s="848">
        <f>B6+B9+B15+B21</f>
        <v>630863</v>
      </c>
      <c r="C24" s="848">
        <f aca="true" t="shared" si="1" ref="C24:J24">C6+C9+C15+C21</f>
        <v>601714</v>
      </c>
      <c r="D24" s="848">
        <f t="shared" si="1"/>
        <v>29149</v>
      </c>
      <c r="E24" s="848">
        <f t="shared" si="1"/>
        <v>0</v>
      </c>
      <c r="F24" s="852" t="s">
        <v>694</v>
      </c>
      <c r="G24" s="848">
        <f>SUM(G6:G11)</f>
        <v>236224</v>
      </c>
      <c r="H24" s="848">
        <f>SUM(H6:H11)</f>
        <v>192820</v>
      </c>
      <c r="I24" s="848">
        <f>SUM(I6:I11)</f>
        <v>43404</v>
      </c>
      <c r="J24" s="848">
        <f t="shared" si="1"/>
        <v>0</v>
      </c>
    </row>
    <row r="25" spans="1:10" ht="10.5" customHeight="1">
      <c r="A25" s="367" t="s">
        <v>609</v>
      </c>
      <c r="B25" s="853">
        <f>C25+D25</f>
        <v>1854910</v>
      </c>
      <c r="C25" s="838">
        <f>774+344+3255327+6567-135264-64060-1216355+3520</f>
        <v>1850853</v>
      </c>
      <c r="D25" s="375">
        <f>2160+1897</f>
        <v>4057</v>
      </c>
      <c r="E25" s="375"/>
      <c r="F25" s="854" t="s">
        <v>661</v>
      </c>
      <c r="G25" s="840">
        <f>H25+I25</f>
        <v>2232507</v>
      </c>
      <c r="H25" s="375">
        <f>4720460-164587+1073+213+28+243+30+30+313+84+157+75+43+750+200-101336-27361-110701-2088000</f>
        <v>2231714</v>
      </c>
      <c r="I25" s="375">
        <f>100+693</f>
        <v>793</v>
      </c>
      <c r="J25" s="375"/>
    </row>
    <row r="26" spans="1:10" ht="10.5">
      <c r="A26" s="855" t="s">
        <v>695</v>
      </c>
      <c r="B26" s="841">
        <f>C26+D26+E26</f>
        <v>203480</v>
      </c>
      <c r="C26" s="838">
        <v>203480</v>
      </c>
      <c r="D26" s="375"/>
      <c r="E26" s="375"/>
      <c r="F26" s="854" t="s">
        <v>360</v>
      </c>
      <c r="G26" s="840">
        <v>3000</v>
      </c>
      <c r="H26" s="375">
        <f>600+3000</f>
        <v>3600</v>
      </c>
      <c r="I26" s="375"/>
      <c r="J26" s="375"/>
    </row>
    <row r="27" spans="1:10" ht="10.5">
      <c r="A27" s="856" t="s">
        <v>297</v>
      </c>
      <c r="B27" s="841">
        <f>C27+D27+E27</f>
        <v>190126</v>
      </c>
      <c r="C27" s="838">
        <f>846289+3837-660000</f>
        <v>190126</v>
      </c>
      <c r="D27" s="375"/>
      <c r="E27" s="375"/>
      <c r="F27" s="375" t="s">
        <v>986</v>
      </c>
      <c r="G27" s="375">
        <f>H27+I27</f>
        <v>8822</v>
      </c>
      <c r="H27" s="375">
        <f>-1480+8405</f>
        <v>6925</v>
      </c>
      <c r="I27" s="375">
        <v>1897</v>
      </c>
      <c r="J27" s="375"/>
    </row>
    <row r="28" spans="1:14" ht="19.5">
      <c r="A28" s="849" t="s">
        <v>193</v>
      </c>
      <c r="B28" s="841">
        <f>C28+D28+E28</f>
        <v>4568</v>
      </c>
      <c r="C28" s="838">
        <f>4568</f>
        <v>4568</v>
      </c>
      <c r="D28" s="375"/>
      <c r="E28" s="375"/>
      <c r="F28" s="355" t="s">
        <v>170</v>
      </c>
      <c r="G28" s="375">
        <f>H28+I28</f>
        <v>6701</v>
      </c>
      <c r="H28" s="375">
        <v>0</v>
      </c>
      <c r="I28" s="375">
        <f>1701+5000</f>
        <v>6701</v>
      </c>
      <c r="J28" s="375"/>
      <c r="L28" s="850"/>
      <c r="N28" s="850"/>
    </row>
    <row r="29" spans="1:10" ht="10.5">
      <c r="A29" s="849" t="s">
        <v>171</v>
      </c>
      <c r="B29" s="841">
        <f>C29</f>
        <v>621</v>
      </c>
      <c r="C29" s="838">
        <v>621</v>
      </c>
      <c r="D29" s="375"/>
      <c r="E29" s="375"/>
      <c r="F29" s="375" t="s">
        <v>976</v>
      </c>
      <c r="G29" s="375">
        <f>H29</f>
        <v>20648</v>
      </c>
      <c r="H29" s="375">
        <f>826+6778-826-73-64+10543+3464</f>
        <v>20648</v>
      </c>
      <c r="I29" s="375"/>
      <c r="J29" s="375"/>
    </row>
    <row r="30" spans="1:12" ht="11.25" customHeight="1">
      <c r="A30" s="849" t="s">
        <v>172</v>
      </c>
      <c r="B30" s="841">
        <v>97</v>
      </c>
      <c r="C30" s="838">
        <v>97</v>
      </c>
      <c r="D30" s="375"/>
      <c r="E30" s="375"/>
      <c r="F30" s="375"/>
      <c r="G30" s="375"/>
      <c r="H30" s="375"/>
      <c r="I30" s="375"/>
      <c r="J30" s="375"/>
      <c r="L30" s="850"/>
    </row>
    <row r="31" spans="1:10" ht="14.25" customHeight="1">
      <c r="A31" s="849" t="s">
        <v>279</v>
      </c>
      <c r="B31" s="841">
        <f>C31+D31</f>
        <v>1701</v>
      </c>
      <c r="C31" s="838"/>
      <c r="D31" s="375">
        <v>1701</v>
      </c>
      <c r="E31" s="375"/>
      <c r="F31" s="375"/>
      <c r="G31" s="375"/>
      <c r="H31" s="375"/>
      <c r="I31" s="375"/>
      <c r="J31" s="375"/>
    </row>
    <row r="32" spans="1:10" ht="10.5">
      <c r="A32" s="854" t="s">
        <v>696</v>
      </c>
      <c r="B32" s="857">
        <f>B25+B26+B27+B28+B29+B30+B31</f>
        <v>2255503</v>
      </c>
      <c r="C32" s="857">
        <f>C25+C26+C27+C28+C29+C30+C31</f>
        <v>2249745</v>
      </c>
      <c r="D32" s="857">
        <f>D25+D26+D27+D28+D29+D30+D31</f>
        <v>5758</v>
      </c>
      <c r="E32" s="857">
        <f>E25+E26+E27</f>
        <v>0</v>
      </c>
      <c r="F32" s="854" t="s">
        <v>697</v>
      </c>
      <c r="G32" s="838">
        <f>I32+H32</f>
        <v>2272278</v>
      </c>
      <c r="H32" s="838">
        <f>H25+H26+H27+H29</f>
        <v>2262887</v>
      </c>
      <c r="I32" s="838">
        <f>I25+I26+I27+I28</f>
        <v>9391</v>
      </c>
      <c r="J32" s="375"/>
    </row>
    <row r="33" spans="1:10" ht="10.5">
      <c r="A33" s="854" t="s">
        <v>613</v>
      </c>
      <c r="B33" s="858">
        <f>C33+D33</f>
        <v>99064</v>
      </c>
      <c r="C33" s="838">
        <f>1299+255536+1324+63366-339-2284-200+1063-120+2160-5100+2793-2054-46641-2928-211645-2089</f>
        <v>54141</v>
      </c>
      <c r="D33" s="375">
        <f>200+39474+120-2160+5100-2793+2054+2928</f>
        <v>44923</v>
      </c>
      <c r="E33" s="375"/>
      <c r="F33" s="375" t="s">
        <v>374</v>
      </c>
      <c r="G33" s="375">
        <f>H33+I33</f>
        <v>476928</v>
      </c>
      <c r="H33" s="375">
        <f>20010+374639+73508+150+1434+1324+4057-5274-44+1480+2109+4675+1688+90+763-30716</f>
        <v>449893</v>
      </c>
      <c r="I33" s="375">
        <f>774+20987+5274</f>
        <v>27035</v>
      </c>
      <c r="J33" s="375"/>
    </row>
    <row r="34" spans="1:10" ht="10.5">
      <c r="A34" s="854" t="s">
        <v>698</v>
      </c>
      <c r="B34" s="858">
        <f>+B32+B33+B24</f>
        <v>2985430</v>
      </c>
      <c r="C34" s="858">
        <f>+C32+C33+C24</f>
        <v>2905600</v>
      </c>
      <c r="D34" s="858">
        <f>+D32+D33+D24</f>
        <v>79830</v>
      </c>
      <c r="E34" s="375"/>
      <c r="F34" s="859" t="s">
        <v>699</v>
      </c>
      <c r="G34" s="838">
        <f>G32+G24+G33</f>
        <v>2985430</v>
      </c>
      <c r="H34" s="838">
        <f>H32+H24+H33</f>
        <v>2905600</v>
      </c>
      <c r="I34" s="838">
        <f>I32+I24+I33</f>
        <v>79830</v>
      </c>
      <c r="J34" s="838">
        <f>J32+J24+J33</f>
        <v>0</v>
      </c>
    </row>
    <row r="36" spans="1:6" ht="10.5">
      <c r="A36" s="966" t="s">
        <v>151</v>
      </c>
      <c r="B36" s="966"/>
      <c r="C36" s="966"/>
      <c r="D36" s="966"/>
      <c r="E36" s="966"/>
      <c r="F36" s="966"/>
    </row>
  </sheetData>
  <sheetProtection/>
  <mergeCells count="6">
    <mergeCell ref="A36:F36"/>
    <mergeCell ref="A1:J1"/>
    <mergeCell ref="A2:J2"/>
    <mergeCell ref="A3:J3"/>
    <mergeCell ref="A4:E4"/>
    <mergeCell ref="F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63">
      <selection activeCell="A194" sqref="A194:E198"/>
    </sheetView>
  </sheetViews>
  <sheetFormatPr defaultColWidth="9.00390625" defaultRowHeight="12.75"/>
  <cols>
    <col min="1" max="1" width="40.125" style="29" customWidth="1"/>
    <col min="2" max="4" width="9.125" style="29" customWidth="1"/>
    <col min="5" max="5" width="14.375" style="29" customWidth="1"/>
    <col min="6" max="16384" width="9.125" style="29" customWidth="1"/>
  </cols>
  <sheetData>
    <row r="1" spans="1:5" ht="11.25">
      <c r="A1" s="998" t="s">
        <v>68</v>
      </c>
      <c r="B1" s="1038"/>
      <c r="C1" s="1038"/>
      <c r="D1" s="1038"/>
      <c r="E1" s="1038"/>
    </row>
    <row r="2" spans="1:5" ht="11.25">
      <c r="A2" s="998" t="s">
        <v>700</v>
      </c>
      <c r="B2" s="998"/>
      <c r="C2" s="998"/>
      <c r="D2" s="998"/>
      <c r="E2" s="998"/>
    </row>
    <row r="3" spans="1:5" ht="11.25">
      <c r="A3" s="31"/>
      <c r="B3" s="31"/>
      <c r="C3" s="31"/>
      <c r="D3" s="31"/>
      <c r="E3" s="31"/>
    </row>
    <row r="4" spans="1:5" ht="24.75" customHeight="1">
      <c r="A4" s="30" t="s">
        <v>701</v>
      </c>
      <c r="B4" s="1037" t="s">
        <v>716</v>
      </c>
      <c r="C4" s="1037"/>
      <c r="D4" s="1037"/>
      <c r="E4" s="1037"/>
    </row>
    <row r="5" spans="1:5" ht="12" thickBot="1">
      <c r="A5" s="31"/>
      <c r="B5" s="31"/>
      <c r="C5" s="31"/>
      <c r="D5" s="1036" t="s">
        <v>702</v>
      </c>
      <c r="E5" s="1036"/>
    </row>
    <row r="6" spans="1:5" ht="12" thickBot="1">
      <c r="A6" s="32" t="s">
        <v>703</v>
      </c>
      <c r="B6" s="33">
        <v>2014</v>
      </c>
      <c r="C6" s="33">
        <v>2015</v>
      </c>
      <c r="D6" s="33" t="s">
        <v>883</v>
      </c>
      <c r="E6" s="34" t="s">
        <v>552</v>
      </c>
    </row>
    <row r="7" spans="1:5" ht="11.25">
      <c r="A7" s="35" t="s">
        <v>704</v>
      </c>
      <c r="B7" s="36">
        <v>948745</v>
      </c>
      <c r="C7" s="36"/>
      <c r="D7" s="36"/>
      <c r="E7" s="37">
        <v>948745</v>
      </c>
    </row>
    <row r="8" spans="1:5" ht="11.25">
      <c r="A8" s="38" t="s">
        <v>705</v>
      </c>
      <c r="B8" s="39"/>
      <c r="C8" s="39"/>
      <c r="D8" s="39"/>
      <c r="E8" s="40">
        <f aca="true" t="shared" si="0" ref="E8:E13">SUM(B8:D8)</f>
        <v>0</v>
      </c>
    </row>
    <row r="9" spans="1:5" ht="11.25">
      <c r="A9" s="41" t="s">
        <v>706</v>
      </c>
      <c r="B9" s="42">
        <f>B25-B7</f>
        <v>1666424</v>
      </c>
      <c r="C9" s="42">
        <v>871723</v>
      </c>
      <c r="D9" s="42"/>
      <c r="E9" s="43">
        <f t="shared" si="0"/>
        <v>2538147</v>
      </c>
    </row>
    <row r="10" spans="1:5" ht="11.25">
      <c r="A10" s="41" t="s">
        <v>707</v>
      </c>
      <c r="B10" s="42"/>
      <c r="C10" s="42"/>
      <c r="D10" s="42"/>
      <c r="E10" s="43">
        <f t="shared" si="0"/>
        <v>0</v>
      </c>
    </row>
    <row r="11" spans="1:8" ht="11.25">
      <c r="A11" s="41" t="s">
        <v>708</v>
      </c>
      <c r="B11" s="42"/>
      <c r="C11" s="42"/>
      <c r="D11" s="42"/>
      <c r="E11" s="43">
        <f t="shared" si="0"/>
        <v>0</v>
      </c>
      <c r="H11" s="84"/>
    </row>
    <row r="12" spans="1:5" ht="11.25">
      <c r="A12" s="41" t="s">
        <v>709</v>
      </c>
      <c r="B12" s="42"/>
      <c r="C12" s="42"/>
      <c r="D12" s="42"/>
      <c r="E12" s="43">
        <f t="shared" si="0"/>
        <v>0</v>
      </c>
    </row>
    <row r="13" spans="1:5" ht="12" thickBot="1">
      <c r="A13" s="44"/>
      <c r="B13" s="45"/>
      <c r="C13" s="45"/>
      <c r="D13" s="45"/>
      <c r="E13" s="43">
        <f t="shared" si="0"/>
        <v>0</v>
      </c>
    </row>
    <row r="14" spans="1:5" ht="12" thickBot="1">
      <c r="A14" s="46" t="s">
        <v>710</v>
      </c>
      <c r="B14" s="47">
        <f>B7+SUM(B9:B13)</f>
        <v>2615169</v>
      </c>
      <c r="C14" s="47">
        <f>C7+SUM(C9:C13)</f>
        <v>871723</v>
      </c>
      <c r="D14" s="47">
        <f>D7+SUM(D9:D13)</f>
        <v>0</v>
      </c>
      <c r="E14" s="48">
        <f>E7+SUM(E9:E13)</f>
        <v>3486892</v>
      </c>
    </row>
    <row r="15" spans="1:5" ht="12" thickBot="1">
      <c r="A15" s="49"/>
      <c r="B15" s="49"/>
      <c r="C15" s="49"/>
      <c r="D15" s="49"/>
      <c r="E15" s="49"/>
    </row>
    <row r="16" spans="1:5" ht="12" thickBot="1">
      <c r="A16" s="32" t="s">
        <v>711</v>
      </c>
      <c r="B16" s="33">
        <v>2014</v>
      </c>
      <c r="C16" s="33">
        <v>2015</v>
      </c>
      <c r="D16" s="33" t="s">
        <v>883</v>
      </c>
      <c r="E16" s="34" t="s">
        <v>552</v>
      </c>
    </row>
    <row r="17" spans="1:5" ht="12" thickBot="1">
      <c r="A17" s="35" t="s">
        <v>717</v>
      </c>
      <c r="B17" s="36"/>
      <c r="C17" s="36"/>
      <c r="D17" s="36"/>
      <c r="E17" s="37">
        <f aca="true" t="shared" si="1" ref="E17:E24">SUM(B17:D17)</f>
        <v>0</v>
      </c>
    </row>
    <row r="18" spans="1:5" ht="11.25">
      <c r="A18" s="50" t="s">
        <v>712</v>
      </c>
      <c r="B18" s="51"/>
      <c r="C18" s="51"/>
      <c r="D18" s="51"/>
      <c r="E18" s="37">
        <f t="shared" si="1"/>
        <v>0</v>
      </c>
    </row>
    <row r="19" spans="1:5" ht="11.25">
      <c r="A19" s="53" t="s">
        <v>713</v>
      </c>
      <c r="B19" s="42">
        <f>47500+2194956+323973-65451</f>
        <v>2500978</v>
      </c>
      <c r="C19" s="42">
        <v>777914</v>
      </c>
      <c r="D19" s="42"/>
      <c r="E19" s="43">
        <f>B19+C19</f>
        <v>3278892</v>
      </c>
    </row>
    <row r="20" spans="1:5" ht="11.25">
      <c r="A20" s="41" t="s">
        <v>714</v>
      </c>
      <c r="B20" s="42">
        <f>65451+48740</f>
        <v>114191</v>
      </c>
      <c r="C20" s="42">
        <v>93809</v>
      </c>
      <c r="D20" s="42"/>
      <c r="E20" s="43">
        <f>B20+C20</f>
        <v>208000</v>
      </c>
    </row>
    <row r="21" spans="1:5" ht="11.25">
      <c r="A21" s="41" t="s">
        <v>715</v>
      </c>
      <c r="B21" s="42"/>
      <c r="C21" s="42"/>
      <c r="D21" s="42"/>
      <c r="E21" s="43">
        <f t="shared" si="1"/>
        <v>0</v>
      </c>
    </row>
    <row r="22" spans="1:5" ht="11.25">
      <c r="A22" s="54"/>
      <c r="B22" s="42"/>
      <c r="C22" s="42"/>
      <c r="D22" s="42"/>
      <c r="E22" s="43">
        <f t="shared" si="1"/>
        <v>0</v>
      </c>
    </row>
    <row r="23" spans="1:5" ht="11.25">
      <c r="A23" s="54"/>
      <c r="B23" s="42"/>
      <c r="C23" s="42"/>
      <c r="D23" s="42"/>
      <c r="E23" s="43">
        <f t="shared" si="1"/>
        <v>0</v>
      </c>
    </row>
    <row r="24" spans="1:5" ht="12" thickBot="1">
      <c r="A24" s="44"/>
      <c r="B24" s="45"/>
      <c r="C24" s="45"/>
      <c r="D24" s="45"/>
      <c r="E24" s="43">
        <f t="shared" si="1"/>
        <v>0</v>
      </c>
    </row>
    <row r="25" spans="1:8" ht="12" thickBot="1">
      <c r="A25" s="46" t="s">
        <v>588</v>
      </c>
      <c r="B25" s="47">
        <f>SUM(B17:B24)</f>
        <v>2615169</v>
      </c>
      <c r="C25" s="47">
        <f>SUM(C17:C24)</f>
        <v>871723</v>
      </c>
      <c r="D25" s="47">
        <f>SUM(D17:D24)</f>
        <v>0</v>
      </c>
      <c r="E25" s="48">
        <f>SUM(E17:E24)</f>
        <v>3486892</v>
      </c>
      <c r="G25" s="84"/>
      <c r="H25" s="84"/>
    </row>
    <row r="26" spans="1:5" ht="11.25">
      <c r="A26" s="31"/>
      <c r="B26" s="31"/>
      <c r="C26" s="31"/>
      <c r="D26" s="31"/>
      <c r="E26" s="31"/>
    </row>
    <row r="27" spans="1:5" ht="11.25">
      <c r="A27" s="31"/>
      <c r="B27" s="31"/>
      <c r="C27" s="31"/>
      <c r="D27" s="31"/>
      <c r="E27" s="85"/>
    </row>
    <row r="28" spans="1:5" ht="11.25">
      <c r="A28" s="31"/>
      <c r="B28" s="31"/>
      <c r="C28" s="31"/>
      <c r="D28" s="31"/>
      <c r="E28" s="31"/>
    </row>
    <row r="29" spans="1:5" ht="24" customHeight="1">
      <c r="A29" s="30" t="s">
        <v>701</v>
      </c>
      <c r="B29" s="1037" t="s">
        <v>718</v>
      </c>
      <c r="C29" s="1037"/>
      <c r="D29" s="1037"/>
      <c r="E29" s="1037"/>
    </row>
    <row r="30" spans="1:5" ht="12" thickBot="1">
      <c r="A30" s="31"/>
      <c r="B30" s="31"/>
      <c r="C30" s="31"/>
      <c r="D30" s="1036" t="s">
        <v>702</v>
      </c>
      <c r="E30" s="1036"/>
    </row>
    <row r="31" spans="1:5" ht="12" thickBot="1">
      <c r="A31" s="32" t="s">
        <v>703</v>
      </c>
      <c r="B31" s="33">
        <v>2014</v>
      </c>
      <c r="C31" s="33">
        <v>2015</v>
      </c>
      <c r="D31" s="33" t="s">
        <v>883</v>
      </c>
      <c r="E31" s="34" t="s">
        <v>552</v>
      </c>
    </row>
    <row r="32" spans="1:5" ht="11.25">
      <c r="A32" s="35" t="s">
        <v>704</v>
      </c>
      <c r="B32" s="36">
        <f>B39-B34</f>
        <v>46641</v>
      </c>
      <c r="C32" s="36"/>
      <c r="D32" s="36"/>
      <c r="E32" s="37">
        <f aca="true" t="shared" si="2" ref="E32:E38">SUM(B32:D32)</f>
        <v>46641</v>
      </c>
    </row>
    <row r="33" spans="1:5" ht="11.25">
      <c r="A33" s="38" t="s">
        <v>705</v>
      </c>
      <c r="B33" s="39"/>
      <c r="C33" s="39"/>
      <c r="D33" s="39"/>
      <c r="E33" s="40">
        <f t="shared" si="2"/>
        <v>0</v>
      </c>
    </row>
    <row r="34" spans="1:5" ht="11.25">
      <c r="A34" s="41" t="s">
        <v>706</v>
      </c>
      <c r="B34" s="42">
        <v>64060</v>
      </c>
      <c r="C34" s="42"/>
      <c r="D34" s="42"/>
      <c r="E34" s="43">
        <f t="shared" si="2"/>
        <v>64060</v>
      </c>
    </row>
    <row r="35" spans="1:5" ht="11.25">
      <c r="A35" s="41" t="s">
        <v>707</v>
      </c>
      <c r="B35" s="42"/>
      <c r="C35" s="42"/>
      <c r="D35" s="42"/>
      <c r="E35" s="43">
        <f t="shared" si="2"/>
        <v>0</v>
      </c>
    </row>
    <row r="36" spans="1:5" ht="11.25">
      <c r="A36" s="41" t="s">
        <v>708</v>
      </c>
      <c r="B36" s="42"/>
      <c r="C36" s="42"/>
      <c r="D36" s="42"/>
      <c r="E36" s="43">
        <f t="shared" si="2"/>
        <v>0</v>
      </c>
    </row>
    <row r="37" spans="1:5" ht="11.25">
      <c r="A37" s="41" t="s">
        <v>709</v>
      </c>
      <c r="B37" s="42"/>
      <c r="C37" s="42"/>
      <c r="D37" s="42"/>
      <c r="E37" s="43">
        <f t="shared" si="2"/>
        <v>0</v>
      </c>
    </row>
    <row r="38" spans="1:5" ht="12" thickBot="1">
      <c r="A38" s="44"/>
      <c r="B38" s="45"/>
      <c r="C38" s="45"/>
      <c r="D38" s="45"/>
      <c r="E38" s="43">
        <f t="shared" si="2"/>
        <v>0</v>
      </c>
    </row>
    <row r="39" spans="1:5" ht="12" thickBot="1">
      <c r="A39" s="46" t="s">
        <v>710</v>
      </c>
      <c r="B39" s="47">
        <v>110701</v>
      </c>
      <c r="C39" s="47">
        <f>C32+SUM(C34:C38)</f>
        <v>0</v>
      </c>
      <c r="D39" s="47">
        <f>D32+SUM(D34:D38)</f>
        <v>0</v>
      </c>
      <c r="E39" s="48">
        <f>E32+SUM(E34:E38)</f>
        <v>110701</v>
      </c>
    </row>
    <row r="40" spans="1:5" ht="12" thickBot="1">
      <c r="A40" s="49"/>
      <c r="B40" s="49"/>
      <c r="C40" s="49"/>
      <c r="D40" s="49"/>
      <c r="E40" s="49"/>
    </row>
    <row r="41" spans="1:5" ht="12" thickBot="1">
      <c r="A41" s="32" t="s">
        <v>711</v>
      </c>
      <c r="B41" s="33">
        <v>2014</v>
      </c>
      <c r="C41" s="33">
        <v>2015</v>
      </c>
      <c r="D41" s="33" t="s">
        <v>883</v>
      </c>
      <c r="E41" s="34" t="s">
        <v>552</v>
      </c>
    </row>
    <row r="42" spans="1:5" ht="11.25">
      <c r="A42" s="35" t="s">
        <v>717</v>
      </c>
      <c r="B42" s="36"/>
      <c r="C42" s="36"/>
      <c r="D42" s="36"/>
      <c r="E42" s="37">
        <f aca="true" t="shared" si="3" ref="E42:E49">SUM(B42:D42)</f>
        <v>0</v>
      </c>
    </row>
    <row r="43" spans="1:5" ht="11.25">
      <c r="A43" s="50" t="s">
        <v>712</v>
      </c>
      <c r="B43" s="51"/>
      <c r="C43" s="51"/>
      <c r="D43" s="51"/>
      <c r="E43" s="52">
        <f t="shared" si="3"/>
        <v>0</v>
      </c>
    </row>
    <row r="44" spans="1:5" ht="11.25">
      <c r="A44" s="53" t="s">
        <v>713</v>
      </c>
      <c r="B44" s="42">
        <f>B39-B45</f>
        <v>107312</v>
      </c>
      <c r="C44" s="42"/>
      <c r="D44" s="42"/>
      <c r="E44" s="43">
        <f t="shared" si="3"/>
        <v>107312</v>
      </c>
    </row>
    <row r="45" spans="1:5" ht="11.25">
      <c r="A45" s="41" t="s">
        <v>714</v>
      </c>
      <c r="B45" s="42">
        <v>3389</v>
      </c>
      <c r="C45" s="42"/>
      <c r="D45" s="42"/>
      <c r="E45" s="43">
        <f t="shared" si="3"/>
        <v>3389</v>
      </c>
    </row>
    <row r="46" spans="1:5" ht="11.25">
      <c r="A46" s="41" t="s">
        <v>715</v>
      </c>
      <c r="B46" s="42"/>
      <c r="C46" s="42"/>
      <c r="D46" s="42"/>
      <c r="E46" s="43">
        <f t="shared" si="3"/>
        <v>0</v>
      </c>
    </row>
    <row r="47" spans="1:5" ht="11.25">
      <c r="A47" s="54"/>
      <c r="B47" s="42"/>
      <c r="C47" s="42"/>
      <c r="D47" s="42"/>
      <c r="E47" s="43">
        <f t="shared" si="3"/>
        <v>0</v>
      </c>
    </row>
    <row r="48" spans="1:5" ht="11.25">
      <c r="A48" s="54"/>
      <c r="B48" s="42"/>
      <c r="C48" s="42"/>
      <c r="D48" s="42"/>
      <c r="E48" s="43">
        <f t="shared" si="3"/>
        <v>0</v>
      </c>
    </row>
    <row r="49" spans="1:5" ht="12" thickBot="1">
      <c r="A49" s="44"/>
      <c r="B49" s="45"/>
      <c r="C49" s="45"/>
      <c r="D49" s="45"/>
      <c r="E49" s="43">
        <f t="shared" si="3"/>
        <v>0</v>
      </c>
    </row>
    <row r="50" spans="1:5" ht="12" thickBot="1">
      <c r="A50" s="46" t="s">
        <v>588</v>
      </c>
      <c r="B50" s="47">
        <f>SUM(B42:B49)</f>
        <v>110701</v>
      </c>
      <c r="C50" s="47">
        <f>SUM(C42:C49)</f>
        <v>0</v>
      </c>
      <c r="D50" s="47">
        <f>SUM(D42:D49)</f>
        <v>0</v>
      </c>
      <c r="E50" s="48">
        <f>SUM(E42:E49)</f>
        <v>110701</v>
      </c>
    </row>
    <row r="51" spans="1:5" ht="112.5" customHeight="1">
      <c r="A51" s="55"/>
      <c r="B51" s="56"/>
      <c r="C51" s="56"/>
      <c r="D51" s="56"/>
      <c r="E51" s="56"/>
    </row>
    <row r="52" spans="1:5" ht="21.75" customHeight="1">
      <c r="A52" s="57" t="s">
        <v>701</v>
      </c>
      <c r="B52" s="1039" t="s">
        <v>719</v>
      </c>
      <c r="C52" s="1039"/>
      <c r="D52" s="1039"/>
      <c r="E52" s="1039"/>
    </row>
    <row r="53" spans="1:5" ht="17.25" customHeight="1" thickBot="1">
      <c r="A53" s="58"/>
      <c r="B53" s="59"/>
      <c r="C53" s="59"/>
      <c r="D53" s="1040" t="s">
        <v>702</v>
      </c>
      <c r="E53" s="1041"/>
    </row>
    <row r="54" spans="1:5" ht="12" thickBot="1">
      <c r="A54" s="32" t="s">
        <v>703</v>
      </c>
      <c r="B54" s="33">
        <v>2014</v>
      </c>
      <c r="C54" s="33">
        <v>2015</v>
      </c>
      <c r="D54" s="33" t="s">
        <v>883</v>
      </c>
      <c r="E54" s="34" t="s">
        <v>552</v>
      </c>
    </row>
    <row r="55" spans="1:5" ht="11.25">
      <c r="A55" s="35" t="s">
        <v>704</v>
      </c>
      <c r="B55" s="36"/>
      <c r="C55" s="36"/>
      <c r="D55" s="36"/>
      <c r="E55" s="37">
        <f aca="true" t="shared" si="4" ref="E55:E61">SUM(B55:D55)</f>
        <v>0</v>
      </c>
    </row>
    <row r="56" spans="1:5" ht="11.25">
      <c r="A56" s="38" t="s">
        <v>705</v>
      </c>
      <c r="B56" s="39"/>
      <c r="C56" s="39"/>
      <c r="D56" s="39"/>
      <c r="E56" s="40">
        <f t="shared" si="4"/>
        <v>0</v>
      </c>
    </row>
    <row r="57" spans="1:5" ht="11.25">
      <c r="A57" s="41" t="s">
        <v>706</v>
      </c>
      <c r="B57" s="42">
        <v>12787</v>
      </c>
      <c r="C57" s="42"/>
      <c r="D57" s="42"/>
      <c r="E57" s="43">
        <f t="shared" si="4"/>
        <v>12787</v>
      </c>
    </row>
    <row r="58" spans="1:5" ht="11.25">
      <c r="A58" s="41" t="s">
        <v>707</v>
      </c>
      <c r="B58" s="42"/>
      <c r="C58" s="42"/>
      <c r="D58" s="42"/>
      <c r="E58" s="43">
        <f t="shared" si="4"/>
        <v>0</v>
      </c>
    </row>
    <row r="59" spans="1:5" ht="11.25">
      <c r="A59" s="41" t="s">
        <v>708</v>
      </c>
      <c r="B59" s="42"/>
      <c r="C59" s="42"/>
      <c r="D59" s="42"/>
      <c r="E59" s="43">
        <f t="shared" si="4"/>
        <v>0</v>
      </c>
    </row>
    <row r="60" spans="1:5" ht="11.25">
      <c r="A60" s="41" t="s">
        <v>709</v>
      </c>
      <c r="B60" s="42"/>
      <c r="C60" s="42"/>
      <c r="D60" s="42"/>
      <c r="E60" s="43">
        <f t="shared" si="4"/>
        <v>0</v>
      </c>
    </row>
    <row r="61" spans="1:5" ht="12" thickBot="1">
      <c r="A61" s="44"/>
      <c r="B61" s="45"/>
      <c r="C61" s="45"/>
      <c r="D61" s="45"/>
      <c r="E61" s="43">
        <f t="shared" si="4"/>
        <v>0</v>
      </c>
    </row>
    <row r="62" spans="1:5" ht="12" thickBot="1">
      <c r="A62" s="46" t="s">
        <v>710</v>
      </c>
      <c r="B62" s="47">
        <f>B55+SUM(B57:B61)</f>
        <v>12787</v>
      </c>
      <c r="C62" s="47">
        <f>C55+SUM(C57:C61)</f>
        <v>0</v>
      </c>
      <c r="D62" s="47">
        <f>D55+SUM(D57:D61)</f>
        <v>0</v>
      </c>
      <c r="E62" s="48">
        <f>E55+SUM(E57:E61)</f>
        <v>12787</v>
      </c>
    </row>
    <row r="63" spans="1:5" ht="12" thickBot="1">
      <c r="A63" s="49"/>
      <c r="B63" s="49"/>
      <c r="C63" s="49"/>
      <c r="D63" s="49"/>
      <c r="E63" s="49"/>
    </row>
    <row r="64" spans="1:5" ht="12" thickBot="1">
      <c r="A64" s="32" t="s">
        <v>711</v>
      </c>
      <c r="B64" s="33">
        <v>2014</v>
      </c>
      <c r="C64" s="33">
        <v>2015</v>
      </c>
      <c r="D64" s="33" t="s">
        <v>883</v>
      </c>
      <c r="E64" s="34" t="s">
        <v>552</v>
      </c>
    </row>
    <row r="65" spans="1:5" ht="11.25">
      <c r="A65" s="35" t="s">
        <v>717</v>
      </c>
      <c r="B65" s="36">
        <v>982</v>
      </c>
      <c r="C65" s="36"/>
      <c r="D65" s="36"/>
      <c r="E65" s="37">
        <f>SUM(B65:D65)</f>
        <v>982</v>
      </c>
    </row>
    <row r="66" spans="1:5" ht="11.25">
      <c r="A66" s="50" t="s">
        <v>712</v>
      </c>
      <c r="B66" s="51">
        <v>266</v>
      </c>
      <c r="C66" s="51"/>
      <c r="D66" s="51"/>
      <c r="E66" s="43">
        <f>SUM(B66:D66)</f>
        <v>266</v>
      </c>
    </row>
    <row r="67" spans="1:5" ht="11.25">
      <c r="A67" s="53" t="s">
        <v>713</v>
      </c>
      <c r="B67" s="42"/>
      <c r="C67" s="42"/>
      <c r="D67" s="42"/>
      <c r="E67" s="43">
        <f>SUM(B67:D67)</f>
        <v>0</v>
      </c>
    </row>
    <row r="68" spans="1:5" ht="11.25">
      <c r="A68" s="41" t="s">
        <v>714</v>
      </c>
      <c r="B68" s="42">
        <v>11539</v>
      </c>
      <c r="C68" s="42"/>
      <c r="D68" s="42"/>
      <c r="E68" s="43">
        <f>SUM(B68:D68)</f>
        <v>11539</v>
      </c>
    </row>
    <row r="69" spans="1:5" ht="11.25">
      <c r="A69" s="41" t="s">
        <v>715</v>
      </c>
      <c r="B69" s="42"/>
      <c r="C69" s="42"/>
      <c r="D69" s="42"/>
      <c r="E69" s="43"/>
    </row>
    <row r="70" spans="1:5" ht="11.25">
      <c r="A70" s="54"/>
      <c r="B70" s="42"/>
      <c r="C70" s="42"/>
      <c r="D70" s="42"/>
      <c r="E70" s="43">
        <f>SUM(B70:D70)</f>
        <v>0</v>
      </c>
    </row>
    <row r="71" spans="1:5" ht="11.25">
      <c r="A71" s="54"/>
      <c r="B71" s="42"/>
      <c r="C71" s="42"/>
      <c r="D71" s="42"/>
      <c r="E71" s="43">
        <f>SUM(B71:D71)</f>
        <v>0</v>
      </c>
    </row>
    <row r="72" spans="1:5" ht="12" thickBot="1">
      <c r="A72" s="44"/>
      <c r="B72" s="45"/>
      <c r="C72" s="45"/>
      <c r="D72" s="45"/>
      <c r="E72" s="43">
        <f>SUM(B72:D72)</f>
        <v>0</v>
      </c>
    </row>
    <row r="73" spans="1:5" ht="17.25" customHeight="1" thickBot="1">
      <c r="A73" s="46" t="s">
        <v>588</v>
      </c>
      <c r="B73" s="47">
        <f>SUM(B65:B72)</f>
        <v>12787</v>
      </c>
      <c r="C73" s="47">
        <f>SUM(C65:C72)</f>
        <v>0</v>
      </c>
      <c r="D73" s="47">
        <f>SUM(D65:D72)</f>
        <v>0</v>
      </c>
      <c r="E73" s="48">
        <f>SUM(E65:E72)</f>
        <v>12787</v>
      </c>
    </row>
    <row r="74" spans="1:5" ht="54" customHeight="1">
      <c r="A74" s="55"/>
      <c r="B74" s="56"/>
      <c r="C74" s="56"/>
      <c r="D74" s="56"/>
      <c r="E74" s="56"/>
    </row>
    <row r="75" spans="1:5" ht="15" customHeight="1">
      <c r="A75" s="57" t="s">
        <v>701</v>
      </c>
      <c r="B75" s="1039" t="s">
        <v>884</v>
      </c>
      <c r="C75" s="1039"/>
      <c r="D75" s="1039"/>
      <c r="E75" s="1039"/>
    </row>
    <row r="76" spans="1:5" ht="12" thickBot="1">
      <c r="A76" s="58"/>
      <c r="B76" s="59"/>
      <c r="C76" s="59"/>
      <c r="D76" s="1040" t="s">
        <v>702</v>
      </c>
      <c r="E76" s="1041"/>
    </row>
    <row r="77" spans="1:5" ht="12" thickBot="1">
      <c r="A77" s="32" t="s">
        <v>703</v>
      </c>
      <c r="B77" s="33">
        <v>2014</v>
      </c>
      <c r="C77" s="33">
        <v>2015</v>
      </c>
      <c r="D77" s="33" t="s">
        <v>883</v>
      </c>
      <c r="E77" s="34" t="s">
        <v>552</v>
      </c>
    </row>
    <row r="78" spans="1:5" ht="11.25">
      <c r="A78" s="35" t="s">
        <v>704</v>
      </c>
      <c r="B78" s="36"/>
      <c r="C78" s="36"/>
      <c r="D78" s="36"/>
      <c r="E78" s="37">
        <f aca="true" t="shared" si="5" ref="E78:E84">SUM(B78:D78)</f>
        <v>0</v>
      </c>
    </row>
    <row r="79" spans="1:5" ht="11.25">
      <c r="A79" s="38" t="s">
        <v>705</v>
      </c>
      <c r="B79" s="39"/>
      <c r="C79" s="39"/>
      <c r="D79" s="39"/>
      <c r="E79" s="40">
        <f t="shared" si="5"/>
        <v>0</v>
      </c>
    </row>
    <row r="80" spans="1:5" ht="11.25">
      <c r="A80" s="41" t="s">
        <v>706</v>
      </c>
      <c r="B80" s="42">
        <v>11883</v>
      </c>
      <c r="C80" s="42">
        <v>2544</v>
      </c>
      <c r="D80" s="42"/>
      <c r="E80" s="43">
        <f t="shared" si="5"/>
        <v>14427</v>
      </c>
    </row>
    <row r="81" spans="1:5" ht="11.25">
      <c r="A81" s="41" t="s">
        <v>707</v>
      </c>
      <c r="B81" s="42"/>
      <c r="C81" s="42"/>
      <c r="D81" s="42"/>
      <c r="E81" s="43">
        <f t="shared" si="5"/>
        <v>0</v>
      </c>
    </row>
    <row r="82" spans="1:5" ht="11.25">
      <c r="A82" s="41" t="s">
        <v>708</v>
      </c>
      <c r="B82" s="42"/>
      <c r="C82" s="42"/>
      <c r="D82" s="42"/>
      <c r="E82" s="43">
        <f t="shared" si="5"/>
        <v>0</v>
      </c>
    </row>
    <row r="83" spans="1:5" ht="11.25">
      <c r="A83" s="41" t="s">
        <v>709</v>
      </c>
      <c r="B83" s="42"/>
      <c r="C83" s="42"/>
      <c r="D83" s="42"/>
      <c r="E83" s="43">
        <f t="shared" si="5"/>
        <v>0</v>
      </c>
    </row>
    <row r="84" spans="1:5" ht="12" thickBot="1">
      <c r="A84" s="44"/>
      <c r="B84" s="45"/>
      <c r="C84" s="45"/>
      <c r="D84" s="45"/>
      <c r="E84" s="43">
        <f t="shared" si="5"/>
        <v>0</v>
      </c>
    </row>
    <row r="85" spans="1:5" ht="12" thickBot="1">
      <c r="A85" s="46" t="s">
        <v>710</v>
      </c>
      <c r="B85" s="47">
        <f>B78+SUM(B80:B84)</f>
        <v>11883</v>
      </c>
      <c r="C85" s="47">
        <f>C78+SUM(C80:C84)</f>
        <v>2544</v>
      </c>
      <c r="D85" s="47">
        <f>D78+SUM(D80:D84)</f>
        <v>0</v>
      </c>
      <c r="E85" s="48">
        <f>E78+SUM(E80:E84)</f>
        <v>14427</v>
      </c>
    </row>
    <row r="86" spans="1:5" ht="12" thickBot="1">
      <c r="A86" s="49"/>
      <c r="B86" s="49"/>
      <c r="C86" s="49"/>
      <c r="D86" s="49"/>
      <c r="E86" s="49"/>
    </row>
    <row r="87" spans="1:5" ht="12" thickBot="1">
      <c r="A87" s="32" t="s">
        <v>711</v>
      </c>
      <c r="B87" s="33">
        <v>2014</v>
      </c>
      <c r="C87" s="33">
        <v>2015</v>
      </c>
      <c r="D87" s="33" t="s">
        <v>883</v>
      </c>
      <c r="E87" s="34" t="s">
        <v>552</v>
      </c>
    </row>
    <row r="88" spans="1:5" ht="11.25">
      <c r="A88" s="35" t="s">
        <v>717</v>
      </c>
      <c r="B88" s="36">
        <v>9160</v>
      </c>
      <c r="C88" s="36">
        <v>1806</v>
      </c>
      <c r="D88" s="36"/>
      <c r="E88" s="37">
        <f>SUM(B88:D88)</f>
        <v>10966</v>
      </c>
    </row>
    <row r="89" spans="1:5" ht="11.25">
      <c r="A89" s="50" t="s">
        <v>712</v>
      </c>
      <c r="B89" s="51">
        <v>2473</v>
      </c>
      <c r="C89" s="51">
        <v>488</v>
      </c>
      <c r="D89" s="51"/>
      <c r="E89" s="43">
        <f>SUM(B89:D89)</f>
        <v>2961</v>
      </c>
    </row>
    <row r="90" spans="1:5" ht="11.25">
      <c r="A90" s="53" t="s">
        <v>713</v>
      </c>
      <c r="B90" s="42"/>
      <c r="C90" s="42"/>
      <c r="D90" s="42"/>
      <c r="E90" s="43">
        <f>SUM(B90:D90)</f>
        <v>0</v>
      </c>
    </row>
    <row r="91" spans="1:5" ht="11.25">
      <c r="A91" s="41" t="s">
        <v>714</v>
      </c>
      <c r="B91" s="42">
        <v>250</v>
      </c>
      <c r="C91" s="42">
        <v>250</v>
      </c>
      <c r="D91" s="42"/>
      <c r="E91" s="43">
        <f>SUM(B91:D91)</f>
        <v>500</v>
      </c>
    </row>
    <row r="92" spans="1:5" ht="11.25">
      <c r="A92" s="41" t="s">
        <v>715</v>
      </c>
      <c r="B92" s="42"/>
      <c r="C92" s="42"/>
      <c r="D92" s="42"/>
      <c r="E92" s="43"/>
    </row>
    <row r="93" spans="1:5" ht="11.25">
      <c r="A93" s="54"/>
      <c r="B93" s="42"/>
      <c r="C93" s="42"/>
      <c r="D93" s="42"/>
      <c r="E93" s="43">
        <f>SUM(B93:D93)</f>
        <v>0</v>
      </c>
    </row>
    <row r="94" spans="1:5" ht="11.25">
      <c r="A94" s="54"/>
      <c r="B94" s="42"/>
      <c r="C94" s="42"/>
      <c r="D94" s="42"/>
      <c r="E94" s="43">
        <f>SUM(B94:D94)</f>
        <v>0</v>
      </c>
    </row>
    <row r="95" spans="1:5" ht="12" thickBot="1">
      <c r="A95" s="44"/>
      <c r="B95" s="45"/>
      <c r="C95" s="45"/>
      <c r="D95" s="45"/>
      <c r="E95" s="43">
        <f>SUM(B95:D95)</f>
        <v>0</v>
      </c>
    </row>
    <row r="96" spans="1:5" ht="12" thickBot="1">
      <c r="A96" s="46" t="s">
        <v>588</v>
      </c>
      <c r="B96" s="47">
        <f>SUM(B88:B95)</f>
        <v>11883</v>
      </c>
      <c r="C96" s="47">
        <f>SUM(C88:C95)</f>
        <v>2544</v>
      </c>
      <c r="D96" s="47">
        <f>SUM(D88:D95)</f>
        <v>0</v>
      </c>
      <c r="E96" s="48">
        <f>SUM(E88:E95)</f>
        <v>14427</v>
      </c>
    </row>
    <row r="97" spans="1:5" ht="11.25">
      <c r="A97" s="31"/>
      <c r="B97" s="31"/>
      <c r="C97" s="31"/>
      <c r="D97" s="31"/>
      <c r="E97" s="31"/>
    </row>
    <row r="98" spans="1:5" ht="11.25">
      <c r="A98" s="31"/>
      <c r="B98" s="31"/>
      <c r="C98" s="31"/>
      <c r="D98" s="31"/>
      <c r="E98" s="31"/>
    </row>
    <row r="99" spans="1:5" ht="23.25" customHeight="1">
      <c r="A99" s="57" t="s">
        <v>701</v>
      </c>
      <c r="B99" s="1039" t="s">
        <v>937</v>
      </c>
      <c r="C99" s="1039"/>
      <c r="D99" s="1039"/>
      <c r="E99" s="1039"/>
    </row>
    <row r="100" spans="1:5" ht="12" thickBot="1">
      <c r="A100" s="58"/>
      <c r="B100" s="59"/>
      <c r="C100" s="59"/>
      <c r="D100" s="1040" t="s">
        <v>702</v>
      </c>
      <c r="E100" s="1041"/>
    </row>
    <row r="101" spans="1:5" ht="12" thickBot="1">
      <c r="A101" s="32" t="s">
        <v>703</v>
      </c>
      <c r="B101" s="33">
        <v>2014</v>
      </c>
      <c r="C101" s="33">
        <v>2015</v>
      </c>
      <c r="D101" s="33" t="s">
        <v>883</v>
      </c>
      <c r="E101" s="34" t="s">
        <v>552</v>
      </c>
    </row>
    <row r="102" spans="1:5" ht="11.25">
      <c r="A102" s="35" t="s">
        <v>704</v>
      </c>
      <c r="B102" s="36"/>
      <c r="C102" s="36"/>
      <c r="D102" s="36"/>
      <c r="E102" s="37">
        <f aca="true" t="shared" si="6" ref="E102:E108">SUM(B102:D102)</f>
        <v>0</v>
      </c>
    </row>
    <row r="103" spans="1:5" ht="11.25">
      <c r="A103" s="38" t="s">
        <v>705</v>
      </c>
      <c r="B103" s="39"/>
      <c r="C103" s="39"/>
      <c r="D103" s="39"/>
      <c r="E103" s="40">
        <f t="shared" si="6"/>
        <v>0</v>
      </c>
    </row>
    <row r="104" spans="1:5" ht="11.25">
      <c r="A104" s="41" t="s">
        <v>706</v>
      </c>
      <c r="B104" s="42">
        <v>3300</v>
      </c>
      <c r="C104" s="42"/>
      <c r="D104" s="42"/>
      <c r="E104" s="43">
        <f t="shared" si="6"/>
        <v>3300</v>
      </c>
    </row>
    <row r="105" spans="1:5" ht="11.25">
      <c r="A105" s="41" t="s">
        <v>707</v>
      </c>
      <c r="B105" s="42"/>
      <c r="C105" s="42"/>
      <c r="D105" s="42"/>
      <c r="E105" s="43">
        <f t="shared" si="6"/>
        <v>0</v>
      </c>
    </row>
    <row r="106" spans="1:5" ht="11.25">
      <c r="A106" s="41" t="s">
        <v>708</v>
      </c>
      <c r="B106" s="42"/>
      <c r="C106" s="42"/>
      <c r="D106" s="42"/>
      <c r="E106" s="43">
        <f t="shared" si="6"/>
        <v>0</v>
      </c>
    </row>
    <row r="107" spans="1:5" ht="11.25">
      <c r="A107" s="41" t="s">
        <v>709</v>
      </c>
      <c r="B107" s="42"/>
      <c r="C107" s="42"/>
      <c r="D107" s="42"/>
      <c r="E107" s="43">
        <f t="shared" si="6"/>
        <v>0</v>
      </c>
    </row>
    <row r="108" spans="1:5" ht="12" thickBot="1">
      <c r="A108" s="44"/>
      <c r="B108" s="45"/>
      <c r="C108" s="45"/>
      <c r="D108" s="45"/>
      <c r="E108" s="43">
        <f t="shared" si="6"/>
        <v>0</v>
      </c>
    </row>
    <row r="109" spans="1:5" ht="12" thickBot="1">
      <c r="A109" s="46" t="s">
        <v>710</v>
      </c>
      <c r="B109" s="47">
        <f>B102+SUM(B104:B108)</f>
        <v>3300</v>
      </c>
      <c r="C109" s="47">
        <f>C102+SUM(C104:C108)</f>
        <v>0</v>
      </c>
      <c r="D109" s="47">
        <f>D102+SUM(D104:D108)</f>
        <v>0</v>
      </c>
      <c r="E109" s="48">
        <f>E102+SUM(E104:E108)</f>
        <v>3300</v>
      </c>
    </row>
    <row r="110" spans="1:5" ht="12" thickBot="1">
      <c r="A110" s="49"/>
      <c r="B110" s="49"/>
      <c r="C110" s="49"/>
      <c r="D110" s="49"/>
      <c r="E110" s="49"/>
    </row>
    <row r="111" spans="1:5" ht="12" thickBot="1">
      <c r="A111" s="32" t="s">
        <v>711</v>
      </c>
      <c r="B111" s="33">
        <v>2014</v>
      </c>
      <c r="C111" s="33">
        <v>2015</v>
      </c>
      <c r="D111" s="33" t="s">
        <v>883</v>
      </c>
      <c r="E111" s="34" t="s">
        <v>552</v>
      </c>
    </row>
    <row r="112" spans="1:5" ht="11.25">
      <c r="A112" s="35" t="s">
        <v>717</v>
      </c>
      <c r="B112" s="36"/>
      <c r="C112" s="36"/>
      <c r="D112" s="36"/>
      <c r="E112" s="37">
        <f>SUM(B112:D112)</f>
        <v>0</v>
      </c>
    </row>
    <row r="113" spans="1:5" ht="11.25">
      <c r="A113" s="50" t="s">
        <v>712</v>
      </c>
      <c r="B113" s="51"/>
      <c r="C113" s="51"/>
      <c r="D113" s="51"/>
      <c r="E113" s="43">
        <f>SUM(B113:D113)</f>
        <v>0</v>
      </c>
    </row>
    <row r="114" spans="1:5" ht="11.25">
      <c r="A114" s="53" t="s">
        <v>713</v>
      </c>
      <c r="B114" s="42"/>
      <c r="C114" s="42"/>
      <c r="D114" s="42"/>
      <c r="E114" s="43">
        <f>SUM(B114:D114)</f>
        <v>0</v>
      </c>
    </row>
    <row r="115" spans="1:5" ht="11.25">
      <c r="A115" s="41" t="s">
        <v>714</v>
      </c>
      <c r="B115" s="42">
        <v>3300</v>
      </c>
      <c r="C115" s="42"/>
      <c r="D115" s="42"/>
      <c r="E115" s="43">
        <f>SUM(B115:D115)</f>
        <v>3300</v>
      </c>
    </row>
    <row r="116" spans="1:5" ht="11.25">
      <c r="A116" s="41" t="s">
        <v>715</v>
      </c>
      <c r="B116" s="42"/>
      <c r="C116" s="42"/>
      <c r="D116" s="42"/>
      <c r="E116" s="43"/>
    </row>
    <row r="117" spans="1:5" ht="11.25">
      <c r="A117" s="54"/>
      <c r="B117" s="42"/>
      <c r="C117" s="42"/>
      <c r="D117" s="42"/>
      <c r="E117" s="43">
        <f>SUM(B117:D117)</f>
        <v>0</v>
      </c>
    </row>
    <row r="118" spans="1:5" ht="11.25">
      <c r="A118" s="54"/>
      <c r="B118" s="42"/>
      <c r="C118" s="42"/>
      <c r="D118" s="42"/>
      <c r="E118" s="43">
        <f>SUM(B118:D118)</f>
        <v>0</v>
      </c>
    </row>
    <row r="119" spans="1:5" ht="12" thickBot="1">
      <c r="A119" s="44"/>
      <c r="B119" s="45"/>
      <c r="C119" s="45"/>
      <c r="D119" s="45"/>
      <c r="E119" s="43">
        <f>SUM(B119:D119)</f>
        <v>0</v>
      </c>
    </row>
    <row r="120" spans="1:5" ht="12" thickBot="1">
      <c r="A120" s="46" t="s">
        <v>588</v>
      </c>
      <c r="B120" s="47">
        <f>SUM(B112:B119)</f>
        <v>3300</v>
      </c>
      <c r="C120" s="47">
        <f>SUM(C112:C119)</f>
        <v>0</v>
      </c>
      <c r="D120" s="47">
        <f>SUM(D112:D119)</f>
        <v>0</v>
      </c>
      <c r="E120" s="48">
        <f>SUM(E112:E119)</f>
        <v>3300</v>
      </c>
    </row>
    <row r="121" spans="1:5" ht="11.25">
      <c r="A121" s="55"/>
      <c r="B121" s="56"/>
      <c r="C121" s="56"/>
      <c r="D121" s="56"/>
      <c r="E121" s="56"/>
    </row>
    <row r="122" spans="1:5" ht="11.25">
      <c r="A122" s="55"/>
      <c r="B122" s="56"/>
      <c r="C122" s="56"/>
      <c r="D122" s="56"/>
      <c r="E122" s="56"/>
    </row>
    <row r="123" spans="1:5" ht="11.25">
      <c r="A123" s="57" t="s">
        <v>701</v>
      </c>
      <c r="B123" s="1058" t="s">
        <v>984</v>
      </c>
      <c r="C123" s="1058"/>
      <c r="D123" s="1058"/>
      <c r="E123" s="1058"/>
    </row>
    <row r="124" spans="1:5" ht="12" thickBot="1">
      <c r="A124" s="58"/>
      <c r="B124" s="59"/>
      <c r="C124" s="59"/>
      <c r="D124" s="1040" t="s">
        <v>702</v>
      </c>
      <c r="E124" s="1041"/>
    </row>
    <row r="125" spans="1:5" ht="12" thickBot="1">
      <c r="A125" s="32" t="s">
        <v>703</v>
      </c>
      <c r="B125" s="33">
        <v>2014</v>
      </c>
      <c r="C125" s="33">
        <v>2015</v>
      </c>
      <c r="D125" s="33" t="s">
        <v>883</v>
      </c>
      <c r="E125" s="34" t="s">
        <v>552</v>
      </c>
    </row>
    <row r="126" spans="1:5" ht="11.25">
      <c r="A126" s="35" t="s">
        <v>704</v>
      </c>
      <c r="B126" s="36">
        <v>310</v>
      </c>
      <c r="C126" s="36"/>
      <c r="D126" s="36"/>
      <c r="E126" s="37">
        <f aca="true" t="shared" si="7" ref="E126:E132">SUM(B126:D126)</f>
        <v>310</v>
      </c>
    </row>
    <row r="127" spans="1:5" ht="11.25">
      <c r="A127" s="38" t="s">
        <v>705</v>
      </c>
      <c r="B127" s="39"/>
      <c r="C127" s="39"/>
      <c r="D127" s="39"/>
      <c r="E127" s="40">
        <f t="shared" si="7"/>
        <v>0</v>
      </c>
    </row>
    <row r="128" spans="1:5" ht="11.25">
      <c r="A128" s="41" t="s">
        <v>706</v>
      </c>
      <c r="B128" s="42">
        <v>1146</v>
      </c>
      <c r="C128" s="42"/>
      <c r="D128" s="42"/>
      <c r="E128" s="43">
        <f t="shared" si="7"/>
        <v>1146</v>
      </c>
    </row>
    <row r="129" spans="1:5" ht="11.25">
      <c r="A129" s="41" t="s">
        <v>707</v>
      </c>
      <c r="B129" s="42"/>
      <c r="C129" s="42"/>
      <c r="D129" s="42"/>
      <c r="E129" s="43">
        <f t="shared" si="7"/>
        <v>0</v>
      </c>
    </row>
    <row r="130" spans="1:5" ht="11.25">
      <c r="A130" s="41" t="s">
        <v>708</v>
      </c>
      <c r="B130" s="42"/>
      <c r="C130" s="42"/>
      <c r="D130" s="42"/>
      <c r="E130" s="43">
        <f t="shared" si="7"/>
        <v>0</v>
      </c>
    </row>
    <row r="131" spans="1:5" ht="11.25">
      <c r="A131" s="41" t="s">
        <v>709</v>
      </c>
      <c r="B131" s="42"/>
      <c r="C131" s="42"/>
      <c r="D131" s="42"/>
      <c r="E131" s="43">
        <f t="shared" si="7"/>
        <v>0</v>
      </c>
    </row>
    <row r="132" spans="1:5" ht="12" thickBot="1">
      <c r="A132" s="44"/>
      <c r="B132" s="45"/>
      <c r="C132" s="45"/>
      <c r="D132" s="45"/>
      <c r="E132" s="43">
        <f t="shared" si="7"/>
        <v>0</v>
      </c>
    </row>
    <row r="133" spans="1:5" ht="12" thickBot="1">
      <c r="A133" s="46" t="s">
        <v>710</v>
      </c>
      <c r="B133" s="47">
        <f>B126+SUM(B128:B132)</f>
        <v>1456</v>
      </c>
      <c r="C133" s="47">
        <f>C126+SUM(C128:C132)</f>
        <v>0</v>
      </c>
      <c r="D133" s="47">
        <f>D126+SUM(D128:D132)</f>
        <v>0</v>
      </c>
      <c r="E133" s="48">
        <f>E126+SUM(E128:E132)</f>
        <v>1456</v>
      </c>
    </row>
    <row r="134" spans="1:5" ht="12" thickBot="1">
      <c r="A134" s="49"/>
      <c r="B134" s="49"/>
      <c r="C134" s="49"/>
      <c r="D134" s="49"/>
      <c r="E134" s="49"/>
    </row>
    <row r="135" spans="1:5" ht="12" thickBot="1">
      <c r="A135" s="32" t="s">
        <v>711</v>
      </c>
      <c r="B135" s="33">
        <v>2014</v>
      </c>
      <c r="C135" s="33">
        <v>2015</v>
      </c>
      <c r="D135" s="33" t="s">
        <v>883</v>
      </c>
      <c r="E135" s="34" t="s">
        <v>552</v>
      </c>
    </row>
    <row r="136" spans="1:5" ht="11.25">
      <c r="A136" s="35" t="s">
        <v>717</v>
      </c>
      <c r="B136" s="36"/>
      <c r="C136" s="36"/>
      <c r="D136" s="36"/>
      <c r="E136" s="37">
        <f>SUM(B136:D136)</f>
        <v>0</v>
      </c>
    </row>
    <row r="137" spans="1:5" ht="11.25">
      <c r="A137" s="50" t="s">
        <v>712</v>
      </c>
      <c r="B137" s="51"/>
      <c r="C137" s="51"/>
      <c r="D137" s="51"/>
      <c r="E137" s="43">
        <f>SUM(B137:D137)</f>
        <v>0</v>
      </c>
    </row>
    <row r="138" spans="1:5" ht="11.25">
      <c r="A138" s="53" t="s">
        <v>713</v>
      </c>
      <c r="B138" s="42">
        <v>692</v>
      </c>
      <c r="C138" s="42"/>
      <c r="D138" s="42"/>
      <c r="E138" s="43">
        <f>SUM(B138:D138)</f>
        <v>692</v>
      </c>
    </row>
    <row r="139" spans="1:5" ht="11.25">
      <c r="A139" s="41" t="s">
        <v>714</v>
      </c>
      <c r="B139" s="42">
        <v>764</v>
      </c>
      <c r="C139" s="42"/>
      <c r="D139" s="42"/>
      <c r="E139" s="43">
        <f>SUM(B139:D139)</f>
        <v>764</v>
      </c>
    </row>
    <row r="140" spans="1:5" ht="11.25">
      <c r="A140" s="41" t="s">
        <v>715</v>
      </c>
      <c r="B140" s="42"/>
      <c r="C140" s="42"/>
      <c r="D140" s="42"/>
      <c r="E140" s="43"/>
    </row>
    <row r="141" spans="1:5" ht="11.25">
      <c r="A141" s="54"/>
      <c r="B141" s="42"/>
      <c r="C141" s="42"/>
      <c r="D141" s="42"/>
      <c r="E141" s="43">
        <f>SUM(B141:D141)</f>
        <v>0</v>
      </c>
    </row>
    <row r="142" spans="1:5" ht="11.25">
      <c r="A142" s="54"/>
      <c r="B142" s="42"/>
      <c r="C142" s="42"/>
      <c r="D142" s="42"/>
      <c r="E142" s="43">
        <f>SUM(B142:D142)</f>
        <v>0</v>
      </c>
    </row>
    <row r="143" spans="1:5" ht="12" thickBot="1">
      <c r="A143" s="44"/>
      <c r="B143" s="45"/>
      <c r="C143" s="45"/>
      <c r="D143" s="45"/>
      <c r="E143" s="43">
        <f>SUM(B143:D143)</f>
        <v>0</v>
      </c>
    </row>
    <row r="144" spans="1:5" ht="12" thickBot="1">
      <c r="A144" s="46" t="s">
        <v>588</v>
      </c>
      <c r="B144" s="47">
        <f>SUM(B136:B143)</f>
        <v>1456</v>
      </c>
      <c r="C144" s="47">
        <f>SUM(C136:C143)</f>
        <v>0</v>
      </c>
      <c r="D144" s="47">
        <f>SUM(D136:D143)</f>
        <v>0</v>
      </c>
      <c r="E144" s="48">
        <f>SUM(E136:E143)</f>
        <v>1456</v>
      </c>
    </row>
    <row r="145" spans="1:5" ht="10.5" customHeight="1">
      <c r="A145" s="55"/>
      <c r="B145" s="56"/>
      <c r="C145" s="56"/>
      <c r="D145" s="56"/>
      <c r="E145" s="56"/>
    </row>
    <row r="146" spans="1:5" ht="11.25">
      <c r="A146" s="55"/>
      <c r="B146" s="56"/>
      <c r="C146" s="56"/>
      <c r="D146" s="56"/>
      <c r="E146" s="56"/>
    </row>
    <row r="147" spans="1:5" ht="11.25">
      <c r="A147" s="57" t="s">
        <v>701</v>
      </c>
      <c r="B147" s="1058" t="s">
        <v>985</v>
      </c>
      <c r="C147" s="1058"/>
      <c r="D147" s="1058"/>
      <c r="E147" s="1058"/>
    </row>
    <row r="148" spans="1:5" ht="12" thickBot="1">
      <c r="A148" s="58"/>
      <c r="B148" s="59"/>
      <c r="C148" s="59"/>
      <c r="D148" s="1040" t="s">
        <v>702</v>
      </c>
      <c r="E148" s="1041"/>
    </row>
    <row r="149" spans="1:5" ht="12" thickBot="1">
      <c r="A149" s="32" t="s">
        <v>703</v>
      </c>
      <c r="B149" s="33">
        <v>2014</v>
      </c>
      <c r="C149" s="33">
        <v>2015</v>
      </c>
      <c r="D149" s="33" t="s">
        <v>883</v>
      </c>
      <c r="E149" s="34" t="s">
        <v>552</v>
      </c>
    </row>
    <row r="150" spans="1:5" ht="11.25">
      <c r="A150" s="35" t="s">
        <v>704</v>
      </c>
      <c r="B150" s="36">
        <v>2392</v>
      </c>
      <c r="C150" s="36"/>
      <c r="D150" s="36"/>
      <c r="E150" s="37">
        <f aca="true" t="shared" si="8" ref="E150:E156">SUM(B150:D150)</f>
        <v>2392</v>
      </c>
    </row>
    <row r="151" spans="1:5" ht="11.25">
      <c r="A151" s="38" t="s">
        <v>705</v>
      </c>
      <c r="B151" s="39"/>
      <c r="C151" s="39"/>
      <c r="D151" s="39"/>
      <c r="E151" s="40">
        <f t="shared" si="8"/>
        <v>0</v>
      </c>
    </row>
    <row r="152" spans="1:5" ht="11.25">
      <c r="A152" s="41" t="s">
        <v>706</v>
      </c>
      <c r="B152" s="42">
        <v>7772</v>
      </c>
      <c r="C152" s="42"/>
      <c r="D152" s="42"/>
      <c r="E152" s="43">
        <f t="shared" si="8"/>
        <v>7772</v>
      </c>
    </row>
    <row r="153" spans="1:5" ht="11.25">
      <c r="A153" s="41" t="s">
        <v>707</v>
      </c>
      <c r="B153" s="42"/>
      <c r="C153" s="42"/>
      <c r="D153" s="42"/>
      <c r="E153" s="43">
        <f t="shared" si="8"/>
        <v>0</v>
      </c>
    </row>
    <row r="154" spans="1:5" ht="11.25">
      <c r="A154" s="41" t="s">
        <v>708</v>
      </c>
      <c r="B154" s="42"/>
      <c r="C154" s="42"/>
      <c r="D154" s="42"/>
      <c r="E154" s="43">
        <f t="shared" si="8"/>
        <v>0</v>
      </c>
    </row>
    <row r="155" spans="1:5" ht="11.25">
      <c r="A155" s="41" t="s">
        <v>709</v>
      </c>
      <c r="B155" s="42"/>
      <c r="C155" s="42"/>
      <c r="D155" s="42"/>
      <c r="E155" s="43">
        <f t="shared" si="8"/>
        <v>0</v>
      </c>
    </row>
    <row r="156" spans="1:5" ht="12" thickBot="1">
      <c r="A156" s="44"/>
      <c r="B156" s="45"/>
      <c r="C156" s="45"/>
      <c r="D156" s="45"/>
      <c r="E156" s="43">
        <f t="shared" si="8"/>
        <v>0</v>
      </c>
    </row>
    <row r="157" spans="1:5" ht="12" thickBot="1">
      <c r="A157" s="46" t="s">
        <v>710</v>
      </c>
      <c r="B157" s="47">
        <f>B150+SUM(B152:B156)</f>
        <v>10164</v>
      </c>
      <c r="C157" s="47">
        <f>C150+SUM(C152:C156)</f>
        <v>0</v>
      </c>
      <c r="D157" s="47">
        <f>D150+SUM(D152:D156)</f>
        <v>0</v>
      </c>
      <c r="E157" s="48">
        <f>E150+SUM(E152:E156)</f>
        <v>10164</v>
      </c>
    </row>
    <row r="158" spans="1:5" ht="12" thickBot="1">
      <c r="A158" s="49"/>
      <c r="B158" s="49"/>
      <c r="C158" s="49"/>
      <c r="D158" s="49"/>
      <c r="E158" s="49"/>
    </row>
    <row r="159" spans="1:5" ht="12" thickBot="1">
      <c r="A159" s="32" t="s">
        <v>711</v>
      </c>
      <c r="B159" s="33">
        <v>2014</v>
      </c>
      <c r="C159" s="33">
        <v>2015</v>
      </c>
      <c r="D159" s="33" t="s">
        <v>883</v>
      </c>
      <c r="E159" s="34" t="s">
        <v>552</v>
      </c>
    </row>
    <row r="160" spans="1:5" ht="11.25">
      <c r="A160" s="35" t="s">
        <v>717</v>
      </c>
      <c r="B160" s="36"/>
      <c r="C160" s="36"/>
      <c r="D160" s="36"/>
      <c r="E160" s="37">
        <f>SUM(B160:D160)</f>
        <v>0</v>
      </c>
    </row>
    <row r="161" spans="1:5" ht="11.25">
      <c r="A161" s="50" t="s">
        <v>712</v>
      </c>
      <c r="B161" s="51"/>
      <c r="C161" s="51"/>
      <c r="D161" s="51"/>
      <c r="E161" s="43">
        <f>SUM(B161:D161)</f>
        <v>0</v>
      </c>
    </row>
    <row r="162" spans="1:5" ht="11.25">
      <c r="A162" s="53" t="s">
        <v>713</v>
      </c>
      <c r="B162" s="42">
        <v>10014</v>
      </c>
      <c r="C162" s="42"/>
      <c r="D162" s="42"/>
      <c r="E162" s="43">
        <f>SUM(B162:D162)</f>
        <v>10014</v>
      </c>
    </row>
    <row r="163" spans="1:5" ht="11.25">
      <c r="A163" s="41" t="s">
        <v>714</v>
      </c>
      <c r="B163" s="42">
        <v>150</v>
      </c>
      <c r="C163" s="42"/>
      <c r="D163" s="42"/>
      <c r="E163" s="43">
        <f>SUM(B163:D163)</f>
        <v>150</v>
      </c>
    </row>
    <row r="164" spans="1:5" ht="11.25">
      <c r="A164" s="41" t="s">
        <v>715</v>
      </c>
      <c r="B164" s="42"/>
      <c r="C164" s="42"/>
      <c r="D164" s="42"/>
      <c r="E164" s="43"/>
    </row>
    <row r="165" spans="1:5" ht="11.25">
      <c r="A165" s="54"/>
      <c r="B165" s="42"/>
      <c r="C165" s="42"/>
      <c r="D165" s="42"/>
      <c r="E165" s="43">
        <f>SUM(B165:D165)</f>
        <v>0</v>
      </c>
    </row>
    <row r="166" spans="1:5" ht="11.25">
      <c r="A166" s="54"/>
      <c r="B166" s="42"/>
      <c r="C166" s="42"/>
      <c r="D166" s="42"/>
      <c r="E166" s="43">
        <f>SUM(B166:D166)</f>
        <v>0</v>
      </c>
    </row>
    <row r="167" spans="1:5" ht="12" thickBot="1">
      <c r="A167" s="44"/>
      <c r="B167" s="45"/>
      <c r="C167" s="45"/>
      <c r="D167" s="45"/>
      <c r="E167" s="43">
        <f>SUM(B167:D167)</f>
        <v>0</v>
      </c>
    </row>
    <row r="168" spans="1:5" ht="12" thickBot="1">
      <c r="A168" s="46" t="s">
        <v>588</v>
      </c>
      <c r="B168" s="47">
        <f>SUM(B160:B167)</f>
        <v>10164</v>
      </c>
      <c r="C168" s="47">
        <f>SUM(C160:C167)</f>
        <v>0</v>
      </c>
      <c r="D168" s="47">
        <f>SUM(D160:D167)</f>
        <v>0</v>
      </c>
      <c r="E168" s="48">
        <f>SUM(E160:E167)</f>
        <v>10164</v>
      </c>
    </row>
    <row r="169" spans="1:5" ht="11.25">
      <c r="A169" s="55"/>
      <c r="B169" s="56"/>
      <c r="C169" s="56"/>
      <c r="D169" s="56"/>
      <c r="E169" s="56"/>
    </row>
    <row r="170" spans="1:5" ht="11.25">
      <c r="A170" s="55"/>
      <c r="B170" s="56"/>
      <c r="C170" s="56"/>
      <c r="D170" s="56"/>
      <c r="E170" s="56"/>
    </row>
    <row r="171" spans="1:5" ht="24" customHeight="1">
      <c r="A171" s="57" t="s">
        <v>701</v>
      </c>
      <c r="B171" s="1058" t="s">
        <v>889</v>
      </c>
      <c r="C171" s="1058"/>
      <c r="D171" s="1058"/>
      <c r="E171" s="1058"/>
    </row>
    <row r="172" spans="1:5" ht="12" thickBot="1">
      <c r="A172" s="58"/>
      <c r="B172" s="59"/>
      <c r="C172" s="59"/>
      <c r="D172" s="1040" t="s">
        <v>702</v>
      </c>
      <c r="E172" s="1041"/>
    </row>
    <row r="173" spans="1:5" ht="12" thickBot="1">
      <c r="A173" s="32" t="s">
        <v>703</v>
      </c>
      <c r="B173" s="33">
        <v>2014</v>
      </c>
      <c r="C173" s="33">
        <v>2015</v>
      </c>
      <c r="D173" s="33" t="s">
        <v>883</v>
      </c>
      <c r="E173" s="34" t="s">
        <v>552</v>
      </c>
    </row>
    <row r="174" spans="1:5" ht="11.25">
      <c r="A174" s="35" t="s">
        <v>704</v>
      </c>
      <c r="B174" s="36">
        <v>67904</v>
      </c>
      <c r="C174" s="36"/>
      <c r="D174" s="36"/>
      <c r="E174" s="37">
        <f aca="true" t="shared" si="9" ref="E174:E180">SUM(B174:D174)</f>
        <v>67904</v>
      </c>
    </row>
    <row r="175" spans="1:5" ht="11.25">
      <c r="A175" s="38" t="s">
        <v>705</v>
      </c>
      <c r="B175" s="39"/>
      <c r="C175" s="39"/>
      <c r="D175" s="39"/>
      <c r="E175" s="40">
        <f t="shared" si="9"/>
        <v>0</v>
      </c>
    </row>
    <row r="176" spans="1:5" ht="11.25">
      <c r="A176" s="41" t="s">
        <v>706</v>
      </c>
      <c r="B176" s="42">
        <v>384789</v>
      </c>
      <c r="C176" s="42"/>
      <c r="D176" s="42"/>
      <c r="E176" s="43">
        <f t="shared" si="9"/>
        <v>384789</v>
      </c>
    </row>
    <row r="177" spans="1:5" ht="11.25">
      <c r="A177" s="41" t="s">
        <v>707</v>
      </c>
      <c r="B177" s="42"/>
      <c r="C177" s="42"/>
      <c r="D177" s="42"/>
      <c r="E177" s="43">
        <f t="shared" si="9"/>
        <v>0</v>
      </c>
    </row>
    <row r="178" spans="1:5" ht="11.25">
      <c r="A178" s="41" t="s">
        <v>708</v>
      </c>
      <c r="B178" s="42"/>
      <c r="C178" s="42"/>
      <c r="D178" s="42"/>
      <c r="E178" s="43">
        <f t="shared" si="9"/>
        <v>0</v>
      </c>
    </row>
    <row r="179" spans="1:5" ht="11.25">
      <c r="A179" s="41" t="s">
        <v>709</v>
      </c>
      <c r="B179" s="42"/>
      <c r="C179" s="42"/>
      <c r="D179" s="42"/>
      <c r="E179" s="43">
        <f t="shared" si="9"/>
        <v>0</v>
      </c>
    </row>
    <row r="180" spans="1:5" ht="12" thickBot="1">
      <c r="A180" s="44"/>
      <c r="B180" s="45"/>
      <c r="C180" s="45"/>
      <c r="D180" s="45"/>
      <c r="E180" s="43">
        <f t="shared" si="9"/>
        <v>0</v>
      </c>
    </row>
    <row r="181" spans="1:5" ht="12" thickBot="1">
      <c r="A181" s="46" t="s">
        <v>710</v>
      </c>
      <c r="B181" s="47">
        <f>B174+SUM(B176:B180)</f>
        <v>452693</v>
      </c>
      <c r="C181" s="47">
        <f>C174+SUM(C176:C180)</f>
        <v>0</v>
      </c>
      <c r="D181" s="47">
        <f>D174+SUM(D176:D180)</f>
        <v>0</v>
      </c>
      <c r="E181" s="48">
        <f>E174+SUM(E176:E180)</f>
        <v>452693</v>
      </c>
    </row>
    <row r="182" spans="1:5" ht="12" thickBot="1">
      <c r="A182" s="49"/>
      <c r="B182" s="49"/>
      <c r="C182" s="49"/>
      <c r="D182" s="49"/>
      <c r="E182" s="49"/>
    </row>
    <row r="183" spans="1:5" ht="12" thickBot="1">
      <c r="A183" s="32" t="s">
        <v>711</v>
      </c>
      <c r="B183" s="33">
        <v>2014</v>
      </c>
      <c r="C183" s="33">
        <v>2015</v>
      </c>
      <c r="D183" s="33" t="s">
        <v>883</v>
      </c>
      <c r="E183" s="34" t="s">
        <v>552</v>
      </c>
    </row>
    <row r="184" spans="1:5" ht="11.25">
      <c r="A184" s="35" t="s">
        <v>717</v>
      </c>
      <c r="B184" s="36"/>
      <c r="C184" s="36"/>
      <c r="D184" s="36"/>
      <c r="E184" s="37">
        <f>SUM(B184:D184)</f>
        <v>0</v>
      </c>
    </row>
    <row r="185" spans="1:5" ht="11.25">
      <c r="A185" s="50" t="s">
        <v>712</v>
      </c>
      <c r="B185" s="51"/>
      <c r="C185" s="51"/>
      <c r="D185" s="51"/>
      <c r="E185" s="43">
        <f>SUM(B185:D185)</f>
        <v>0</v>
      </c>
    </row>
    <row r="186" spans="1:5" ht="11.25">
      <c r="A186" s="53" t="s">
        <v>713</v>
      </c>
      <c r="B186" s="42">
        <v>417081</v>
      </c>
      <c r="C186" s="42"/>
      <c r="D186" s="42"/>
      <c r="E186" s="43">
        <f>SUM(B186:D186)</f>
        <v>417081</v>
      </c>
    </row>
    <row r="187" spans="1:5" ht="11.25">
      <c r="A187" s="41" t="s">
        <v>714</v>
      </c>
      <c r="B187" s="42">
        <v>35612</v>
      </c>
      <c r="C187" s="42"/>
      <c r="D187" s="42"/>
      <c r="E187" s="43">
        <f>SUM(B187:D187)</f>
        <v>35612</v>
      </c>
    </row>
    <row r="188" spans="1:5" ht="11.25">
      <c r="A188" s="41" t="s">
        <v>715</v>
      </c>
      <c r="B188" s="42"/>
      <c r="C188" s="42"/>
      <c r="D188" s="42"/>
      <c r="E188" s="43"/>
    </row>
    <row r="189" spans="1:5" ht="11.25">
      <c r="A189" s="54"/>
      <c r="B189" s="42"/>
      <c r="C189" s="42"/>
      <c r="D189" s="42"/>
      <c r="E189" s="43">
        <f>SUM(B189:D189)</f>
        <v>0</v>
      </c>
    </row>
    <row r="190" spans="1:5" ht="11.25">
      <c r="A190" s="54"/>
      <c r="B190" s="42"/>
      <c r="C190" s="42"/>
      <c r="D190" s="42"/>
      <c r="E190" s="43">
        <f>SUM(B190:D190)</f>
        <v>0</v>
      </c>
    </row>
    <row r="191" spans="1:5" ht="12" thickBot="1">
      <c r="A191" s="44"/>
      <c r="B191" s="45"/>
      <c r="C191" s="45"/>
      <c r="D191" s="45"/>
      <c r="E191" s="43">
        <f>SUM(B191:D191)</f>
        <v>0</v>
      </c>
    </row>
    <row r="192" spans="1:5" ht="12" thickBot="1">
      <c r="A192" s="46" t="s">
        <v>588</v>
      </c>
      <c r="B192" s="47">
        <f>SUM(B184:B191)</f>
        <v>452693</v>
      </c>
      <c r="C192" s="47">
        <f>SUM(C184:C191)</f>
        <v>0</v>
      </c>
      <c r="D192" s="47">
        <f>SUM(D184:D191)</f>
        <v>0</v>
      </c>
      <c r="E192" s="48">
        <f>SUM(E184:E191)</f>
        <v>452693</v>
      </c>
    </row>
    <row r="193" spans="1:5" ht="11.25">
      <c r="A193" s="55"/>
      <c r="B193" s="56"/>
      <c r="C193" s="56"/>
      <c r="D193" s="56"/>
      <c r="E193" s="56"/>
    </row>
    <row r="194" spans="1:5" ht="11.25">
      <c r="A194" s="1047" t="s">
        <v>885</v>
      </c>
      <c r="B194" s="1047"/>
      <c r="C194" s="1047"/>
      <c r="D194" s="1047"/>
      <c r="E194" s="1047"/>
    </row>
    <row r="195" spans="1:5" ht="12" thickBot="1">
      <c r="A195" s="31"/>
      <c r="B195" s="31"/>
      <c r="C195" s="31"/>
      <c r="D195" s="31"/>
      <c r="E195" s="31"/>
    </row>
    <row r="196" spans="1:5" ht="12" thickBot="1">
      <c r="A196" s="1048" t="s">
        <v>720</v>
      </c>
      <c r="B196" s="1049"/>
      <c r="C196" s="1050"/>
      <c r="D196" s="1051" t="s">
        <v>721</v>
      </c>
      <c r="E196" s="1052"/>
    </row>
    <row r="197" spans="1:5" ht="12" thickBot="1">
      <c r="A197" s="1053" t="s">
        <v>722</v>
      </c>
      <c r="B197" s="1054"/>
      <c r="C197" s="1055"/>
      <c r="D197" s="1056" t="s">
        <v>723</v>
      </c>
      <c r="E197" s="1057"/>
    </row>
    <row r="198" spans="1:5" ht="12" thickBot="1">
      <c r="A198" s="1042" t="s">
        <v>588</v>
      </c>
      <c r="B198" s="1043"/>
      <c r="C198" s="1044"/>
      <c r="D198" s="1045" t="str">
        <f>D197</f>
        <v>101.148</v>
      </c>
      <c r="E198" s="1046"/>
    </row>
    <row r="199" spans="1:5" ht="11.25">
      <c r="A199" s="60"/>
      <c r="B199" s="60"/>
      <c r="C199" s="60"/>
      <c r="D199" s="60"/>
      <c r="E199" s="60"/>
    </row>
    <row r="200" spans="1:5" ht="11.25">
      <c r="A200" s="60"/>
      <c r="B200" s="60"/>
      <c r="C200" s="60"/>
      <c r="D200" s="60"/>
      <c r="E200" s="60"/>
    </row>
    <row r="201" spans="1:5" ht="11.25">
      <c r="A201" s="60"/>
      <c r="B201" s="60"/>
      <c r="C201" s="60"/>
      <c r="D201" s="60"/>
      <c r="E201" s="60"/>
    </row>
    <row r="202" ht="18.75">
      <c r="A202" s="61"/>
    </row>
  </sheetData>
  <sheetProtection/>
  <mergeCells count="25">
    <mergeCell ref="D172:E172"/>
    <mergeCell ref="B123:E123"/>
    <mergeCell ref="D124:E124"/>
    <mergeCell ref="B147:E147"/>
    <mergeCell ref="D148:E148"/>
    <mergeCell ref="D76:E76"/>
    <mergeCell ref="B99:E99"/>
    <mergeCell ref="D100:E100"/>
    <mergeCell ref="B171:E171"/>
    <mergeCell ref="B52:E52"/>
    <mergeCell ref="D53:E53"/>
    <mergeCell ref="A198:C198"/>
    <mergeCell ref="D198:E198"/>
    <mergeCell ref="A194:E194"/>
    <mergeCell ref="A196:C196"/>
    <mergeCell ref="D196:E196"/>
    <mergeCell ref="A197:C197"/>
    <mergeCell ref="D197:E197"/>
    <mergeCell ref="B75:E75"/>
    <mergeCell ref="D30:E30"/>
    <mergeCell ref="B4:E4"/>
    <mergeCell ref="D5:E5"/>
    <mergeCell ref="A1:E1"/>
    <mergeCell ref="A2:E2"/>
    <mergeCell ref="B29:E29"/>
  </mergeCells>
  <conditionalFormatting sqref="D198:E198 E32:E39 B39:D39 B50:D51 E42:E51 E55:E62 B62:D62 B73:D74 E65:E74 E7:E14 B14:D14 B25:D25 E17:E25 E78:E85 B85:D85 B96:D96 E88:E96 E102:E109 B109:D109 E112:E122 B120:D122 E126:E133 B133:D133 E136:E146 B144:D146 E150:E157 B157:D157 E160:E170 B168:D170 B193:E193 E174:E181 B181:D181 E184:E192 B192:D19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00390625" defaultRowHeight="15" customHeight="1"/>
  <cols>
    <col min="1" max="1" width="5.375" style="0" customWidth="1"/>
    <col min="2" max="2" width="60.625" style="0" customWidth="1"/>
    <col min="3" max="3" width="15.625" style="0" customWidth="1"/>
  </cols>
  <sheetData>
    <row r="1" spans="1:3" ht="15" customHeight="1">
      <c r="A1" s="1059" t="s">
        <v>72</v>
      </c>
      <c r="B1" s="1059"/>
      <c r="C1" s="1059"/>
    </row>
    <row r="2" spans="1:3" ht="15" customHeight="1">
      <c r="A2" s="1060" t="s">
        <v>618</v>
      </c>
      <c r="B2" s="1060"/>
      <c r="C2" s="1060"/>
    </row>
    <row r="3" spans="1:3" ht="15" customHeight="1" thickBot="1">
      <c r="A3" s="104"/>
      <c r="B3" s="105"/>
      <c r="C3" s="106" t="s">
        <v>619</v>
      </c>
    </row>
    <row r="4" spans="1:3" ht="26.25" customHeight="1" thickBot="1">
      <c r="A4" s="107" t="s">
        <v>574</v>
      </c>
      <c r="B4" s="108" t="s">
        <v>620</v>
      </c>
      <c r="C4" s="109" t="s">
        <v>621</v>
      </c>
    </row>
    <row r="5" spans="1:3" ht="15" customHeight="1" thickBot="1">
      <c r="A5" s="107">
        <v>1</v>
      </c>
      <c r="B5" s="108">
        <v>2</v>
      </c>
      <c r="C5" s="109">
        <v>4</v>
      </c>
    </row>
    <row r="6" spans="1:3" ht="15" customHeight="1">
      <c r="A6" s="110" t="s">
        <v>390</v>
      </c>
      <c r="B6" s="111" t="s">
        <v>622</v>
      </c>
      <c r="C6" s="112">
        <v>4000</v>
      </c>
    </row>
    <row r="7" spans="1:3" ht="15" customHeight="1">
      <c r="A7" s="113" t="s">
        <v>350</v>
      </c>
      <c r="B7" s="114" t="s">
        <v>623</v>
      </c>
      <c r="C7" s="115"/>
    </row>
    <row r="8" spans="1:3" ht="15" customHeight="1">
      <c r="A8" s="113" t="s">
        <v>396</v>
      </c>
      <c r="B8" s="114" t="s">
        <v>624</v>
      </c>
      <c r="C8" s="115"/>
    </row>
    <row r="9" spans="1:3" ht="15" customHeight="1">
      <c r="A9" s="113" t="s">
        <v>397</v>
      </c>
      <c r="B9" s="114" t="s">
        <v>625</v>
      </c>
      <c r="C9" s="115"/>
    </row>
    <row r="10" spans="1:3" ht="15" customHeight="1">
      <c r="A10" s="113" t="s">
        <v>372</v>
      </c>
      <c r="B10" s="114" t="s">
        <v>626</v>
      </c>
      <c r="C10" s="115">
        <f>C11+C12+C13</f>
        <v>96</v>
      </c>
    </row>
    <row r="11" spans="1:3" ht="15" customHeight="1">
      <c r="A11" s="113" t="s">
        <v>384</v>
      </c>
      <c r="B11" s="114" t="s">
        <v>627</v>
      </c>
      <c r="C11" s="115"/>
    </row>
    <row r="12" spans="1:3" ht="15" customHeight="1">
      <c r="A12" s="113" t="s">
        <v>443</v>
      </c>
      <c r="B12" s="116" t="s">
        <v>628</v>
      </c>
      <c r="C12" s="115">
        <v>96</v>
      </c>
    </row>
    <row r="13" spans="1:3" ht="15" customHeight="1">
      <c r="A13" s="113" t="s">
        <v>569</v>
      </c>
      <c r="B13" s="116" t="s">
        <v>629</v>
      </c>
      <c r="C13" s="115"/>
    </row>
    <row r="14" spans="1:3" ht="15" customHeight="1">
      <c r="A14" s="113" t="s">
        <v>444</v>
      </c>
      <c r="B14" s="114" t="s">
        <v>630</v>
      </c>
      <c r="C14" s="115">
        <v>50</v>
      </c>
    </row>
    <row r="15" spans="1:3" ht="15" customHeight="1">
      <c r="A15" s="113" t="s">
        <v>445</v>
      </c>
      <c r="B15" s="114" t="s">
        <v>631</v>
      </c>
      <c r="C15" s="115">
        <v>1572</v>
      </c>
    </row>
    <row r="16" spans="1:3" ht="15" customHeight="1">
      <c r="A16" s="113" t="s">
        <v>446</v>
      </c>
      <c r="B16" s="114" t="s">
        <v>632</v>
      </c>
      <c r="C16" s="115"/>
    </row>
    <row r="17" spans="1:3" ht="15" customHeight="1">
      <c r="A17" s="113" t="s">
        <v>591</v>
      </c>
      <c r="B17" s="114" t="s">
        <v>633</v>
      </c>
      <c r="C17" s="115">
        <v>200</v>
      </c>
    </row>
    <row r="18" spans="1:3" ht="15" customHeight="1" thickBot="1">
      <c r="A18" s="117" t="s">
        <v>592</v>
      </c>
      <c r="B18" s="118" t="s">
        <v>634</v>
      </c>
      <c r="C18" s="119"/>
    </row>
    <row r="19" spans="1:3" ht="15" customHeight="1" thickBot="1">
      <c r="A19" s="120" t="s">
        <v>593</v>
      </c>
      <c r="B19" s="121" t="s">
        <v>588</v>
      </c>
      <c r="C19" s="122">
        <f>SUM(C6:C18)</f>
        <v>6014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8" sqref="A28:F28"/>
    </sheetView>
  </sheetViews>
  <sheetFormatPr defaultColWidth="9.00390625" defaultRowHeight="12.75"/>
  <cols>
    <col min="1" max="1" width="5.875" style="0" customWidth="1"/>
    <col min="2" max="2" width="21.625" style="6" customWidth="1"/>
    <col min="3" max="3" width="7.25390625" style="0" customWidth="1"/>
    <col min="4" max="4" width="7.375" style="0" customWidth="1"/>
    <col min="5" max="5" width="7.625" style="0" customWidth="1"/>
    <col min="6" max="6" width="6.875" style="0" customWidth="1"/>
    <col min="7" max="7" width="7.25390625" style="0" customWidth="1"/>
    <col min="8" max="8" width="8.25390625" style="0" customWidth="1"/>
    <col min="9" max="9" width="8.00390625" style="0" customWidth="1"/>
    <col min="10" max="10" width="8.875" style="0" customWidth="1"/>
    <col min="11" max="11" width="8.625" style="0" customWidth="1"/>
    <col min="12" max="12" width="7.75390625" style="0" customWidth="1"/>
    <col min="13" max="13" width="7.25390625" style="0" customWidth="1"/>
    <col min="14" max="14" width="9.00390625" style="0" customWidth="1"/>
    <col min="15" max="15" width="8.375" style="0" customWidth="1"/>
  </cols>
  <sheetData>
    <row r="1" spans="1:15" ht="12.75">
      <c r="A1" s="1064" t="s">
        <v>156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</row>
    <row r="2" spans="1:15" ht="26.25" customHeight="1" thickBot="1">
      <c r="A2" s="1065" t="s">
        <v>616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</row>
    <row r="3" spans="1:16" ht="25.5" customHeight="1" thickBot="1">
      <c r="A3" s="316" t="s">
        <v>574</v>
      </c>
      <c r="B3" s="317" t="s">
        <v>575</v>
      </c>
      <c r="C3" s="318" t="s">
        <v>576</v>
      </c>
      <c r="D3" s="318" t="s">
        <v>577</v>
      </c>
      <c r="E3" s="318" t="s">
        <v>578</v>
      </c>
      <c r="F3" s="318" t="s">
        <v>579</v>
      </c>
      <c r="G3" s="318" t="s">
        <v>580</v>
      </c>
      <c r="H3" s="318" t="s">
        <v>581</v>
      </c>
      <c r="I3" s="318" t="s">
        <v>582</v>
      </c>
      <c r="J3" s="318" t="s">
        <v>583</v>
      </c>
      <c r="K3" s="318" t="s">
        <v>584</v>
      </c>
      <c r="L3" s="318" t="s">
        <v>585</v>
      </c>
      <c r="M3" s="318" t="s">
        <v>586</v>
      </c>
      <c r="N3" s="318" t="s">
        <v>587</v>
      </c>
      <c r="O3" s="319" t="s">
        <v>552</v>
      </c>
      <c r="P3" s="9"/>
    </row>
    <row r="4" spans="1:16" ht="18.75" customHeight="1" thickBot="1">
      <c r="A4" s="320" t="s">
        <v>390</v>
      </c>
      <c r="B4" s="1061" t="s">
        <v>589</v>
      </c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3"/>
      <c r="P4" s="9"/>
    </row>
    <row r="5" spans="1:16" ht="22.5">
      <c r="A5" s="321" t="s">
        <v>350</v>
      </c>
      <c r="B5" s="322" t="s">
        <v>608</v>
      </c>
      <c r="C5" s="323">
        <v>41582</v>
      </c>
      <c r="D5" s="324">
        <v>41582</v>
      </c>
      <c r="E5" s="324">
        <f>54960+41582-5841</f>
        <v>90701</v>
      </c>
      <c r="F5" s="324">
        <f>2667+41582</f>
        <v>44249</v>
      </c>
      <c r="G5" s="324">
        <v>41582</v>
      </c>
      <c r="H5" s="324">
        <f>49698+41582</f>
        <v>91280</v>
      </c>
      <c r="I5" s="324">
        <f>-1118+41582+60</f>
        <v>40524</v>
      </c>
      <c r="J5" s="324">
        <v>41582</v>
      </c>
      <c r="K5" s="324">
        <f>33330+41582</f>
        <v>74912</v>
      </c>
      <c r="L5" s="324">
        <v>41582</v>
      </c>
      <c r="M5" s="324">
        <f>3750+41582</f>
        <v>45332</v>
      </c>
      <c r="N5" s="324">
        <v>68971</v>
      </c>
      <c r="O5" s="325">
        <f>SUM(C5:N5)</f>
        <v>663879</v>
      </c>
      <c r="P5" s="10"/>
    </row>
    <row r="6" spans="1:16" ht="33.75">
      <c r="A6" s="326" t="s">
        <v>396</v>
      </c>
      <c r="B6" s="327" t="s">
        <v>609</v>
      </c>
      <c r="C6" s="328"/>
      <c r="D6" s="329"/>
      <c r="E6" s="329">
        <v>7218</v>
      </c>
      <c r="F6" s="329"/>
      <c r="G6" s="329"/>
      <c r="H6" s="329">
        <f>-129675+377230+1745</f>
        <v>249300</v>
      </c>
      <c r="I6" s="329">
        <v>1118</v>
      </c>
      <c r="J6" s="329">
        <v>6096</v>
      </c>
      <c r="K6" s="329">
        <v>1500000</v>
      </c>
      <c r="L6" s="329">
        <v>96874</v>
      </c>
      <c r="M6" s="329"/>
      <c r="N6" s="329"/>
      <c r="O6" s="330">
        <f aca="true" t="shared" si="0" ref="O6:O12">SUM(C6:N6)</f>
        <v>1860606</v>
      </c>
      <c r="P6" s="10"/>
    </row>
    <row r="7" spans="1:16" ht="12.75">
      <c r="A7" s="326" t="s">
        <v>397</v>
      </c>
      <c r="B7" s="327" t="s">
        <v>610</v>
      </c>
      <c r="C7" s="331">
        <v>2000</v>
      </c>
      <c r="D7" s="332">
        <v>3000</v>
      </c>
      <c r="E7" s="332">
        <v>100</v>
      </c>
      <c r="F7" s="332">
        <v>50000</v>
      </c>
      <c r="G7" s="332">
        <v>8000</v>
      </c>
      <c r="H7" s="332">
        <v>1500</v>
      </c>
      <c r="I7" s="332">
        <v>900</v>
      </c>
      <c r="J7" s="332">
        <v>800</v>
      </c>
      <c r="K7" s="332">
        <v>245</v>
      </c>
      <c r="L7" s="332">
        <v>50000</v>
      </c>
      <c r="M7" s="332">
        <v>2039</v>
      </c>
      <c r="N7" s="332">
        <v>27000</v>
      </c>
      <c r="O7" s="330">
        <f t="shared" si="0"/>
        <v>145584</v>
      </c>
      <c r="P7" s="10"/>
    </row>
    <row r="8" spans="1:16" ht="12.75">
      <c r="A8" s="326" t="s">
        <v>372</v>
      </c>
      <c r="B8" s="327" t="s">
        <v>611</v>
      </c>
      <c r="C8" s="328"/>
      <c r="D8" s="329"/>
      <c r="E8" s="329"/>
      <c r="F8" s="329"/>
      <c r="G8" s="329">
        <f>-34012+120000</f>
        <v>85988</v>
      </c>
      <c r="H8" s="329">
        <v>3837</v>
      </c>
      <c r="I8" s="329">
        <v>761</v>
      </c>
      <c r="J8" s="329">
        <v>184951</v>
      </c>
      <c r="K8" s="329">
        <v>9111</v>
      </c>
      <c r="L8" s="329"/>
      <c r="M8" s="329">
        <v>3091</v>
      </c>
      <c r="N8" s="329"/>
      <c r="O8" s="330">
        <f t="shared" si="0"/>
        <v>287739</v>
      </c>
      <c r="P8" s="10"/>
    </row>
    <row r="9" spans="1:16" ht="12.75">
      <c r="A9" s="326" t="s">
        <v>375</v>
      </c>
      <c r="B9" s="12" t="s">
        <v>422</v>
      </c>
      <c r="C9" s="328"/>
      <c r="D9" s="329"/>
      <c r="E9" s="329"/>
      <c r="F9" s="329"/>
      <c r="G9" s="329"/>
      <c r="H9" s="329"/>
      <c r="I9" s="329"/>
      <c r="J9" s="329"/>
      <c r="K9" s="329">
        <v>621</v>
      </c>
      <c r="L9" s="329"/>
      <c r="M9" s="329"/>
      <c r="N9" s="329"/>
      <c r="O9" s="330">
        <f t="shared" si="0"/>
        <v>621</v>
      </c>
      <c r="P9" s="10"/>
    </row>
    <row r="10" spans="1:16" ht="22.5">
      <c r="A10" s="326" t="s">
        <v>384</v>
      </c>
      <c r="B10" s="333" t="s">
        <v>307</v>
      </c>
      <c r="C10" s="328">
        <v>33</v>
      </c>
      <c r="D10" s="329">
        <v>33</v>
      </c>
      <c r="E10" s="329">
        <v>1533</v>
      </c>
      <c r="F10" s="329">
        <v>8596</v>
      </c>
      <c r="G10" s="329">
        <v>20</v>
      </c>
      <c r="H10" s="329">
        <v>30</v>
      </c>
      <c r="I10" s="329">
        <v>30</v>
      </c>
      <c r="J10" s="329">
        <v>30</v>
      </c>
      <c r="K10" s="329">
        <v>40</v>
      </c>
      <c r="L10" s="329">
        <v>40</v>
      </c>
      <c r="M10" s="329">
        <v>35</v>
      </c>
      <c r="N10" s="329">
        <v>43</v>
      </c>
      <c r="O10" s="330">
        <f t="shared" si="0"/>
        <v>10463</v>
      </c>
      <c r="P10" s="10"/>
    </row>
    <row r="11" spans="1:16" ht="22.5">
      <c r="A11" s="326" t="s">
        <v>567</v>
      </c>
      <c r="B11" s="333" t="s">
        <v>612</v>
      </c>
      <c r="C11" s="328"/>
      <c r="D11" s="329"/>
      <c r="E11" s="329"/>
      <c r="F11" s="329"/>
      <c r="G11" s="329"/>
      <c r="H11" s="329">
        <v>4568</v>
      </c>
      <c r="I11" s="329"/>
      <c r="J11" s="329">
        <v>203480</v>
      </c>
      <c r="K11" s="329">
        <v>6</v>
      </c>
      <c r="L11" s="329"/>
      <c r="M11" s="329"/>
      <c r="N11" s="329">
        <v>1701</v>
      </c>
      <c r="O11" s="330">
        <f t="shared" si="0"/>
        <v>209755</v>
      </c>
      <c r="P11" s="10"/>
    </row>
    <row r="12" spans="1:16" ht="13.5" thickBot="1">
      <c r="A12" s="326" t="s">
        <v>443</v>
      </c>
      <c r="B12" s="13" t="s">
        <v>613</v>
      </c>
      <c r="C12" s="328">
        <v>35000</v>
      </c>
      <c r="D12" s="329">
        <v>23402</v>
      </c>
      <c r="E12" s="329">
        <v>20234</v>
      </c>
      <c r="F12" s="329">
        <f>1324+1299</f>
        <v>2623</v>
      </c>
      <c r="G12" s="329"/>
      <c r="H12" s="329">
        <v>22074</v>
      </c>
      <c r="I12" s="329"/>
      <c r="J12" s="329"/>
      <c r="K12" s="329"/>
      <c r="L12" s="329"/>
      <c r="M12" s="329"/>
      <c r="N12" s="329">
        <v>2640</v>
      </c>
      <c r="O12" s="330">
        <f t="shared" si="0"/>
        <v>105973</v>
      </c>
      <c r="P12" s="10"/>
    </row>
    <row r="13" spans="1:16" ht="13.5" thickBot="1">
      <c r="A13" s="326" t="s">
        <v>569</v>
      </c>
      <c r="B13" s="334" t="s">
        <v>590</v>
      </c>
      <c r="C13" s="335">
        <f aca="true" t="shared" si="1" ref="C13:O13">SUM(C5:C12)</f>
        <v>78615</v>
      </c>
      <c r="D13" s="335">
        <f t="shared" si="1"/>
        <v>68017</v>
      </c>
      <c r="E13" s="335">
        <f t="shared" si="1"/>
        <v>119786</v>
      </c>
      <c r="F13" s="335">
        <f t="shared" si="1"/>
        <v>105468</v>
      </c>
      <c r="G13" s="335">
        <f t="shared" si="1"/>
        <v>135590</v>
      </c>
      <c r="H13" s="335">
        <f t="shared" si="1"/>
        <v>372589</v>
      </c>
      <c r="I13" s="335">
        <f t="shared" si="1"/>
        <v>43333</v>
      </c>
      <c r="J13" s="335">
        <f t="shared" si="1"/>
        <v>436939</v>
      </c>
      <c r="K13" s="335">
        <f t="shared" si="1"/>
        <v>1584935</v>
      </c>
      <c r="L13" s="335">
        <f t="shared" si="1"/>
        <v>188496</v>
      </c>
      <c r="M13" s="335">
        <f t="shared" si="1"/>
        <v>50497</v>
      </c>
      <c r="N13" s="335">
        <f t="shared" si="1"/>
        <v>100355</v>
      </c>
      <c r="O13" s="336">
        <f t="shared" si="1"/>
        <v>3284620</v>
      </c>
      <c r="P13" s="10"/>
    </row>
    <row r="14" spans="1:16" ht="13.5" thickBot="1">
      <c r="A14" s="326" t="s">
        <v>444</v>
      </c>
      <c r="B14" s="1061" t="s">
        <v>332</v>
      </c>
      <c r="C14" s="1062"/>
      <c r="D14" s="1062"/>
      <c r="E14" s="1062"/>
      <c r="F14" s="1062"/>
      <c r="G14" s="1062"/>
      <c r="H14" s="1062"/>
      <c r="I14" s="1062"/>
      <c r="J14" s="1062"/>
      <c r="K14" s="1062"/>
      <c r="L14" s="1062"/>
      <c r="M14" s="1062"/>
      <c r="N14" s="1062"/>
      <c r="O14" s="1063"/>
      <c r="P14" s="10"/>
    </row>
    <row r="15" spans="1:16" ht="12.75">
      <c r="A15" s="337" t="s">
        <v>445</v>
      </c>
      <c r="B15" s="338" t="s">
        <v>600</v>
      </c>
      <c r="C15" s="332">
        <v>25160</v>
      </c>
      <c r="D15" s="332">
        <v>25160</v>
      </c>
      <c r="E15" s="332">
        <f>3450+25160</f>
        <v>28610</v>
      </c>
      <c r="F15" s="339">
        <f>1992+28610+1043</f>
        <v>31645</v>
      </c>
      <c r="G15" s="332">
        <f>3450+25160</f>
        <v>28610</v>
      </c>
      <c r="H15" s="332">
        <f>8000+28610-417-472</f>
        <v>35721</v>
      </c>
      <c r="I15" s="332">
        <f>3450+25160+8000</f>
        <v>36610</v>
      </c>
      <c r="J15" s="332">
        <f>8000+28610</f>
        <v>36610</v>
      </c>
      <c r="K15" s="332">
        <f>3450+25160+8949+22036</f>
        <v>59595</v>
      </c>
      <c r="L15" s="332">
        <v>28610</v>
      </c>
      <c r="M15" s="332">
        <v>39029</v>
      </c>
      <c r="N15" s="332">
        <v>55063</v>
      </c>
      <c r="O15" s="330">
        <f>SUM(C15:N15)</f>
        <v>430423</v>
      </c>
      <c r="P15" s="10"/>
    </row>
    <row r="16" spans="1:16" ht="22.5">
      <c r="A16" s="337" t="s">
        <v>446</v>
      </c>
      <c r="B16" s="340" t="s">
        <v>601</v>
      </c>
      <c r="C16" s="329">
        <v>6157</v>
      </c>
      <c r="D16" s="329">
        <v>6157</v>
      </c>
      <c r="E16" s="329">
        <f>480+6157</f>
        <v>6637</v>
      </c>
      <c r="F16" s="329">
        <f>554+6637+281</f>
        <v>7472</v>
      </c>
      <c r="G16" s="329">
        <v>6637</v>
      </c>
      <c r="H16" s="329">
        <f>500+6637+901-87</f>
        <v>7951</v>
      </c>
      <c r="I16" s="329">
        <f>500+6637-2784</f>
        <v>4353</v>
      </c>
      <c r="J16" s="329">
        <f>6637+500</f>
        <v>7137</v>
      </c>
      <c r="K16" s="329">
        <f>500+6637+3218</f>
        <v>10355</v>
      </c>
      <c r="L16" s="329">
        <f>500+6637</f>
        <v>7137</v>
      </c>
      <c r="M16" s="329">
        <v>7850</v>
      </c>
      <c r="N16" s="329">
        <v>15800</v>
      </c>
      <c r="O16" s="330">
        <f aca="true" t="shared" si="2" ref="O16:O23">SUM(C16:N16)</f>
        <v>93643</v>
      </c>
      <c r="P16" s="10"/>
    </row>
    <row r="17" spans="1:16" ht="12.75">
      <c r="A17" s="337" t="s">
        <v>591</v>
      </c>
      <c r="B17" s="340" t="s">
        <v>602</v>
      </c>
      <c r="C17" s="329">
        <v>25000</v>
      </c>
      <c r="D17" s="329">
        <v>25000</v>
      </c>
      <c r="E17" s="14">
        <f>232+20000</f>
        <v>20232</v>
      </c>
      <c r="F17" s="329">
        <f>1222+35019</f>
        <v>36241</v>
      </c>
      <c r="G17" s="329">
        <v>25000</v>
      </c>
      <c r="H17" s="329">
        <f>5000+15000+1225-774+1682</f>
        <v>22133</v>
      </c>
      <c r="I17" s="329">
        <f>5000+12000-2930</f>
        <v>14070</v>
      </c>
      <c r="J17" s="329">
        <f>2747+12000</f>
        <v>14747</v>
      </c>
      <c r="K17" s="329">
        <f>8301+15000</f>
        <v>23301</v>
      </c>
      <c r="L17" s="329">
        <v>15896</v>
      </c>
      <c r="M17" s="329">
        <v>28186</v>
      </c>
      <c r="N17" s="329">
        <v>31333</v>
      </c>
      <c r="O17" s="330">
        <f t="shared" si="2"/>
        <v>281139</v>
      </c>
      <c r="P17" s="10"/>
    </row>
    <row r="18" spans="1:16" ht="12.75">
      <c r="A18" s="337" t="s">
        <v>592</v>
      </c>
      <c r="B18" s="11" t="s">
        <v>340</v>
      </c>
      <c r="C18" s="329">
        <v>9580</v>
      </c>
      <c r="D18" s="329">
        <v>9500</v>
      </c>
      <c r="E18" s="329">
        <v>9500</v>
      </c>
      <c r="F18" s="329">
        <v>9500</v>
      </c>
      <c r="G18" s="329">
        <v>9500</v>
      </c>
      <c r="H18" s="329">
        <v>8404</v>
      </c>
      <c r="I18" s="329">
        <v>6500</v>
      </c>
      <c r="J18" s="329">
        <v>7000</v>
      </c>
      <c r="K18" s="329">
        <v>6500</v>
      </c>
      <c r="L18" s="329">
        <v>6500</v>
      </c>
      <c r="M18" s="329">
        <v>6500</v>
      </c>
      <c r="N18" s="329"/>
      <c r="O18" s="330">
        <f t="shared" si="2"/>
        <v>88984</v>
      </c>
      <c r="P18" s="10"/>
    </row>
    <row r="19" spans="1:16" ht="12.75">
      <c r="A19" s="337" t="s">
        <v>593</v>
      </c>
      <c r="B19" s="341" t="s">
        <v>603</v>
      </c>
      <c r="C19" s="329">
        <v>1000</v>
      </c>
      <c r="D19" s="329">
        <v>1200</v>
      </c>
      <c r="E19" s="329">
        <v>1800</v>
      </c>
      <c r="F19" s="329">
        <f>-381+9758</f>
        <v>9377</v>
      </c>
      <c r="G19" s="329">
        <v>1600</v>
      </c>
      <c r="H19" s="329">
        <f>-2733+70187-2284-335</f>
        <v>64835</v>
      </c>
      <c r="I19" s="329">
        <f>4758+1500</f>
        <v>6258</v>
      </c>
      <c r="J19" s="329">
        <v>1500</v>
      </c>
      <c r="K19" s="329">
        <f>-2567+6586</f>
        <v>4019</v>
      </c>
      <c r="L19" s="329"/>
      <c r="M19" s="329"/>
      <c r="N19" s="329">
        <v>27656</v>
      </c>
      <c r="O19" s="330">
        <f t="shared" si="2"/>
        <v>119245</v>
      </c>
      <c r="P19" s="10"/>
    </row>
    <row r="20" spans="1:16" ht="12.75">
      <c r="A20" s="337" t="s">
        <v>594</v>
      </c>
      <c r="B20" s="340" t="s">
        <v>604</v>
      </c>
      <c r="C20" s="329"/>
      <c r="D20" s="329"/>
      <c r="E20" s="329">
        <v>10179</v>
      </c>
      <c r="F20" s="329">
        <v>8058</v>
      </c>
      <c r="G20" s="329"/>
      <c r="H20" s="329">
        <f>4779+3031+1024+774+275</f>
        <v>9883</v>
      </c>
      <c r="I20" s="329">
        <f>1717+143</f>
        <v>1860</v>
      </c>
      <c r="J20" s="329">
        <v>2666</v>
      </c>
      <c r="K20" s="329">
        <v>2000000</v>
      </c>
      <c r="L20" s="329">
        <v>211921</v>
      </c>
      <c r="M20" s="329">
        <f>90+1447</f>
        <v>1537</v>
      </c>
      <c r="N20" s="329">
        <v>5479</v>
      </c>
      <c r="O20" s="330">
        <f t="shared" si="2"/>
        <v>2251583</v>
      </c>
      <c r="P20" s="10"/>
    </row>
    <row r="21" spans="1:16" ht="12.75">
      <c r="A21" s="337" t="s">
        <v>595</v>
      </c>
      <c r="B21" s="340" t="s">
        <v>605</v>
      </c>
      <c r="C21" s="329"/>
      <c r="D21" s="329">
        <v>1000</v>
      </c>
      <c r="E21" s="329"/>
      <c r="F21" s="329">
        <v>2000</v>
      </c>
      <c r="G21" s="329"/>
      <c r="H21" s="329">
        <v>500</v>
      </c>
      <c r="I21" s="329"/>
      <c r="J21" s="329"/>
      <c r="K21" s="329"/>
      <c r="L21" s="329"/>
      <c r="M21" s="329">
        <v>580</v>
      </c>
      <c r="N21" s="329"/>
      <c r="O21" s="330">
        <f t="shared" si="2"/>
        <v>4080</v>
      </c>
      <c r="P21" s="10"/>
    </row>
    <row r="22" spans="1:16" ht="12.75">
      <c r="A22" s="337" t="s">
        <v>596</v>
      </c>
      <c r="B22" s="340" t="s">
        <v>606</v>
      </c>
      <c r="C22" s="329"/>
      <c r="D22" s="329"/>
      <c r="E22" s="329">
        <v>1897</v>
      </c>
      <c r="F22" s="329"/>
      <c r="G22" s="329"/>
      <c r="H22" s="329">
        <v>8405</v>
      </c>
      <c r="I22" s="329"/>
      <c r="J22" s="329"/>
      <c r="K22" s="329"/>
      <c r="L22" s="329"/>
      <c r="M22" s="329">
        <v>5221</v>
      </c>
      <c r="N22" s="329"/>
      <c r="O22" s="330">
        <f t="shared" si="2"/>
        <v>15523</v>
      </c>
      <c r="P22" s="10"/>
    </row>
    <row r="23" spans="1:16" ht="13.5" thickBot="1">
      <c r="A23" s="337" t="s">
        <v>597</v>
      </c>
      <c r="B23" s="340" t="s">
        <v>607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30">
        <f t="shared" si="2"/>
        <v>0</v>
      </c>
      <c r="P23" s="10"/>
    </row>
    <row r="24" spans="1:16" ht="13.5" thickBot="1">
      <c r="A24" s="342" t="s">
        <v>598</v>
      </c>
      <c r="B24" s="334" t="s">
        <v>599</v>
      </c>
      <c r="C24" s="335">
        <f aca="true" t="shared" si="3" ref="C24:N24">SUM(C15:C23)</f>
        <v>66897</v>
      </c>
      <c r="D24" s="335">
        <f t="shared" si="3"/>
        <v>68017</v>
      </c>
      <c r="E24" s="335">
        <f t="shared" si="3"/>
        <v>78855</v>
      </c>
      <c r="F24" s="335">
        <f t="shared" si="3"/>
        <v>104293</v>
      </c>
      <c r="G24" s="335">
        <f t="shared" si="3"/>
        <v>71347</v>
      </c>
      <c r="H24" s="335">
        <f t="shared" si="3"/>
        <v>157832</v>
      </c>
      <c r="I24" s="335">
        <f t="shared" si="3"/>
        <v>69651</v>
      </c>
      <c r="J24" s="335">
        <f t="shared" si="3"/>
        <v>69660</v>
      </c>
      <c r="K24" s="335">
        <f t="shared" si="3"/>
        <v>2103770</v>
      </c>
      <c r="L24" s="335">
        <f t="shared" si="3"/>
        <v>270064</v>
      </c>
      <c r="M24" s="335">
        <f t="shared" si="3"/>
        <v>88903</v>
      </c>
      <c r="N24" s="335">
        <f t="shared" si="3"/>
        <v>135331</v>
      </c>
      <c r="O24" s="336">
        <f>SUM(C24:N24)</f>
        <v>3284620</v>
      </c>
      <c r="P24" s="10"/>
    </row>
    <row r="25" spans="1:15" ht="13.5" thickBot="1">
      <c r="A25" s="320" t="s">
        <v>615</v>
      </c>
      <c r="B25" s="343" t="s">
        <v>614</v>
      </c>
      <c r="C25" s="344">
        <f>C13-C24</f>
        <v>11718</v>
      </c>
      <c r="D25" s="344">
        <f>C25+D13-D24</f>
        <v>11718</v>
      </c>
      <c r="E25" s="344">
        <f aca="true" t="shared" si="4" ref="E25:N25">D25+E13-E24</f>
        <v>52649</v>
      </c>
      <c r="F25" s="344">
        <f t="shared" si="4"/>
        <v>53824</v>
      </c>
      <c r="G25" s="344">
        <f t="shared" si="4"/>
        <v>118067</v>
      </c>
      <c r="H25" s="344">
        <f t="shared" si="4"/>
        <v>332824</v>
      </c>
      <c r="I25" s="344">
        <f t="shared" si="4"/>
        <v>306506</v>
      </c>
      <c r="J25" s="344">
        <f t="shared" si="4"/>
        <v>673785</v>
      </c>
      <c r="K25" s="344">
        <f t="shared" si="4"/>
        <v>154950</v>
      </c>
      <c r="L25" s="344">
        <f t="shared" si="4"/>
        <v>73382</v>
      </c>
      <c r="M25" s="344">
        <f t="shared" si="4"/>
        <v>34976</v>
      </c>
      <c r="N25" s="344">
        <f t="shared" si="4"/>
        <v>0</v>
      </c>
      <c r="O25" s="345">
        <f>O13-O24</f>
        <v>0</v>
      </c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1:6" ht="12.75">
      <c r="A28" s="966" t="s">
        <v>151</v>
      </c>
      <c r="B28" s="966"/>
      <c r="C28" s="966"/>
      <c r="D28" s="966"/>
      <c r="E28" s="966"/>
      <c r="F28" s="966"/>
    </row>
  </sheetData>
  <sheetProtection/>
  <mergeCells count="5">
    <mergeCell ref="A28:F28"/>
    <mergeCell ref="B4:O4"/>
    <mergeCell ref="B14:O14"/>
    <mergeCell ref="A1:O1"/>
    <mergeCell ref="A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8.25390625" style="0" customWidth="1"/>
    <col min="2" max="2" width="62.00390625" style="0" customWidth="1"/>
    <col min="3" max="3" width="12.00390625" style="0" customWidth="1"/>
    <col min="4" max="4" width="11.625" style="0" customWidth="1"/>
    <col min="5" max="5" width="12.25390625" style="0" customWidth="1"/>
  </cols>
  <sheetData>
    <row r="1" spans="1:3" ht="12.75">
      <c r="A1" s="1067" t="s">
        <v>153</v>
      </c>
      <c r="B1" s="1068"/>
      <c r="C1" s="1068"/>
    </row>
    <row r="2" spans="1:4" ht="12.75">
      <c r="A2" s="1072"/>
      <c r="B2" s="1072"/>
      <c r="C2" s="1072"/>
      <c r="D2" s="1072"/>
    </row>
    <row r="3" spans="1:4" ht="12.75">
      <c r="A3" s="1072"/>
      <c r="B3" s="1072"/>
      <c r="C3" s="1072"/>
      <c r="D3" s="1072"/>
    </row>
    <row r="4" spans="1:5" ht="12.75">
      <c r="A4" s="1073"/>
      <c r="B4" s="1073"/>
      <c r="C4" s="1073"/>
      <c r="D4" s="1073"/>
      <c r="E4" s="1073"/>
    </row>
    <row r="5" spans="1:5" ht="50.25" customHeight="1">
      <c r="A5" s="1069" t="s">
        <v>886</v>
      </c>
      <c r="B5" s="1069"/>
      <c r="C5" s="1069"/>
      <c r="D5" s="1069"/>
      <c r="E5" s="1069"/>
    </row>
    <row r="6" spans="1:5" ht="13.5" thickBot="1">
      <c r="A6" s="144"/>
      <c r="B6" s="144"/>
      <c r="C6" s="144"/>
      <c r="D6" s="144"/>
      <c r="E6" s="144"/>
    </row>
    <row r="7" spans="1:5" ht="27.75" customHeight="1" thickBot="1">
      <c r="A7" s="15" t="s">
        <v>574</v>
      </c>
      <c r="B7" s="16" t="s">
        <v>635</v>
      </c>
      <c r="C7" s="145" t="s">
        <v>643</v>
      </c>
      <c r="D7" s="145" t="s">
        <v>644</v>
      </c>
      <c r="E7" s="146" t="s">
        <v>645</v>
      </c>
    </row>
    <row r="8" spans="1:5" ht="13.5" thickBot="1">
      <c r="A8" s="147">
        <v>1</v>
      </c>
      <c r="B8" s="148">
        <v>2</v>
      </c>
      <c r="C8" s="149">
        <v>3</v>
      </c>
      <c r="D8" s="150"/>
      <c r="E8" s="151"/>
    </row>
    <row r="9" spans="1:5" ht="12.75">
      <c r="A9" s="17" t="s">
        <v>390</v>
      </c>
      <c r="B9" s="152" t="s">
        <v>636</v>
      </c>
      <c r="C9" s="153">
        <v>113000</v>
      </c>
      <c r="D9" s="154">
        <v>113000</v>
      </c>
      <c r="E9" s="155">
        <f>D9</f>
        <v>113000</v>
      </c>
    </row>
    <row r="10" spans="1:5" ht="24.75" customHeight="1">
      <c r="A10" s="156" t="s">
        <v>350</v>
      </c>
      <c r="B10" s="157" t="s">
        <v>639</v>
      </c>
      <c r="C10" s="158"/>
      <c r="D10" s="159"/>
      <c r="E10" s="160"/>
    </row>
    <row r="11" spans="1:5" ht="12.75">
      <c r="A11" s="156" t="s">
        <v>396</v>
      </c>
      <c r="B11" s="161" t="s">
        <v>640</v>
      </c>
      <c r="C11" s="158">
        <v>1400</v>
      </c>
      <c r="D11" s="159">
        <v>1400</v>
      </c>
      <c r="E11" s="160">
        <v>1400</v>
      </c>
    </row>
    <row r="12" spans="1:5" ht="39" customHeight="1">
      <c r="A12" s="156" t="s">
        <v>397</v>
      </c>
      <c r="B12" s="162" t="s">
        <v>641</v>
      </c>
      <c r="C12" s="158"/>
      <c r="D12" s="159"/>
      <c r="E12" s="160"/>
    </row>
    <row r="13" spans="1:5" ht="12.75">
      <c r="A13" s="156" t="s">
        <v>372</v>
      </c>
      <c r="B13" s="161" t="s">
        <v>642</v>
      </c>
      <c r="C13" s="158">
        <v>1000</v>
      </c>
      <c r="D13" s="159">
        <v>1000</v>
      </c>
      <c r="E13" s="160">
        <v>1000</v>
      </c>
    </row>
    <row r="14" spans="1:5" ht="13.5" thickBot="1">
      <c r="A14" s="163" t="s">
        <v>375</v>
      </c>
      <c r="B14" s="164" t="s">
        <v>637</v>
      </c>
      <c r="C14" s="165"/>
      <c r="D14" s="166"/>
      <c r="E14" s="167"/>
    </row>
    <row r="15" spans="1:5" ht="13.5" thickBot="1">
      <c r="A15" s="1070" t="s">
        <v>638</v>
      </c>
      <c r="B15" s="1071"/>
      <c r="C15" s="168">
        <f>SUM(C9:C14)</f>
        <v>115400</v>
      </c>
      <c r="D15" s="169">
        <f>SUM(D9:D14)</f>
        <v>115400</v>
      </c>
      <c r="E15" s="170">
        <f>SUM(E9:E14)</f>
        <v>115400</v>
      </c>
    </row>
    <row r="16" spans="1:5" ht="12.75">
      <c r="A16" s="144"/>
      <c r="B16" s="144"/>
      <c r="C16" s="144"/>
      <c r="D16" s="144"/>
      <c r="E16" s="144"/>
    </row>
    <row r="17" spans="1:5" ht="12.75">
      <c r="A17" s="144"/>
      <c r="B17" s="144"/>
      <c r="C17" s="144"/>
      <c r="D17" s="144"/>
      <c r="E17" s="144"/>
    </row>
  </sheetData>
  <sheetProtection/>
  <mergeCells count="6">
    <mergeCell ref="A1:C1"/>
    <mergeCell ref="A5:E5"/>
    <mergeCell ref="A15:B15"/>
    <mergeCell ref="A2:D2"/>
    <mergeCell ref="A3:D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0" customWidth="1"/>
    <col min="2" max="2" width="66.75390625" style="0" customWidth="1"/>
    <col min="3" max="3" width="31.375" style="0" customWidth="1"/>
  </cols>
  <sheetData>
    <row r="1" spans="1:3" ht="12.75">
      <c r="A1" s="1074" t="s">
        <v>77</v>
      </c>
      <c r="B1" s="1075"/>
      <c r="C1" s="1075"/>
    </row>
    <row r="2" spans="1:3" ht="12.75">
      <c r="A2" s="171"/>
      <c r="B2" s="171"/>
      <c r="C2" s="171"/>
    </row>
    <row r="3" spans="1:3" ht="12.75">
      <c r="A3" s="1076" t="s">
        <v>748</v>
      </c>
      <c r="B3" s="1076"/>
      <c r="C3" s="1076"/>
    </row>
    <row r="4" spans="1:3" ht="12.75">
      <c r="A4" s="172"/>
      <c r="B4" s="172"/>
      <c r="C4" s="173" t="s">
        <v>724</v>
      </c>
    </row>
    <row r="5" spans="1:3" ht="23.25" customHeight="1">
      <c r="A5" s="174" t="s">
        <v>574</v>
      </c>
      <c r="B5" s="174" t="s">
        <v>725</v>
      </c>
      <c r="C5" s="174" t="s">
        <v>726</v>
      </c>
    </row>
    <row r="6" spans="1:3" ht="24">
      <c r="A6" s="174" t="s">
        <v>390</v>
      </c>
      <c r="B6" s="62" t="s">
        <v>756</v>
      </c>
      <c r="C6" s="176">
        <v>2615169</v>
      </c>
    </row>
    <row r="7" spans="1:3" ht="12.75">
      <c r="A7" s="174" t="s">
        <v>350</v>
      </c>
      <c r="B7" s="62" t="s">
        <v>758</v>
      </c>
      <c r="C7" s="177">
        <v>648910</v>
      </c>
    </row>
    <row r="8" spans="1:3" ht="12.75">
      <c r="A8" s="174" t="s">
        <v>396</v>
      </c>
      <c r="B8" s="62" t="s">
        <v>727</v>
      </c>
      <c r="C8" s="178">
        <v>110460</v>
      </c>
    </row>
    <row r="9" spans="1:3" ht="12.75">
      <c r="A9" s="174" t="s">
        <v>397</v>
      </c>
      <c r="B9" s="62" t="s">
        <v>728</v>
      </c>
      <c r="C9" s="178">
        <v>452693</v>
      </c>
    </row>
    <row r="10" spans="1:3" ht="12.75">
      <c r="A10" s="174" t="s">
        <v>372</v>
      </c>
      <c r="B10" s="175" t="s">
        <v>729</v>
      </c>
      <c r="C10" s="179">
        <f>C6+C7+C8+C9</f>
        <v>3827232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875" style="0" customWidth="1"/>
    <col min="2" max="2" width="32.875" style="0" customWidth="1"/>
    <col min="3" max="3" width="12.375" style="0" customWidth="1"/>
    <col min="4" max="4" width="11.125" style="0" customWidth="1"/>
    <col min="5" max="5" width="15.125" style="0" customWidth="1"/>
    <col min="6" max="6" width="11.125" style="0" customWidth="1"/>
  </cols>
  <sheetData>
    <row r="1" spans="1:6" ht="12.75">
      <c r="A1" s="1067" t="s">
        <v>76</v>
      </c>
      <c r="B1" s="1067"/>
      <c r="C1" s="1067"/>
      <c r="D1" s="1067"/>
      <c r="E1" s="1067"/>
      <c r="F1" s="1067"/>
    </row>
    <row r="4" spans="1:6" ht="45.75" customHeight="1">
      <c r="A4" s="1077" t="s">
        <v>903</v>
      </c>
      <c r="B4" s="1077"/>
      <c r="C4" s="1077"/>
      <c r="D4" s="1077"/>
      <c r="E4" s="1077"/>
      <c r="F4" s="1077"/>
    </row>
    <row r="5" spans="1:6" ht="14.25" thickBot="1">
      <c r="A5" s="97"/>
      <c r="B5" s="97"/>
      <c r="C5" s="1078"/>
      <c r="D5" s="1078"/>
      <c r="E5" s="1078" t="s">
        <v>895</v>
      </c>
      <c r="F5" s="1078"/>
    </row>
    <row r="6" spans="1:6" ht="12.75">
      <c r="A6" s="1079" t="s">
        <v>574</v>
      </c>
      <c r="B6" s="1081" t="s">
        <v>896</v>
      </c>
      <c r="C6" s="1081" t="s">
        <v>897</v>
      </c>
      <c r="D6" s="1081"/>
      <c r="E6" s="1081"/>
      <c r="F6" s="1083" t="s">
        <v>898</v>
      </c>
    </row>
    <row r="7" spans="1:6" ht="13.5" thickBot="1">
      <c r="A7" s="1080"/>
      <c r="B7" s="1082"/>
      <c r="C7" s="98" t="s">
        <v>899</v>
      </c>
      <c r="D7" s="98" t="s">
        <v>900</v>
      </c>
      <c r="E7" s="98" t="s">
        <v>901</v>
      </c>
      <c r="F7" s="1084"/>
    </row>
    <row r="8" spans="1:6" ht="13.5" thickBot="1">
      <c r="A8" s="86">
        <v>1</v>
      </c>
      <c r="B8" s="87">
        <v>2</v>
      </c>
      <c r="C8" s="87">
        <v>3</v>
      </c>
      <c r="D8" s="87">
        <v>4</v>
      </c>
      <c r="E8" s="87">
        <v>5</v>
      </c>
      <c r="F8" s="88">
        <v>6</v>
      </c>
    </row>
    <row r="9" spans="1:6" ht="12.75">
      <c r="A9" s="181" t="s">
        <v>390</v>
      </c>
      <c r="B9" s="182" t="s">
        <v>931</v>
      </c>
      <c r="C9" s="184" t="s">
        <v>932</v>
      </c>
      <c r="D9" s="183">
        <v>57700</v>
      </c>
      <c r="E9" s="183">
        <v>57700</v>
      </c>
      <c r="F9" s="180">
        <f>C9+D9+E9</f>
        <v>173100</v>
      </c>
    </row>
    <row r="10" spans="1:6" ht="12.75">
      <c r="A10" s="90" t="s">
        <v>350</v>
      </c>
      <c r="B10" s="91"/>
      <c r="C10" s="89"/>
      <c r="D10" s="92"/>
      <c r="E10" s="92"/>
      <c r="F10" s="93">
        <f>SUM(C10:E10)</f>
        <v>0</v>
      </c>
    </row>
    <row r="11" spans="1:6" ht="12.75">
      <c r="A11" s="90" t="s">
        <v>396</v>
      </c>
      <c r="B11" s="91"/>
      <c r="C11" s="92"/>
      <c r="D11" s="92"/>
      <c r="E11" s="92"/>
      <c r="F11" s="93">
        <f>SUM(C11:E11)</f>
        <v>0</v>
      </c>
    </row>
    <row r="12" spans="1:6" ht="12.75">
      <c r="A12" s="90" t="s">
        <v>397</v>
      </c>
      <c r="B12" s="91"/>
      <c r="C12" s="92"/>
      <c r="D12" s="92"/>
      <c r="E12" s="92"/>
      <c r="F12" s="93">
        <f>SUM(C12:E12)</f>
        <v>0</v>
      </c>
    </row>
    <row r="13" spans="1:6" ht="13.5" thickBot="1">
      <c r="A13" s="94" t="s">
        <v>372</v>
      </c>
      <c r="B13" s="95"/>
      <c r="C13" s="96"/>
      <c r="D13" s="96"/>
      <c r="E13" s="96"/>
      <c r="F13" s="93">
        <f>SUM(C13:E13)</f>
        <v>0</v>
      </c>
    </row>
    <row r="14" spans="1:6" ht="13.5" thickBot="1">
      <c r="A14" s="99" t="s">
        <v>375</v>
      </c>
      <c r="B14" s="100" t="s">
        <v>902</v>
      </c>
      <c r="C14" s="101">
        <f>SUM(C9:C13)</f>
        <v>0</v>
      </c>
      <c r="D14" s="101">
        <f>SUM(D9:D13)</f>
        <v>57700</v>
      </c>
      <c r="E14" s="101">
        <f>SUM(E9:E13)</f>
        <v>57700</v>
      </c>
      <c r="F14" s="102">
        <f>SUM(F9:F13)</f>
        <v>173100</v>
      </c>
    </row>
  </sheetData>
  <sheetProtection/>
  <mergeCells count="8">
    <mergeCell ref="A6:A7"/>
    <mergeCell ref="B6:B7"/>
    <mergeCell ref="C6:E6"/>
    <mergeCell ref="F6:F7"/>
    <mergeCell ref="A1:F1"/>
    <mergeCell ref="A4:F4"/>
    <mergeCell ref="C5:D5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8">
      <selection activeCell="A68" sqref="A68:F68"/>
    </sheetView>
  </sheetViews>
  <sheetFormatPr defaultColWidth="9.00390625" defaultRowHeight="10.5" customHeight="1"/>
  <cols>
    <col min="2" max="2" width="41.25390625" style="0" customWidth="1"/>
    <col min="3" max="3" width="11.625" style="0" customWidth="1"/>
    <col min="4" max="4" width="7.625" style="0" customWidth="1"/>
    <col min="5" max="5" width="7.125" style="0" customWidth="1"/>
  </cols>
  <sheetData>
    <row r="1" spans="1:6" ht="10.5" customHeight="1">
      <c r="A1" s="1067" t="s">
        <v>155</v>
      </c>
      <c r="B1" s="1067"/>
      <c r="C1" s="1067"/>
      <c r="D1" s="1067"/>
      <c r="E1" s="1067"/>
      <c r="F1" s="1067"/>
    </row>
    <row r="2" ht="10.5" customHeight="1">
      <c r="F2" t="s">
        <v>917</v>
      </c>
    </row>
    <row r="3" spans="1:6" ht="21" customHeight="1">
      <c r="A3" s="931" t="s">
        <v>15</v>
      </c>
      <c r="B3" s="932" t="s">
        <v>575</v>
      </c>
      <c r="C3" s="932" t="s">
        <v>654</v>
      </c>
      <c r="D3" s="353" t="s">
        <v>73</v>
      </c>
      <c r="E3" s="353" t="s">
        <v>74</v>
      </c>
      <c r="F3" s="932" t="s">
        <v>16</v>
      </c>
    </row>
    <row r="4" spans="1:6" ht="10.5" customHeight="1">
      <c r="A4" s="875" t="s">
        <v>946</v>
      </c>
      <c r="B4" s="932" t="s">
        <v>947</v>
      </c>
      <c r="C4" s="353">
        <v>1000</v>
      </c>
      <c r="D4" s="353"/>
      <c r="E4" s="353"/>
      <c r="F4" s="353">
        <f>C4+D4-E4</f>
        <v>1000</v>
      </c>
    </row>
    <row r="5" spans="1:6" ht="10.5" customHeight="1">
      <c r="A5" s="875" t="s">
        <v>949</v>
      </c>
      <c r="B5" s="932" t="s">
        <v>17</v>
      </c>
      <c r="C5" s="353"/>
      <c r="D5" s="353"/>
      <c r="E5" s="353">
        <v>200</v>
      </c>
      <c r="F5" s="353">
        <f aca="true" t="shared" si="0" ref="F5:F56">F4+D5-E5</f>
        <v>800</v>
      </c>
    </row>
    <row r="6" spans="1:6" ht="10.5" customHeight="1">
      <c r="A6" s="875" t="s">
        <v>950</v>
      </c>
      <c r="B6" s="932" t="s">
        <v>18</v>
      </c>
      <c r="C6" s="353"/>
      <c r="D6" s="353"/>
      <c r="E6" s="353">
        <f>375+1080</f>
        <v>1455</v>
      </c>
      <c r="F6" s="353">
        <f t="shared" si="0"/>
        <v>-655</v>
      </c>
    </row>
    <row r="7" spans="1:6" ht="10.5" customHeight="1">
      <c r="A7" s="875" t="s">
        <v>951</v>
      </c>
      <c r="B7" s="932" t="s">
        <v>19</v>
      </c>
      <c r="C7" s="353"/>
      <c r="D7" s="353">
        <v>165</v>
      </c>
      <c r="E7" s="353"/>
      <c r="F7" s="353">
        <f t="shared" si="0"/>
        <v>-490</v>
      </c>
    </row>
    <row r="8" spans="1:6" ht="10.5" customHeight="1">
      <c r="A8" s="875" t="s">
        <v>952</v>
      </c>
      <c r="B8" s="932" t="s">
        <v>20</v>
      </c>
      <c r="C8" s="353"/>
      <c r="D8" s="353">
        <v>932</v>
      </c>
      <c r="E8" s="353"/>
      <c r="F8" s="353">
        <f t="shared" si="0"/>
        <v>442</v>
      </c>
    </row>
    <row r="9" spans="1:6" ht="10.5" customHeight="1">
      <c r="A9" s="875" t="s">
        <v>21</v>
      </c>
      <c r="B9" s="932" t="s">
        <v>22</v>
      </c>
      <c r="C9" s="353"/>
      <c r="D9" s="353"/>
      <c r="E9" s="353">
        <v>100</v>
      </c>
      <c r="F9" s="353">
        <f t="shared" si="0"/>
        <v>342</v>
      </c>
    </row>
    <row r="10" spans="1:6" ht="10.5" customHeight="1">
      <c r="A10" s="875" t="s">
        <v>23</v>
      </c>
      <c r="B10" s="932" t="s">
        <v>24</v>
      </c>
      <c r="C10" s="353"/>
      <c r="D10" s="353"/>
      <c r="E10" s="353">
        <v>50</v>
      </c>
      <c r="F10" s="353">
        <f t="shared" si="0"/>
        <v>292</v>
      </c>
    </row>
    <row r="11" spans="1:6" ht="10.5" customHeight="1">
      <c r="A11" s="875" t="s">
        <v>25</v>
      </c>
      <c r="B11" s="932" t="s">
        <v>26</v>
      </c>
      <c r="C11" s="353"/>
      <c r="D11" s="353"/>
      <c r="E11" s="353">
        <v>381</v>
      </c>
      <c r="F11" s="353">
        <f t="shared" si="0"/>
        <v>-89</v>
      </c>
    </row>
    <row r="12" spans="1:6" ht="10.5" customHeight="1">
      <c r="A12" s="875" t="s">
        <v>27</v>
      </c>
      <c r="B12" s="932" t="s">
        <v>28</v>
      </c>
      <c r="C12" s="353"/>
      <c r="D12" s="353">
        <v>57695</v>
      </c>
      <c r="E12" s="353"/>
      <c r="F12" s="353">
        <f t="shared" si="0"/>
        <v>57606</v>
      </c>
    </row>
    <row r="13" spans="1:6" ht="10.5" customHeight="1">
      <c r="A13" s="875" t="s">
        <v>29</v>
      </c>
      <c r="B13" s="932" t="s">
        <v>30</v>
      </c>
      <c r="C13" s="353"/>
      <c r="D13" s="353"/>
      <c r="E13" s="353">
        <f>1000+397</f>
        <v>1397</v>
      </c>
      <c r="F13" s="353">
        <f t="shared" si="0"/>
        <v>56209</v>
      </c>
    </row>
    <row r="14" spans="1:6" ht="10.5" customHeight="1">
      <c r="A14" s="875" t="s">
        <v>31</v>
      </c>
      <c r="B14" s="932" t="s">
        <v>32</v>
      </c>
      <c r="C14" s="353"/>
      <c r="D14" s="353"/>
      <c r="E14" s="353">
        <v>286</v>
      </c>
      <c r="F14" s="353">
        <f t="shared" si="0"/>
        <v>55923</v>
      </c>
    </row>
    <row r="15" spans="1:6" ht="10.5" customHeight="1">
      <c r="A15" s="875" t="s">
        <v>33</v>
      </c>
      <c r="B15" s="932" t="s">
        <v>34</v>
      </c>
      <c r="C15" s="353"/>
      <c r="D15" s="353"/>
      <c r="E15" s="353">
        <v>248</v>
      </c>
      <c r="F15" s="353">
        <f t="shared" si="0"/>
        <v>55675</v>
      </c>
    </row>
    <row r="16" spans="1:6" ht="10.5" customHeight="1">
      <c r="A16" s="875" t="s">
        <v>35</v>
      </c>
      <c r="B16" s="932" t="s">
        <v>36</v>
      </c>
      <c r="C16" s="353"/>
      <c r="D16" s="353"/>
      <c r="E16" s="353">
        <v>46</v>
      </c>
      <c r="F16" s="353">
        <f>F15+D16-E16</f>
        <v>55629</v>
      </c>
    </row>
    <row r="17" spans="1:6" ht="10.5" customHeight="1">
      <c r="A17" s="875" t="s">
        <v>37</v>
      </c>
      <c r="B17" s="932" t="s">
        <v>38</v>
      </c>
      <c r="C17" s="353"/>
      <c r="D17" s="353"/>
      <c r="E17" s="353">
        <v>60</v>
      </c>
      <c r="F17" s="353">
        <f t="shared" si="0"/>
        <v>55569</v>
      </c>
    </row>
    <row r="18" spans="1:6" ht="10.5" customHeight="1">
      <c r="A18" s="875" t="s">
        <v>39</v>
      </c>
      <c r="B18" s="933" t="s">
        <v>40</v>
      </c>
      <c r="C18" s="353"/>
      <c r="D18" s="353"/>
      <c r="E18" s="353">
        <v>243</v>
      </c>
      <c r="F18" s="353">
        <f t="shared" si="0"/>
        <v>55326</v>
      </c>
    </row>
    <row r="19" spans="1:6" ht="10.5" customHeight="1">
      <c r="A19" s="875" t="s">
        <v>41</v>
      </c>
      <c r="B19" s="933" t="s">
        <v>42</v>
      </c>
      <c r="C19" s="353"/>
      <c r="D19" s="353"/>
      <c r="E19" s="353">
        <f>60+60</f>
        <v>120</v>
      </c>
      <c r="F19" s="353">
        <f t="shared" si="0"/>
        <v>55206</v>
      </c>
    </row>
    <row r="20" spans="1:6" ht="10.5" customHeight="1">
      <c r="A20" s="875" t="s">
        <v>43</v>
      </c>
      <c r="B20" s="933" t="s">
        <v>44</v>
      </c>
      <c r="C20" s="353"/>
      <c r="D20" s="353">
        <v>1147</v>
      </c>
      <c r="E20" s="353">
        <v>1522</v>
      </c>
      <c r="F20" s="353">
        <f t="shared" si="0"/>
        <v>54831</v>
      </c>
    </row>
    <row r="21" spans="1:6" ht="10.5" customHeight="1">
      <c r="A21" s="875" t="s">
        <v>45</v>
      </c>
      <c r="B21" s="932" t="s">
        <v>1010</v>
      </c>
      <c r="C21" s="353"/>
      <c r="D21" s="353"/>
      <c r="E21" s="353">
        <v>28</v>
      </c>
      <c r="F21" s="353">
        <f t="shared" si="0"/>
        <v>54803</v>
      </c>
    </row>
    <row r="22" spans="1:6" ht="10.5" customHeight="1">
      <c r="A22" s="875" t="s">
        <v>46</v>
      </c>
      <c r="B22" s="932" t="s">
        <v>47</v>
      </c>
      <c r="C22" s="353"/>
      <c r="D22" s="353">
        <v>52</v>
      </c>
      <c r="E22" s="353"/>
      <c r="F22" s="353">
        <f t="shared" si="0"/>
        <v>54855</v>
      </c>
    </row>
    <row r="23" spans="1:6" ht="10.5" customHeight="1">
      <c r="A23" s="875" t="s">
        <v>48</v>
      </c>
      <c r="B23" s="932" t="s">
        <v>49</v>
      </c>
      <c r="C23" s="353"/>
      <c r="D23" s="353"/>
      <c r="E23" s="353">
        <v>2284</v>
      </c>
      <c r="F23" s="353">
        <f t="shared" si="0"/>
        <v>52571</v>
      </c>
    </row>
    <row r="24" spans="1:6" ht="10.5" customHeight="1">
      <c r="A24" s="875" t="s">
        <v>50</v>
      </c>
      <c r="B24" s="932" t="s">
        <v>51</v>
      </c>
      <c r="C24" s="353"/>
      <c r="D24" s="353"/>
      <c r="E24" s="353">
        <v>200</v>
      </c>
      <c r="F24" s="353">
        <f t="shared" si="0"/>
        <v>52371</v>
      </c>
    </row>
    <row r="25" spans="1:6" ht="10.5" customHeight="1">
      <c r="A25" s="875" t="s">
        <v>52</v>
      </c>
      <c r="B25" s="932" t="s">
        <v>163</v>
      </c>
      <c r="C25" s="353"/>
      <c r="D25" s="353"/>
      <c r="E25" s="353">
        <v>1420</v>
      </c>
      <c r="F25" s="353">
        <f t="shared" si="0"/>
        <v>50951</v>
      </c>
    </row>
    <row r="26" spans="1:6" ht="10.5" customHeight="1">
      <c r="A26" s="875" t="s">
        <v>53</v>
      </c>
      <c r="B26" s="932" t="s">
        <v>164</v>
      </c>
      <c r="C26" s="353"/>
      <c r="D26" s="353"/>
      <c r="E26" s="353">
        <v>200</v>
      </c>
      <c r="F26" s="353">
        <f t="shared" si="0"/>
        <v>50751</v>
      </c>
    </row>
    <row r="27" spans="1:6" ht="10.5" customHeight="1">
      <c r="A27" s="875" t="s">
        <v>54</v>
      </c>
      <c r="B27" s="932" t="s">
        <v>165</v>
      </c>
      <c r="C27" s="353"/>
      <c r="D27" s="353"/>
      <c r="E27" s="353">
        <v>75</v>
      </c>
      <c r="F27" s="353">
        <f t="shared" si="0"/>
        <v>50676</v>
      </c>
    </row>
    <row r="28" spans="1:6" ht="10.5" customHeight="1">
      <c r="A28" s="875" t="s">
        <v>56</v>
      </c>
      <c r="B28" s="932" t="s">
        <v>182</v>
      </c>
      <c r="C28" s="353"/>
      <c r="D28" s="353">
        <v>2894</v>
      </c>
      <c r="E28" s="353">
        <f>37+6803</f>
        <v>6840</v>
      </c>
      <c r="F28" s="353">
        <f t="shared" si="0"/>
        <v>46730</v>
      </c>
    </row>
    <row r="29" spans="1:6" ht="10.5" customHeight="1">
      <c r="A29" s="875" t="s">
        <v>58</v>
      </c>
      <c r="B29" s="932" t="s">
        <v>183</v>
      </c>
      <c r="C29" s="353"/>
      <c r="D29" s="353">
        <v>8594</v>
      </c>
      <c r="E29" s="353"/>
      <c r="F29" s="353">
        <f t="shared" si="0"/>
        <v>55324</v>
      </c>
    </row>
    <row r="30" spans="1:6" ht="10.5" customHeight="1">
      <c r="A30" s="875" t="s">
        <v>60</v>
      </c>
      <c r="B30" s="932" t="s">
        <v>184</v>
      </c>
      <c r="C30" s="353"/>
      <c r="D30" s="353">
        <v>24</v>
      </c>
      <c r="E30" s="353"/>
      <c r="F30" s="353">
        <f t="shared" si="0"/>
        <v>55348</v>
      </c>
    </row>
    <row r="31" spans="1:6" ht="10.5" customHeight="1">
      <c r="A31" s="875" t="s">
        <v>61</v>
      </c>
      <c r="B31" s="932" t="s">
        <v>185</v>
      </c>
      <c r="C31" s="353"/>
      <c r="D31" s="353"/>
      <c r="E31" s="353">
        <v>5000</v>
      </c>
      <c r="F31" s="353">
        <f t="shared" si="0"/>
        <v>50348</v>
      </c>
    </row>
    <row r="32" spans="1:6" ht="10.5" customHeight="1">
      <c r="A32" s="875" t="s">
        <v>63</v>
      </c>
      <c r="B32" s="932" t="s">
        <v>176</v>
      </c>
      <c r="C32" s="353"/>
      <c r="D32" s="353"/>
      <c r="E32" s="353">
        <v>100</v>
      </c>
      <c r="F32" s="353">
        <f t="shared" si="0"/>
        <v>50248</v>
      </c>
    </row>
    <row r="33" spans="1:6" ht="10.5" customHeight="1">
      <c r="A33" s="875" t="s">
        <v>64</v>
      </c>
      <c r="B33" s="932" t="s">
        <v>186</v>
      </c>
      <c r="C33" s="353"/>
      <c r="D33" s="353"/>
      <c r="E33" s="353">
        <v>750</v>
      </c>
      <c r="F33" s="353">
        <f t="shared" si="0"/>
        <v>49498</v>
      </c>
    </row>
    <row r="34" spans="1:6" ht="10.5" customHeight="1">
      <c r="A34" s="875" t="s">
        <v>166</v>
      </c>
      <c r="B34" s="932" t="s">
        <v>230</v>
      </c>
      <c r="C34" s="353"/>
      <c r="D34" s="353">
        <v>1319</v>
      </c>
      <c r="E34" s="353"/>
      <c r="F34" s="353">
        <f t="shared" si="0"/>
        <v>50817</v>
      </c>
    </row>
    <row r="35" spans="1:6" ht="10.5" customHeight="1">
      <c r="A35" s="875" t="s">
        <v>167</v>
      </c>
      <c r="B35" s="932" t="s">
        <v>231</v>
      </c>
      <c r="C35" s="353"/>
      <c r="D35" s="353"/>
      <c r="E35" s="353">
        <v>100</v>
      </c>
      <c r="F35" s="353">
        <f t="shared" si="0"/>
        <v>50717</v>
      </c>
    </row>
    <row r="36" spans="1:6" ht="10.5" customHeight="1">
      <c r="A36" s="875" t="s">
        <v>168</v>
      </c>
      <c r="B36" s="932" t="s">
        <v>195</v>
      </c>
      <c r="C36" s="353"/>
      <c r="D36" s="353"/>
      <c r="E36" s="353">
        <v>100</v>
      </c>
      <c r="F36" s="353">
        <f t="shared" si="0"/>
        <v>50617</v>
      </c>
    </row>
    <row r="37" spans="1:6" ht="10.5" customHeight="1">
      <c r="A37" s="875" t="s">
        <v>187</v>
      </c>
      <c r="B37" s="932" t="s">
        <v>232</v>
      </c>
      <c r="C37" s="353"/>
      <c r="D37" s="353"/>
      <c r="E37" s="353">
        <v>94</v>
      </c>
      <c r="F37" s="353">
        <f t="shared" si="0"/>
        <v>50523</v>
      </c>
    </row>
    <row r="38" spans="1:6" ht="10.5" customHeight="1">
      <c r="A38" s="875" t="s">
        <v>188</v>
      </c>
      <c r="B38" s="932" t="s">
        <v>233</v>
      </c>
      <c r="C38" s="353"/>
      <c r="D38" s="353"/>
      <c r="E38" s="353">
        <v>200</v>
      </c>
      <c r="F38" s="353">
        <f t="shared" si="0"/>
        <v>50323</v>
      </c>
    </row>
    <row r="39" spans="1:6" ht="10.5" customHeight="1">
      <c r="A39" s="875" t="s">
        <v>189</v>
      </c>
      <c r="B39" s="932" t="s">
        <v>234</v>
      </c>
      <c r="C39" s="353"/>
      <c r="D39" s="353"/>
      <c r="E39" s="353">
        <v>3000</v>
      </c>
      <c r="F39" s="353">
        <f t="shared" si="0"/>
        <v>47323</v>
      </c>
    </row>
    <row r="40" spans="1:6" ht="10.5" customHeight="1">
      <c r="A40" s="875" t="s">
        <v>190</v>
      </c>
      <c r="B40" s="932" t="s">
        <v>197</v>
      </c>
      <c r="C40" s="353"/>
      <c r="D40" s="353"/>
      <c r="E40" s="353">
        <f>70+90</f>
        <v>160</v>
      </c>
      <c r="F40" s="353">
        <f t="shared" si="0"/>
        <v>47163</v>
      </c>
    </row>
    <row r="41" spans="1:6" ht="10.5" customHeight="1">
      <c r="A41" s="875" t="s">
        <v>191</v>
      </c>
      <c r="B41" s="932" t="s">
        <v>235</v>
      </c>
      <c r="C41" s="353"/>
      <c r="D41" s="353"/>
      <c r="E41" s="353">
        <v>1877</v>
      </c>
      <c r="F41" s="353">
        <f t="shared" si="0"/>
        <v>45286</v>
      </c>
    </row>
    <row r="42" spans="1:6" ht="10.5" customHeight="1">
      <c r="A42" s="875" t="s">
        <v>192</v>
      </c>
      <c r="B42" s="932" t="s">
        <v>236</v>
      </c>
      <c r="C42" s="353"/>
      <c r="D42" s="353"/>
      <c r="E42" s="353">
        <v>600</v>
      </c>
      <c r="F42" s="353">
        <f t="shared" si="0"/>
        <v>44686</v>
      </c>
    </row>
    <row r="43" spans="1:6" ht="10.5" customHeight="1">
      <c r="A43" s="875" t="s">
        <v>237</v>
      </c>
      <c r="B43" s="932" t="s">
        <v>676</v>
      </c>
      <c r="C43" s="353"/>
      <c r="D43" s="353"/>
      <c r="E43" s="353">
        <v>2287</v>
      </c>
      <c r="F43" s="353">
        <f t="shared" si="0"/>
        <v>42399</v>
      </c>
    </row>
    <row r="44" spans="1:6" ht="10.5" customHeight="1">
      <c r="A44" s="875" t="s">
        <v>238</v>
      </c>
      <c r="B44" s="932" t="s">
        <v>211</v>
      </c>
      <c r="C44" s="353"/>
      <c r="D44" s="353"/>
      <c r="E44" s="353">
        <v>500</v>
      </c>
      <c r="F44" s="353">
        <f t="shared" si="0"/>
        <v>41899</v>
      </c>
    </row>
    <row r="45" spans="1:6" ht="10.5" customHeight="1">
      <c r="A45" s="875" t="s">
        <v>239</v>
      </c>
      <c r="B45" s="932" t="s">
        <v>212</v>
      </c>
      <c r="C45" s="353"/>
      <c r="D45" s="353"/>
      <c r="E45" s="353">
        <v>1554</v>
      </c>
      <c r="F45" s="353">
        <f t="shared" si="0"/>
        <v>40345</v>
      </c>
    </row>
    <row r="46" spans="1:6" ht="10.5" customHeight="1">
      <c r="A46" s="875" t="s">
        <v>240</v>
      </c>
      <c r="B46" s="932" t="s">
        <v>213</v>
      </c>
      <c r="C46" s="353"/>
      <c r="D46" s="353"/>
      <c r="E46" s="353">
        <v>10543</v>
      </c>
      <c r="F46" s="353">
        <f t="shared" si="0"/>
        <v>29802</v>
      </c>
    </row>
    <row r="47" spans="1:6" ht="10.5" customHeight="1">
      <c r="A47" s="875" t="s">
        <v>241</v>
      </c>
      <c r="B47" s="932" t="s">
        <v>214</v>
      </c>
      <c r="C47" s="353"/>
      <c r="D47" s="353"/>
      <c r="E47" s="353">
        <v>39</v>
      </c>
      <c r="F47" s="353">
        <f t="shared" si="0"/>
        <v>29763</v>
      </c>
    </row>
    <row r="48" spans="1:6" ht="10.5" customHeight="1">
      <c r="A48" s="875" t="s">
        <v>242</v>
      </c>
      <c r="B48" s="932" t="s">
        <v>215</v>
      </c>
      <c r="C48" s="353"/>
      <c r="D48" s="353">
        <v>2500</v>
      </c>
      <c r="E48" s="353"/>
      <c r="F48" s="353">
        <f t="shared" si="0"/>
        <v>32263</v>
      </c>
    </row>
    <row r="49" spans="1:6" ht="10.5" customHeight="1">
      <c r="A49" s="875" t="s">
        <v>243</v>
      </c>
      <c r="B49" s="932" t="s">
        <v>216</v>
      </c>
      <c r="C49" s="353"/>
      <c r="D49" s="353"/>
      <c r="E49" s="353">
        <v>2500</v>
      </c>
      <c r="F49" s="353">
        <f t="shared" si="0"/>
        <v>29763</v>
      </c>
    </row>
    <row r="50" spans="1:6" ht="10.5" customHeight="1">
      <c r="A50" s="875" t="s">
        <v>244</v>
      </c>
      <c r="B50" s="932" t="s">
        <v>138</v>
      </c>
      <c r="C50" s="353"/>
      <c r="D50" s="353">
        <v>17000</v>
      </c>
      <c r="E50" s="353"/>
      <c r="F50" s="353">
        <f t="shared" si="0"/>
        <v>46763</v>
      </c>
    </row>
    <row r="51" spans="1:6" ht="10.5" customHeight="1">
      <c r="A51" s="875" t="s">
        <v>217</v>
      </c>
      <c r="B51" s="963" t="s">
        <v>139</v>
      </c>
      <c r="C51" s="353"/>
      <c r="D51" s="353">
        <v>2531</v>
      </c>
      <c r="E51" s="353"/>
      <c r="F51" s="353">
        <f t="shared" si="0"/>
        <v>49294</v>
      </c>
    </row>
    <row r="52" spans="1:6" ht="10.5" customHeight="1">
      <c r="A52" s="875" t="s">
        <v>218</v>
      </c>
      <c r="B52" s="963" t="s">
        <v>140</v>
      </c>
      <c r="C52" s="353"/>
      <c r="D52" s="353"/>
      <c r="E52" s="353">
        <v>1201</v>
      </c>
      <c r="F52" s="353">
        <f t="shared" si="0"/>
        <v>48093</v>
      </c>
    </row>
    <row r="53" spans="1:6" ht="10.5" customHeight="1">
      <c r="A53" s="875" t="s">
        <v>219</v>
      </c>
      <c r="B53" s="963" t="s">
        <v>141</v>
      </c>
      <c r="C53" s="353"/>
      <c r="D53" s="353"/>
      <c r="E53" s="353">
        <v>1817</v>
      </c>
      <c r="F53" s="353">
        <f t="shared" si="0"/>
        <v>46276</v>
      </c>
    </row>
    <row r="54" spans="1:6" ht="10.5" customHeight="1">
      <c r="A54" s="875" t="s">
        <v>220</v>
      </c>
      <c r="B54" s="963" t="s">
        <v>142</v>
      </c>
      <c r="C54" s="353"/>
      <c r="D54" s="353">
        <v>732</v>
      </c>
      <c r="E54" s="353"/>
      <c r="F54" s="353">
        <f t="shared" si="0"/>
        <v>47008</v>
      </c>
    </row>
    <row r="55" spans="1:6" ht="10.5" customHeight="1">
      <c r="A55" s="875" t="s">
        <v>221</v>
      </c>
      <c r="B55" s="964" t="s">
        <v>143</v>
      </c>
      <c r="C55" s="353"/>
      <c r="D55" s="353"/>
      <c r="E55" s="353">
        <v>122</v>
      </c>
      <c r="F55" s="353">
        <f t="shared" si="0"/>
        <v>46886</v>
      </c>
    </row>
    <row r="56" spans="1:6" ht="10.5" customHeight="1">
      <c r="A56" s="875" t="s">
        <v>222</v>
      </c>
      <c r="B56" s="964" t="s">
        <v>183</v>
      </c>
      <c r="C56" s="353"/>
      <c r="D56" s="353">
        <v>190</v>
      </c>
      <c r="E56" s="353"/>
      <c r="F56" s="353">
        <f t="shared" si="0"/>
        <v>47076</v>
      </c>
    </row>
    <row r="57" spans="1:6" ht="10.5" customHeight="1">
      <c r="A57" s="875" t="s">
        <v>224</v>
      </c>
      <c r="B57" s="934" t="s">
        <v>948</v>
      </c>
      <c r="C57" s="402">
        <f>SUM(C4:C56)</f>
        <v>1000</v>
      </c>
      <c r="D57" s="402">
        <f>SUM(D4:D56)</f>
        <v>95775</v>
      </c>
      <c r="E57" s="402">
        <f>SUM(E4:E56)</f>
        <v>49699</v>
      </c>
      <c r="F57" s="402">
        <f>F56</f>
        <v>47076</v>
      </c>
    </row>
    <row r="58" spans="1:6" ht="10.5" customHeight="1">
      <c r="A58" s="875" t="s">
        <v>225</v>
      </c>
      <c r="B58" s="932" t="s">
        <v>954</v>
      </c>
      <c r="C58" s="353">
        <v>826</v>
      </c>
      <c r="D58" s="353"/>
      <c r="E58" s="353">
        <v>774</v>
      </c>
      <c r="F58" s="353">
        <f>C58+D58-E58</f>
        <v>52</v>
      </c>
    </row>
    <row r="59" spans="1:6" ht="10.5" customHeight="1">
      <c r="A59" s="875" t="s">
        <v>144</v>
      </c>
      <c r="B59" s="932" t="s">
        <v>55</v>
      </c>
      <c r="C59" s="353"/>
      <c r="D59" s="353">
        <v>137</v>
      </c>
      <c r="E59" s="353">
        <f>64+73</f>
        <v>137</v>
      </c>
      <c r="F59" s="353">
        <f>F58+D59-E59</f>
        <v>52</v>
      </c>
    </row>
    <row r="60" spans="1:6" ht="10.5" customHeight="1">
      <c r="A60" s="875" t="s">
        <v>145</v>
      </c>
      <c r="B60" s="932" t="s">
        <v>57</v>
      </c>
      <c r="C60" s="353"/>
      <c r="D60" s="353">
        <v>4047</v>
      </c>
      <c r="E60" s="353"/>
      <c r="F60" s="353">
        <f>F59+D60-E60</f>
        <v>4099</v>
      </c>
    </row>
    <row r="61" spans="1:6" ht="10.5" customHeight="1">
      <c r="A61" s="875" t="s">
        <v>146</v>
      </c>
      <c r="B61" s="932" t="s">
        <v>59</v>
      </c>
      <c r="C61" s="353"/>
      <c r="D61" s="353">
        <v>2594</v>
      </c>
      <c r="E61" s="353"/>
      <c r="F61" s="353">
        <f>F60+D61-E61</f>
        <v>6693</v>
      </c>
    </row>
    <row r="62" spans="1:6" ht="10.5" customHeight="1">
      <c r="A62" s="875" t="s">
        <v>147</v>
      </c>
      <c r="B62" s="932" t="s">
        <v>62</v>
      </c>
      <c r="C62" s="353"/>
      <c r="D62" s="353"/>
      <c r="E62" s="353">
        <v>52</v>
      </c>
      <c r="F62" s="353">
        <f>F61+D62-E62</f>
        <v>6641</v>
      </c>
    </row>
    <row r="63" spans="1:6" ht="10.5" customHeight="1">
      <c r="A63" s="875" t="s">
        <v>148</v>
      </c>
      <c r="B63" s="932" t="s">
        <v>223</v>
      </c>
      <c r="C63" s="353"/>
      <c r="D63" s="353">
        <f>3464+10543</f>
        <v>14007</v>
      </c>
      <c r="E63" s="353"/>
      <c r="F63" s="353">
        <f>F62+D63-E63</f>
        <v>20648</v>
      </c>
    </row>
    <row r="64" spans="1:6" ht="10.5" customHeight="1">
      <c r="A64" s="875" t="s">
        <v>149</v>
      </c>
      <c r="B64" s="934" t="s">
        <v>953</v>
      </c>
      <c r="C64" s="405">
        <f>C58</f>
        <v>826</v>
      </c>
      <c r="D64" s="405">
        <f>SUM(D58:D63)</f>
        <v>20785</v>
      </c>
      <c r="E64" s="405">
        <f>SUM(E58:E62)</f>
        <v>963</v>
      </c>
      <c r="F64" s="405">
        <f>C64+D64-E64</f>
        <v>20648</v>
      </c>
    </row>
    <row r="65" spans="1:6" ht="10.5" customHeight="1">
      <c r="A65" s="875" t="s">
        <v>150</v>
      </c>
      <c r="B65" s="935" t="s">
        <v>955</v>
      </c>
      <c r="C65" s="405">
        <f>C57+C64</f>
        <v>1826</v>
      </c>
      <c r="D65" s="405">
        <f>D57+D64</f>
        <v>116560</v>
      </c>
      <c r="E65" s="405">
        <f>E57+E64</f>
        <v>50662</v>
      </c>
      <c r="F65" s="405">
        <f>F57+F64</f>
        <v>67724</v>
      </c>
    </row>
    <row r="68" spans="1:6" ht="10.5" customHeight="1">
      <c r="A68" s="966" t="s">
        <v>151</v>
      </c>
      <c r="B68" s="966"/>
      <c r="C68" s="966"/>
      <c r="D68" s="966"/>
      <c r="E68" s="966"/>
      <c r="F68" s="966"/>
    </row>
  </sheetData>
  <sheetProtection/>
  <mergeCells count="2">
    <mergeCell ref="A1:F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6.875" style="0" customWidth="1"/>
    <col min="2" max="2" width="32.125" style="0" customWidth="1"/>
    <col min="6" max="6" width="8.875" style="0" customWidth="1"/>
  </cols>
  <sheetData>
    <row r="1" spans="1:7" ht="12.75">
      <c r="A1" s="63"/>
      <c r="B1" s="63"/>
      <c r="C1" s="63"/>
      <c r="D1" s="63"/>
      <c r="E1" s="63"/>
      <c r="F1" s="63"/>
      <c r="G1" s="63"/>
    </row>
    <row r="2" spans="1:7" ht="12.75">
      <c r="A2" s="1085" t="s">
        <v>75</v>
      </c>
      <c r="B2" s="1085"/>
      <c r="C2" s="1085"/>
      <c r="D2" s="1085"/>
      <c r="E2" s="1085"/>
      <c r="F2" s="1085"/>
      <c r="G2" s="64"/>
    </row>
    <row r="3" spans="1:7" ht="12.75">
      <c r="A3" s="1086" t="s">
        <v>730</v>
      </c>
      <c r="B3" s="1086"/>
      <c r="C3" s="1086"/>
      <c r="D3" s="1086"/>
      <c r="E3" s="1086"/>
      <c r="F3" s="1086"/>
      <c r="G3" s="65"/>
    </row>
    <row r="4" spans="1:7" ht="12.75">
      <c r="A4" s="66" t="s">
        <v>731</v>
      </c>
      <c r="B4" s="65"/>
      <c r="C4" s="64" t="s">
        <v>732</v>
      </c>
      <c r="D4" s="64"/>
      <c r="E4" s="64"/>
      <c r="F4" s="64"/>
      <c r="G4" s="65"/>
    </row>
    <row r="5" spans="1:7" ht="12.75">
      <c r="A5" s="65"/>
      <c r="B5" s="65"/>
      <c r="C5" s="65"/>
      <c r="D5" s="65"/>
      <c r="E5" s="65"/>
      <c r="F5" s="65"/>
      <c r="G5" s="65"/>
    </row>
    <row r="6" spans="1:7" ht="12.75">
      <c r="A6" s="66" t="s">
        <v>733</v>
      </c>
      <c r="B6" s="65"/>
      <c r="C6" s="1087" t="s">
        <v>732</v>
      </c>
      <c r="D6" s="1087"/>
      <c r="E6" s="1087"/>
      <c r="F6" s="1087"/>
      <c r="G6" s="65"/>
    </row>
    <row r="7" spans="1:7" ht="12.75">
      <c r="A7" s="65"/>
      <c r="B7" s="65"/>
      <c r="C7" s="65"/>
      <c r="D7" s="65"/>
      <c r="E7" s="65"/>
      <c r="F7" s="65"/>
      <c r="G7" s="65"/>
    </row>
    <row r="8" spans="1:7" ht="12.75">
      <c r="A8" s="67" t="s">
        <v>734</v>
      </c>
      <c r="B8" s="68"/>
      <c r="C8" s="68"/>
      <c r="D8" s="65"/>
      <c r="E8" s="65"/>
      <c r="F8" s="65"/>
      <c r="G8" s="69"/>
    </row>
    <row r="9" spans="1:7" ht="12.75">
      <c r="A9" s="70" t="s">
        <v>735</v>
      </c>
      <c r="B9" s="71"/>
      <c r="C9" s="71"/>
      <c r="D9" s="71"/>
      <c r="E9" s="71"/>
      <c r="F9" s="71"/>
      <c r="G9" s="72"/>
    </row>
    <row r="10" spans="1:7" ht="31.5">
      <c r="A10" s="73" t="s">
        <v>574</v>
      </c>
      <c r="B10" s="73" t="s">
        <v>736</v>
      </c>
      <c r="C10" s="73" t="s">
        <v>737</v>
      </c>
      <c r="D10" s="73" t="s">
        <v>738</v>
      </c>
      <c r="E10" s="73" t="s">
        <v>739</v>
      </c>
      <c r="F10" s="73" t="s">
        <v>740</v>
      </c>
      <c r="G10" s="73" t="s">
        <v>588</v>
      </c>
    </row>
    <row r="11" spans="1:7" ht="12.75">
      <c r="A11" s="74" t="s">
        <v>390</v>
      </c>
      <c r="B11" s="75" t="s">
        <v>741</v>
      </c>
      <c r="C11" s="76"/>
      <c r="D11" s="76"/>
      <c r="E11" s="76"/>
      <c r="F11" s="76"/>
      <c r="G11" s="77">
        <f aca="true" t="shared" si="0" ref="G11:G17">SUM(C11:F11)</f>
        <v>0</v>
      </c>
    </row>
    <row r="12" spans="1:7" ht="24.75" customHeight="1">
      <c r="A12" s="74" t="s">
        <v>350</v>
      </c>
      <c r="B12" s="75" t="s">
        <v>742</v>
      </c>
      <c r="C12" s="76"/>
      <c r="D12" s="76"/>
      <c r="E12" s="76"/>
      <c r="F12" s="76"/>
      <c r="G12" s="77">
        <f t="shared" si="0"/>
        <v>0</v>
      </c>
    </row>
    <row r="13" spans="1:7" ht="24" customHeight="1">
      <c r="A13" s="74" t="s">
        <v>396</v>
      </c>
      <c r="B13" s="75" t="s">
        <v>743</v>
      </c>
      <c r="C13" s="76"/>
      <c r="D13" s="76"/>
      <c r="E13" s="76"/>
      <c r="F13" s="76"/>
      <c r="G13" s="77">
        <f t="shared" si="0"/>
        <v>0</v>
      </c>
    </row>
    <row r="14" spans="1:7" ht="12.75">
      <c r="A14" s="74" t="s">
        <v>397</v>
      </c>
      <c r="B14" s="75" t="s">
        <v>744</v>
      </c>
      <c r="C14" s="76"/>
      <c r="D14" s="76"/>
      <c r="E14" s="76"/>
      <c r="F14" s="76"/>
      <c r="G14" s="77">
        <f t="shared" si="0"/>
        <v>0</v>
      </c>
    </row>
    <row r="15" spans="1:7" ht="22.5">
      <c r="A15" s="74" t="s">
        <v>372</v>
      </c>
      <c r="B15" s="75" t="s">
        <v>745</v>
      </c>
      <c r="C15" s="76"/>
      <c r="D15" s="76"/>
      <c r="E15" s="76"/>
      <c r="F15" s="76"/>
      <c r="G15" s="77">
        <f t="shared" si="0"/>
        <v>0</v>
      </c>
    </row>
    <row r="16" spans="1:7" ht="12.75">
      <c r="A16" s="74" t="s">
        <v>375</v>
      </c>
      <c r="B16" s="75" t="s">
        <v>746</v>
      </c>
      <c r="C16" s="76"/>
      <c r="D16" s="76"/>
      <c r="E16" s="76"/>
      <c r="F16" s="76"/>
      <c r="G16" s="77">
        <f t="shared" si="0"/>
        <v>0</v>
      </c>
    </row>
    <row r="17" spans="1:7" ht="12.75">
      <c r="A17" s="78" t="s">
        <v>384</v>
      </c>
      <c r="B17" s="79" t="s">
        <v>588</v>
      </c>
      <c r="C17" s="77">
        <f>SUM(C11:C16)</f>
        <v>0</v>
      </c>
      <c r="D17" s="77">
        <f>SUM(D11:D16)</f>
        <v>0</v>
      </c>
      <c r="E17" s="77">
        <f>SUM(E11:E16)</f>
        <v>0</v>
      </c>
      <c r="F17" s="77">
        <f>SUM(F11:F16)</f>
        <v>0</v>
      </c>
      <c r="G17" s="77">
        <f t="shared" si="0"/>
        <v>0</v>
      </c>
    </row>
    <row r="18" spans="1:7" ht="12.75">
      <c r="A18" s="80"/>
      <c r="B18" s="80"/>
      <c r="C18" s="80"/>
      <c r="D18" s="80"/>
      <c r="E18" s="80"/>
      <c r="F18" s="80"/>
      <c r="G18" s="80"/>
    </row>
    <row r="19" spans="1:7" ht="12.75">
      <c r="A19" s="80"/>
      <c r="B19" s="80"/>
      <c r="C19" s="80"/>
      <c r="D19" s="80"/>
      <c r="E19" s="80"/>
      <c r="F19" s="80"/>
      <c r="G19" s="80"/>
    </row>
    <row r="20" spans="1:7" ht="12.75">
      <c r="A20" s="80"/>
      <c r="B20" s="80"/>
      <c r="C20" s="80"/>
      <c r="D20" s="80"/>
      <c r="E20" s="80"/>
      <c r="F20" s="80"/>
      <c r="G20" s="80"/>
    </row>
    <row r="21" spans="1:7" ht="12.75">
      <c r="A21" s="81" t="s">
        <v>747</v>
      </c>
      <c r="B21" s="80"/>
      <c r="C21" s="80"/>
      <c r="D21" s="80"/>
      <c r="E21" s="80"/>
      <c r="F21" s="80"/>
      <c r="G21" s="28"/>
    </row>
    <row r="22" spans="1:7" ht="12.75">
      <c r="A22" s="80"/>
      <c r="B22" s="80"/>
      <c r="C22" s="80"/>
      <c r="D22" s="80"/>
      <c r="E22" s="80"/>
      <c r="F22" s="80"/>
      <c r="G22" s="28"/>
    </row>
  </sheetData>
  <sheetProtection/>
  <mergeCells count="3">
    <mergeCell ref="A2:F2"/>
    <mergeCell ref="A3:F3"/>
    <mergeCell ref="C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A30" sqref="A30:F30"/>
    </sheetView>
  </sheetViews>
  <sheetFormatPr defaultColWidth="9.00390625" defaultRowHeight="12.75"/>
  <cols>
    <col min="1" max="1" width="33.25390625" style="355" customWidth="1"/>
    <col min="2" max="2" width="9.125" style="355" customWidth="1"/>
    <col min="3" max="3" width="7.875" style="355" customWidth="1"/>
    <col min="4" max="4" width="6.875" style="355" customWidth="1"/>
    <col min="5" max="5" width="6.375" style="355" customWidth="1"/>
    <col min="6" max="6" width="30.00390625" style="355" customWidth="1"/>
    <col min="7" max="7" width="7.625" style="355" customWidth="1"/>
    <col min="8" max="8" width="6.875" style="355" customWidth="1"/>
    <col min="9" max="9" width="7.25390625" style="355" customWidth="1"/>
    <col min="10" max="16384" width="9.125" style="355" customWidth="1"/>
  </cols>
  <sheetData>
    <row r="1" spans="1:11" ht="9.75">
      <c r="A1" s="950" t="s">
        <v>258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</row>
    <row r="2" spans="1:11" ht="10.5">
      <c r="A2" s="951" t="s">
        <v>907</v>
      </c>
      <c r="B2" s="951"/>
      <c r="C2" s="951"/>
      <c r="D2" s="951"/>
      <c r="E2" s="951"/>
      <c r="F2" s="951"/>
      <c r="G2" s="951"/>
      <c r="H2" s="951"/>
      <c r="I2" s="951"/>
      <c r="J2" s="951"/>
      <c r="K2" s="949"/>
    </row>
    <row r="3" spans="1:11" ht="33.75">
      <c r="A3" s="645" t="s">
        <v>689</v>
      </c>
      <c r="B3" s="646" t="s">
        <v>688</v>
      </c>
      <c r="C3" s="646" t="s">
        <v>690</v>
      </c>
      <c r="D3" s="646" t="s">
        <v>691</v>
      </c>
      <c r="E3" s="646" t="s">
        <v>692</v>
      </c>
      <c r="F3" s="645" t="s">
        <v>689</v>
      </c>
      <c r="G3" s="646" t="s">
        <v>688</v>
      </c>
      <c r="H3" s="646" t="s">
        <v>690</v>
      </c>
      <c r="I3" s="646" t="s">
        <v>691</v>
      </c>
      <c r="J3" s="646" t="s">
        <v>692</v>
      </c>
      <c r="K3" s="860"/>
    </row>
    <row r="4" spans="1:11" ht="21.75">
      <c r="A4" s="647" t="s">
        <v>647</v>
      </c>
      <c r="B4" s="225">
        <f>B6</f>
        <v>3270</v>
      </c>
      <c r="C4" s="225">
        <f>C6</f>
        <v>3270</v>
      </c>
      <c r="D4" s="225">
        <f>D6</f>
        <v>0</v>
      </c>
      <c r="E4" s="225">
        <f>E5+E6</f>
        <v>0</v>
      </c>
      <c r="F4" s="11" t="s">
        <v>334</v>
      </c>
      <c r="G4" s="649">
        <f>H4+I4+J4</f>
        <v>51665</v>
      </c>
      <c r="H4" s="648">
        <f>46240+158+834+862+156+1048+78-456</f>
        <v>48920</v>
      </c>
      <c r="I4" s="223"/>
      <c r="J4" s="223">
        <v>2745</v>
      </c>
      <c r="K4" s="850"/>
    </row>
    <row r="5" spans="1:11" ht="25.5" customHeight="1">
      <c r="A5" s="451" t="s">
        <v>687</v>
      </c>
      <c r="B5" s="650"/>
      <c r="C5" s="223"/>
      <c r="D5" s="223"/>
      <c r="E5" s="223"/>
      <c r="F5" s="11" t="s">
        <v>336</v>
      </c>
      <c r="G5" s="649">
        <f>H5+I5+J5</f>
        <v>13808</v>
      </c>
      <c r="H5" s="648">
        <f>12567+42+242+251-1218+42+297+21+851</f>
        <v>13095</v>
      </c>
      <c r="I5" s="223"/>
      <c r="J5" s="223">
        <v>713</v>
      </c>
      <c r="K5" s="850"/>
    </row>
    <row r="6" spans="1:11" ht="22.5">
      <c r="A6" s="451" t="s">
        <v>276</v>
      </c>
      <c r="B6" s="650">
        <f>C6+D6+E6</f>
        <v>3270</v>
      </c>
      <c r="C6" s="223">
        <f>1324+1946</f>
        <v>3270</v>
      </c>
      <c r="D6" s="223"/>
      <c r="E6" s="223"/>
      <c r="F6" s="11" t="s">
        <v>338</v>
      </c>
      <c r="G6" s="649">
        <f>H6+I6+J6</f>
        <v>10637</v>
      </c>
      <c r="H6" s="648">
        <f>11600+121+58+78-1920</f>
        <v>9937</v>
      </c>
      <c r="I6" s="223">
        <v>700</v>
      </c>
      <c r="J6" s="223"/>
      <c r="K6" s="850"/>
    </row>
    <row r="7" spans="1:11" ht="11.25">
      <c r="A7" s="651" t="s">
        <v>408</v>
      </c>
      <c r="B7" s="652">
        <f>B8+B9+B10+B11</f>
        <v>0</v>
      </c>
      <c r="C7" s="652">
        <f>C8+C9+C10+C11</f>
        <v>0</v>
      </c>
      <c r="D7" s="652">
        <f>D8+D9+D10+D11</f>
        <v>0</v>
      </c>
      <c r="E7" s="223"/>
      <c r="F7" s="11" t="s">
        <v>340</v>
      </c>
      <c r="G7" s="649">
        <f>H7+I7+J7</f>
        <v>79810</v>
      </c>
      <c r="H7" s="648">
        <f>60+111100-31850</f>
        <v>79310</v>
      </c>
      <c r="I7" s="223">
        <v>500</v>
      </c>
      <c r="J7" s="223"/>
      <c r="K7" s="850"/>
    </row>
    <row r="8" spans="1:11" ht="10.5" customHeight="1">
      <c r="A8" s="446" t="s">
        <v>284</v>
      </c>
      <c r="B8" s="652"/>
      <c r="C8" s="650"/>
      <c r="D8" s="223"/>
      <c r="E8" s="223"/>
      <c r="F8" s="11" t="s">
        <v>657</v>
      </c>
      <c r="G8" s="649">
        <f>H8+I8</f>
        <v>1823</v>
      </c>
      <c r="H8" s="223">
        <f>1823+605-605</f>
        <v>1823</v>
      </c>
      <c r="I8" s="648"/>
      <c r="J8" s="223"/>
      <c r="K8" s="850"/>
    </row>
    <row r="9" spans="1:11" ht="22.5">
      <c r="A9" s="446" t="s">
        <v>157</v>
      </c>
      <c r="B9" s="652"/>
      <c r="C9" s="650"/>
      <c r="D9" s="223"/>
      <c r="E9" s="223"/>
      <c r="F9" s="451"/>
      <c r="G9" s="655"/>
      <c r="H9" s="223"/>
      <c r="I9" s="223"/>
      <c r="J9" s="223"/>
      <c r="K9" s="850">
        <f aca="true" t="shared" si="0" ref="K9:K20">J9+I9+H9</f>
        <v>0</v>
      </c>
    </row>
    <row r="10" spans="1:11" ht="11.25">
      <c r="A10" s="446" t="s">
        <v>286</v>
      </c>
      <c r="B10" s="652"/>
      <c r="C10" s="650"/>
      <c r="D10" s="223"/>
      <c r="E10" s="223"/>
      <c r="F10" s="223"/>
      <c r="G10" s="223"/>
      <c r="H10" s="223"/>
      <c r="I10" s="223"/>
      <c r="J10" s="223"/>
      <c r="K10" s="850">
        <f t="shared" si="0"/>
        <v>0</v>
      </c>
    </row>
    <row r="11" spans="1:11" ht="11.25">
      <c r="A11" s="446" t="s">
        <v>287</v>
      </c>
      <c r="B11" s="652"/>
      <c r="C11" s="650"/>
      <c r="D11" s="223"/>
      <c r="E11" s="223"/>
      <c r="F11" s="223"/>
      <c r="G11" s="223"/>
      <c r="H11" s="223"/>
      <c r="I11" s="223"/>
      <c r="J11" s="223"/>
      <c r="K11" s="850">
        <f t="shared" si="0"/>
        <v>0</v>
      </c>
    </row>
    <row r="12" spans="1:11" ht="11.25">
      <c r="A12" s="651" t="s">
        <v>421</v>
      </c>
      <c r="B12" s="652">
        <f>SUM(B13:B17)</f>
        <v>1058</v>
      </c>
      <c r="C12" s="652">
        <f>SUM(C13:C17)</f>
        <v>101</v>
      </c>
      <c r="D12" s="652">
        <f>SUM(D13:D17)</f>
        <v>957</v>
      </c>
      <c r="E12" s="652">
        <f>SUM(E13:E17)</f>
        <v>0</v>
      </c>
      <c r="F12" s="223"/>
      <c r="G12" s="223"/>
      <c r="H12" s="223"/>
      <c r="I12" s="223"/>
      <c r="J12" s="223"/>
      <c r="K12" s="850">
        <f t="shared" si="0"/>
        <v>0</v>
      </c>
    </row>
    <row r="13" spans="1:11" ht="11.25">
      <c r="A13" s="446" t="s">
        <v>290</v>
      </c>
      <c r="B13" s="653"/>
      <c r="C13" s="653"/>
      <c r="D13" s="223"/>
      <c r="E13" s="223"/>
      <c r="F13" s="223"/>
      <c r="G13" s="223"/>
      <c r="H13" s="223"/>
      <c r="I13" s="223"/>
      <c r="J13" s="223"/>
      <c r="K13" s="850">
        <f t="shared" si="0"/>
        <v>0</v>
      </c>
    </row>
    <row r="14" spans="1:11" ht="11.25">
      <c r="A14" s="446" t="s">
        <v>291</v>
      </c>
      <c r="B14" s="653">
        <f>C14+D14</f>
        <v>768</v>
      </c>
      <c r="C14" s="653"/>
      <c r="D14" s="223">
        <f>68+700</f>
        <v>768</v>
      </c>
      <c r="E14" s="223"/>
      <c r="F14" s="223"/>
      <c r="G14" s="223"/>
      <c r="H14" s="223"/>
      <c r="I14" s="223"/>
      <c r="J14" s="223"/>
      <c r="K14" s="850">
        <f t="shared" si="0"/>
        <v>0</v>
      </c>
    </row>
    <row r="15" spans="1:11" ht="33.75">
      <c r="A15" s="446" t="s">
        <v>294</v>
      </c>
      <c r="B15" s="653">
        <v>189</v>
      </c>
      <c r="C15" s="653"/>
      <c r="D15" s="223">
        <v>189</v>
      </c>
      <c r="E15" s="223"/>
      <c r="F15" s="223"/>
      <c r="G15" s="223"/>
      <c r="H15" s="223"/>
      <c r="I15" s="223"/>
      <c r="J15" s="223"/>
      <c r="K15" s="850">
        <f t="shared" si="0"/>
        <v>0</v>
      </c>
    </row>
    <row r="16" spans="1:11" ht="11.25">
      <c r="A16" s="489" t="s">
        <v>298</v>
      </c>
      <c r="B16" s="653">
        <f>C16+D16</f>
        <v>24</v>
      </c>
      <c r="C16" s="653">
        <v>24</v>
      </c>
      <c r="D16" s="223"/>
      <c r="E16" s="223"/>
      <c r="F16" s="223"/>
      <c r="G16" s="223"/>
      <c r="H16" s="223"/>
      <c r="I16" s="223"/>
      <c r="J16" s="223"/>
      <c r="K16" s="850">
        <f t="shared" si="0"/>
        <v>0</v>
      </c>
    </row>
    <row r="17" spans="1:11" ht="11.25">
      <c r="A17" s="446" t="s">
        <v>300</v>
      </c>
      <c r="B17" s="653">
        <v>77</v>
      </c>
      <c r="C17" s="653">
        <v>77</v>
      </c>
      <c r="D17" s="223"/>
      <c r="E17" s="223"/>
      <c r="F17" s="223"/>
      <c r="G17" s="223"/>
      <c r="H17" s="223"/>
      <c r="I17" s="223"/>
      <c r="J17" s="223"/>
      <c r="K17" s="850">
        <f t="shared" si="0"/>
        <v>0</v>
      </c>
    </row>
    <row r="18" spans="1:11" ht="11.25">
      <c r="A18" s="654" t="s">
        <v>431</v>
      </c>
      <c r="B18" s="655">
        <f>B19+B20</f>
        <v>560</v>
      </c>
      <c r="C18" s="655">
        <f>C19+C20</f>
        <v>560</v>
      </c>
      <c r="D18" s="655">
        <f>D19+D20</f>
        <v>0</v>
      </c>
      <c r="E18" s="223"/>
      <c r="F18" s="223"/>
      <c r="G18" s="223"/>
      <c r="H18" s="223"/>
      <c r="I18" s="223"/>
      <c r="J18" s="223"/>
      <c r="K18" s="850">
        <f t="shared" si="0"/>
        <v>0</v>
      </c>
    </row>
    <row r="19" spans="1:11" ht="24" customHeight="1">
      <c r="A19" s="544" t="s">
        <v>158</v>
      </c>
      <c r="B19" s="655"/>
      <c r="C19" s="223"/>
      <c r="D19" s="223"/>
      <c r="E19" s="223"/>
      <c r="F19" s="223"/>
      <c r="G19" s="223"/>
      <c r="H19" s="223"/>
      <c r="I19" s="223"/>
      <c r="J19" s="223"/>
      <c r="K19" s="850">
        <f t="shared" si="0"/>
        <v>0</v>
      </c>
    </row>
    <row r="20" spans="1:11" ht="11.25">
      <c r="A20" s="544" t="s">
        <v>309</v>
      </c>
      <c r="B20" s="655">
        <v>560</v>
      </c>
      <c r="C20" s="223">
        <v>560</v>
      </c>
      <c r="D20" s="223"/>
      <c r="E20" s="223"/>
      <c r="F20" s="223"/>
      <c r="G20" s="223"/>
      <c r="H20" s="223"/>
      <c r="I20" s="223"/>
      <c r="J20" s="223"/>
      <c r="K20" s="850">
        <f t="shared" si="0"/>
        <v>0</v>
      </c>
    </row>
    <row r="21" spans="1:11" ht="11.25">
      <c r="A21" s="656" t="s">
        <v>693</v>
      </c>
      <c r="B21" s="655">
        <f>B4+B7+B12+B18</f>
        <v>4888</v>
      </c>
      <c r="C21" s="655">
        <f>C4+C7+C12+C18</f>
        <v>3931</v>
      </c>
      <c r="D21" s="655">
        <f>D4+D7+D12+D18</f>
        <v>957</v>
      </c>
      <c r="E21" s="655">
        <f>E4+E7+E12+E18</f>
        <v>0</v>
      </c>
      <c r="F21" s="657" t="s">
        <v>694</v>
      </c>
      <c r="G21" s="655">
        <f>SUM(G4:G9)</f>
        <v>157743</v>
      </c>
      <c r="H21" s="655">
        <f>SUM(H4:H9)</f>
        <v>153085</v>
      </c>
      <c r="I21" s="655">
        <f>SUM(I4:I9)</f>
        <v>1200</v>
      </c>
      <c r="J21" s="655">
        <f>SUM(J4:J9)</f>
        <v>3458</v>
      </c>
      <c r="K21" s="850"/>
    </row>
    <row r="22" spans="1:10" ht="22.5">
      <c r="A22" s="451" t="s">
        <v>609</v>
      </c>
      <c r="B22" s="650"/>
      <c r="C22" s="648"/>
      <c r="D22" s="223"/>
      <c r="E22" s="223"/>
      <c r="F22" s="604" t="s">
        <v>661</v>
      </c>
      <c r="G22" s="649">
        <f>H22+I22+J22</f>
        <v>1090</v>
      </c>
      <c r="H22" s="223">
        <f>200+600+100-100+200+86+23-19</f>
        <v>1090</v>
      </c>
      <c r="I22" s="223"/>
      <c r="J22" s="223"/>
    </row>
    <row r="23" spans="1:10" ht="11.25">
      <c r="A23" s="547" t="s">
        <v>695</v>
      </c>
      <c r="B23" s="655"/>
      <c r="C23" s="648"/>
      <c r="D23" s="223"/>
      <c r="E23" s="223"/>
      <c r="F23" s="604" t="s">
        <v>360</v>
      </c>
      <c r="G23" s="649">
        <f>H23+I23</f>
        <v>90</v>
      </c>
      <c r="H23" s="223">
        <v>90</v>
      </c>
      <c r="I23" s="223"/>
      <c r="J23" s="223"/>
    </row>
    <row r="24" spans="1:10" ht="22.5">
      <c r="A24" s="451" t="s">
        <v>297</v>
      </c>
      <c r="B24" s="653"/>
      <c r="C24" s="648"/>
      <c r="D24" s="223"/>
      <c r="E24" s="223"/>
      <c r="F24" s="223" t="s">
        <v>662</v>
      </c>
      <c r="G24" s="223"/>
      <c r="H24" s="223"/>
      <c r="I24" s="223"/>
      <c r="J24" s="223"/>
    </row>
    <row r="25" spans="1:10" ht="21">
      <c r="A25" s="604" t="s">
        <v>696</v>
      </c>
      <c r="B25" s="658">
        <f>B22+B23+B24</f>
        <v>0</v>
      </c>
      <c r="C25" s="658">
        <f>C22+C23+C24</f>
        <v>0</v>
      </c>
      <c r="D25" s="658">
        <f>D22+D23+D24</f>
        <v>0</v>
      </c>
      <c r="E25" s="658">
        <f>E22+E23+E24</f>
        <v>0</v>
      </c>
      <c r="F25" s="604" t="s">
        <v>697</v>
      </c>
      <c r="G25" s="648">
        <f>G22+G23</f>
        <v>1180</v>
      </c>
      <c r="H25" s="648">
        <f>H22+H23</f>
        <v>1180</v>
      </c>
      <c r="I25" s="648">
        <f>I22+I23</f>
        <v>0</v>
      </c>
      <c r="J25" s="223"/>
    </row>
    <row r="26" spans="1:10" ht="11.25">
      <c r="A26" s="604" t="s">
        <v>613</v>
      </c>
      <c r="B26" s="868">
        <f>C26+D26+E26</f>
        <v>154035</v>
      </c>
      <c r="C26" s="648">
        <f>19026+90017+73464+100+124+198+605+44-44+60+174+299+90+208-34099</f>
        <v>150266</v>
      </c>
      <c r="D26" s="223">
        <v>311</v>
      </c>
      <c r="E26" s="223">
        <v>3458</v>
      </c>
      <c r="F26" s="223" t="s">
        <v>374</v>
      </c>
      <c r="G26" s="223"/>
      <c r="H26" s="223"/>
      <c r="I26" s="223"/>
      <c r="J26" s="223"/>
    </row>
    <row r="27" spans="1:10" ht="11.25">
      <c r="A27" s="604" t="s">
        <v>698</v>
      </c>
      <c r="B27" s="659">
        <f>+B25+B26+B21</f>
        <v>158923</v>
      </c>
      <c r="C27" s="659">
        <f>+C25+C26+C21</f>
        <v>154197</v>
      </c>
      <c r="D27" s="659">
        <f>+D25+D26+D21</f>
        <v>1268</v>
      </c>
      <c r="E27" s="659">
        <f>+E25+E26+E21</f>
        <v>3458</v>
      </c>
      <c r="F27" s="226" t="s">
        <v>699</v>
      </c>
      <c r="G27" s="225">
        <f>G25+G21+G26</f>
        <v>158923</v>
      </c>
      <c r="H27" s="225">
        <f>H25+H21</f>
        <v>154265</v>
      </c>
      <c r="I27" s="225">
        <f>I25+I21</f>
        <v>1200</v>
      </c>
      <c r="J27" s="225">
        <f>J25+J21</f>
        <v>3458</v>
      </c>
    </row>
    <row r="29" ht="9.75">
      <c r="C29" s="850"/>
    </row>
    <row r="30" spans="1:9" ht="10.5">
      <c r="A30" s="966" t="s">
        <v>151</v>
      </c>
      <c r="B30" s="966"/>
      <c r="C30" s="966"/>
      <c r="D30" s="966"/>
      <c r="E30" s="966"/>
      <c r="F30" s="966"/>
      <c r="I30" s="850"/>
    </row>
    <row r="31" ht="9.75">
      <c r="C31" s="850"/>
    </row>
    <row r="32" ht="9.75">
      <c r="G32" s="850"/>
    </row>
  </sheetData>
  <sheetProtection/>
  <mergeCells count="3">
    <mergeCell ref="A1:K1"/>
    <mergeCell ref="A2:K2"/>
    <mergeCell ref="A30:F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A29" sqref="A29:F29"/>
    </sheetView>
  </sheetViews>
  <sheetFormatPr defaultColWidth="9.00390625" defaultRowHeight="12.75"/>
  <cols>
    <col min="1" max="1" width="30.25390625" style="348" customWidth="1"/>
    <col min="2" max="5" width="9.125" style="348" customWidth="1"/>
    <col min="6" max="6" width="26.25390625" style="348" customWidth="1"/>
    <col min="7" max="16384" width="9.125" style="348" customWidth="1"/>
  </cols>
  <sheetData>
    <row r="1" spans="1:11" ht="10.5">
      <c r="A1" s="943" t="s">
        <v>257</v>
      </c>
      <c r="B1" s="943"/>
      <c r="C1" s="943"/>
      <c r="D1" s="943"/>
      <c r="E1" s="943"/>
      <c r="F1" s="943"/>
      <c r="G1" s="943"/>
      <c r="H1" s="943"/>
      <c r="I1" s="943"/>
      <c r="J1" s="943"/>
      <c r="K1" s="407"/>
    </row>
    <row r="2" spans="1:11" ht="10.5">
      <c r="A2" s="952" t="s">
        <v>908</v>
      </c>
      <c r="B2" s="952"/>
      <c r="C2" s="952"/>
      <c r="D2" s="952"/>
      <c r="E2" s="952"/>
      <c r="F2" s="952"/>
      <c r="G2" s="952"/>
      <c r="H2" s="952"/>
      <c r="I2" s="952"/>
      <c r="J2" s="952"/>
      <c r="K2" s="942"/>
    </row>
    <row r="3" spans="1:11" ht="33.75">
      <c r="A3" s="645" t="s">
        <v>689</v>
      </c>
      <c r="B3" s="646" t="s">
        <v>688</v>
      </c>
      <c r="C3" s="646" t="s">
        <v>690</v>
      </c>
      <c r="D3" s="646" t="s">
        <v>691</v>
      </c>
      <c r="E3" s="646" t="s">
        <v>692</v>
      </c>
      <c r="F3" s="645" t="s">
        <v>689</v>
      </c>
      <c r="G3" s="646" t="s">
        <v>688</v>
      </c>
      <c r="H3" s="646" t="s">
        <v>690</v>
      </c>
      <c r="I3" s="646" t="s">
        <v>691</v>
      </c>
      <c r="J3" s="646" t="s">
        <v>692</v>
      </c>
      <c r="K3" s="406"/>
    </row>
    <row r="4" spans="1:10" ht="21.75">
      <c r="A4" s="647" t="s">
        <v>647</v>
      </c>
      <c r="B4" s="225">
        <f>B6</f>
        <v>0</v>
      </c>
      <c r="C4" s="225">
        <f>C6</f>
        <v>0</v>
      </c>
      <c r="D4" s="225">
        <f>D6</f>
        <v>0</v>
      </c>
      <c r="E4" s="225">
        <f>E5+E6</f>
        <v>0</v>
      </c>
      <c r="F4" s="11" t="s">
        <v>334</v>
      </c>
      <c r="G4" s="649">
        <f>H4</f>
        <v>63298</v>
      </c>
      <c r="H4" s="649">
        <f>118+62394+114+113+113+56+528+51-189</f>
        <v>63298</v>
      </c>
      <c r="I4" s="223"/>
      <c r="J4" s="223"/>
    </row>
    <row r="5" spans="1:10" ht="22.5">
      <c r="A5" s="451" t="s">
        <v>687</v>
      </c>
      <c r="B5" s="650"/>
      <c r="C5" s="223"/>
      <c r="D5" s="223"/>
      <c r="E5" s="223"/>
      <c r="F5" s="11" t="s">
        <v>336</v>
      </c>
      <c r="G5" s="649">
        <f>H5</f>
        <v>16028</v>
      </c>
      <c r="H5" s="649">
        <f>33+15361+30+30-1218+30+15+164+14+1569</f>
        <v>16028</v>
      </c>
      <c r="I5" s="223"/>
      <c r="J5" s="223"/>
    </row>
    <row r="6" spans="1:10" ht="22.5">
      <c r="A6" s="451" t="s">
        <v>276</v>
      </c>
      <c r="B6" s="650"/>
      <c r="C6" s="223"/>
      <c r="D6" s="223"/>
      <c r="E6" s="223"/>
      <c r="F6" s="11" t="s">
        <v>338</v>
      </c>
      <c r="G6" s="649">
        <f>H6</f>
        <v>6734</v>
      </c>
      <c r="H6" s="649">
        <f>248+6426+5+55</f>
        <v>6734</v>
      </c>
      <c r="I6" s="223"/>
      <c r="J6" s="223"/>
    </row>
    <row r="7" spans="1:10" ht="11.25">
      <c r="A7" s="651" t="s">
        <v>408</v>
      </c>
      <c r="B7" s="652">
        <f>B8+B9+B10+B11</f>
        <v>0</v>
      </c>
      <c r="C7" s="652">
        <f>C8+C9+C10+C11</f>
        <v>0</v>
      </c>
      <c r="D7" s="652">
        <f>D8+D9+D10+D11</f>
        <v>0</v>
      </c>
      <c r="E7" s="223"/>
      <c r="F7" s="11" t="s">
        <v>340</v>
      </c>
      <c r="G7" s="649">
        <f>H7</f>
        <v>0</v>
      </c>
      <c r="H7" s="648"/>
      <c r="I7" s="223"/>
      <c r="J7" s="223"/>
    </row>
    <row r="8" spans="1:10" ht="11.25">
      <c r="A8" s="446" t="s">
        <v>284</v>
      </c>
      <c r="B8" s="652"/>
      <c r="C8" s="650"/>
      <c r="D8" s="223"/>
      <c r="E8" s="223"/>
      <c r="F8" s="11" t="s">
        <v>657</v>
      </c>
      <c r="G8" s="649">
        <f>H8</f>
        <v>1299</v>
      </c>
      <c r="H8" s="223">
        <f>8+1226-8+73</f>
        <v>1299</v>
      </c>
      <c r="I8" s="648"/>
      <c r="J8" s="223"/>
    </row>
    <row r="9" spans="1:10" ht="33.75">
      <c r="A9" s="446" t="s">
        <v>285</v>
      </c>
      <c r="B9" s="652"/>
      <c r="C9" s="650"/>
      <c r="D9" s="223"/>
      <c r="E9" s="223"/>
      <c r="F9" s="451"/>
      <c r="G9" s="655"/>
      <c r="H9" s="223"/>
      <c r="I9" s="223"/>
      <c r="J9" s="223"/>
    </row>
    <row r="10" spans="1:10" ht="11.25">
      <c r="A10" s="446" t="s">
        <v>286</v>
      </c>
      <c r="B10" s="652"/>
      <c r="C10" s="650"/>
      <c r="D10" s="223"/>
      <c r="E10" s="223"/>
      <c r="F10" s="223"/>
      <c r="G10" s="223"/>
      <c r="H10" s="223"/>
      <c r="I10" s="223"/>
      <c r="J10" s="223"/>
    </row>
    <row r="11" spans="1:10" ht="11.25">
      <c r="A11" s="446" t="s">
        <v>287</v>
      </c>
      <c r="B11" s="652"/>
      <c r="C11" s="650"/>
      <c r="D11" s="223"/>
      <c r="E11" s="223"/>
      <c r="F11" s="223"/>
      <c r="G11" s="223"/>
      <c r="H11" s="223"/>
      <c r="I11" s="223"/>
      <c r="J11" s="223"/>
    </row>
    <row r="12" spans="1:10" ht="11.25">
      <c r="A12" s="651" t="s">
        <v>421</v>
      </c>
      <c r="B12" s="652">
        <f>SUM(B13:B17)</f>
        <v>5</v>
      </c>
      <c r="C12" s="652">
        <f>SUM(C13:C17)</f>
        <v>5</v>
      </c>
      <c r="D12" s="652">
        <f>SUM(D13:D17)</f>
        <v>0</v>
      </c>
      <c r="E12" s="652">
        <f>SUM(E13:E17)</f>
        <v>0</v>
      </c>
      <c r="F12" s="223"/>
      <c r="G12" s="223"/>
      <c r="H12" s="223"/>
      <c r="I12" s="223"/>
      <c r="J12" s="223"/>
    </row>
    <row r="13" spans="1:10" ht="11.25">
      <c r="A13" s="446" t="s">
        <v>290</v>
      </c>
      <c r="B13" s="653"/>
      <c r="C13" s="653"/>
      <c r="D13" s="223"/>
      <c r="E13" s="223"/>
      <c r="F13" s="223"/>
      <c r="G13" s="223"/>
      <c r="H13" s="223"/>
      <c r="I13" s="223"/>
      <c r="J13" s="223"/>
    </row>
    <row r="14" spans="1:10" ht="11.25">
      <c r="A14" s="446" t="s">
        <v>291</v>
      </c>
      <c r="B14" s="653"/>
      <c r="C14" s="653"/>
      <c r="D14" s="223"/>
      <c r="E14" s="223"/>
      <c r="F14" s="223"/>
      <c r="G14" s="223"/>
      <c r="H14" s="223"/>
      <c r="I14" s="223"/>
      <c r="J14" s="223"/>
    </row>
    <row r="15" spans="1:10" ht="33.75">
      <c r="A15" s="446" t="s">
        <v>994</v>
      </c>
      <c r="B15" s="653"/>
      <c r="C15" s="653"/>
      <c r="D15" s="223"/>
      <c r="E15" s="223"/>
      <c r="F15" s="223"/>
      <c r="G15" s="223"/>
      <c r="H15" s="223"/>
      <c r="I15" s="223"/>
      <c r="J15" s="223"/>
    </row>
    <row r="16" spans="1:10" ht="11.25">
      <c r="A16" s="489" t="s">
        <v>298</v>
      </c>
      <c r="B16" s="653">
        <f>C16</f>
        <v>5</v>
      </c>
      <c r="C16" s="653">
        <v>5</v>
      </c>
      <c r="D16" s="223"/>
      <c r="E16" s="223"/>
      <c r="F16" s="223"/>
      <c r="G16" s="223"/>
      <c r="H16" s="223"/>
      <c r="I16" s="223"/>
      <c r="J16" s="223"/>
    </row>
    <row r="17" spans="1:10" ht="11.25">
      <c r="A17" s="446" t="s">
        <v>300</v>
      </c>
      <c r="B17" s="653"/>
      <c r="C17" s="653"/>
      <c r="D17" s="223"/>
      <c r="E17" s="223"/>
      <c r="F17" s="223"/>
      <c r="G17" s="223"/>
      <c r="H17" s="223"/>
      <c r="I17" s="223"/>
      <c r="J17" s="223"/>
    </row>
    <row r="18" spans="1:10" ht="11.25">
      <c r="A18" s="654" t="s">
        <v>431</v>
      </c>
      <c r="B18" s="655">
        <f>B19+B20</f>
        <v>1</v>
      </c>
      <c r="C18" s="655">
        <f>C19+C20</f>
        <v>1</v>
      </c>
      <c r="D18" s="655">
        <f>D19+D20</f>
        <v>0</v>
      </c>
      <c r="E18" s="223"/>
      <c r="F18" s="223"/>
      <c r="G18" s="223"/>
      <c r="H18" s="223"/>
      <c r="I18" s="223"/>
      <c r="J18" s="223"/>
    </row>
    <row r="19" spans="1:10" ht="33.75">
      <c r="A19" s="544" t="s">
        <v>308</v>
      </c>
      <c r="B19" s="655"/>
      <c r="C19" s="223"/>
      <c r="D19" s="223"/>
      <c r="E19" s="223"/>
      <c r="F19" s="223"/>
      <c r="G19" s="223"/>
      <c r="H19" s="223"/>
      <c r="I19" s="223"/>
      <c r="J19" s="223"/>
    </row>
    <row r="20" spans="1:10" ht="11.25" customHeight="1">
      <c r="A20" s="544" t="s">
        <v>309</v>
      </c>
      <c r="B20" s="655">
        <v>1</v>
      </c>
      <c r="C20" s="223">
        <v>1</v>
      </c>
      <c r="D20" s="223"/>
      <c r="E20" s="223"/>
      <c r="F20" s="223"/>
      <c r="G20" s="223"/>
      <c r="H20" s="223"/>
      <c r="I20" s="223"/>
      <c r="J20" s="223"/>
    </row>
    <row r="21" spans="1:10" ht="21">
      <c r="A21" s="656" t="s">
        <v>693</v>
      </c>
      <c r="B21" s="655">
        <f>B4+B7+B12+B18</f>
        <v>6</v>
      </c>
      <c r="C21" s="655">
        <f aca="true" t="shared" si="0" ref="C21:J21">C4+C7+C12+C18</f>
        <v>6</v>
      </c>
      <c r="D21" s="655">
        <f t="shared" si="0"/>
        <v>0</v>
      </c>
      <c r="E21" s="655">
        <f t="shared" si="0"/>
        <v>0</v>
      </c>
      <c r="F21" s="657" t="s">
        <v>694</v>
      </c>
      <c r="G21" s="655">
        <f>SUM(G4:G9)</f>
        <v>87359</v>
      </c>
      <c r="H21" s="655">
        <f>SUM(H4:H9)</f>
        <v>87359</v>
      </c>
      <c r="I21" s="655">
        <f>SUM(I4:I9)</f>
        <v>0</v>
      </c>
      <c r="J21" s="655">
        <f t="shared" si="0"/>
        <v>0</v>
      </c>
    </row>
    <row r="22" spans="1:10" ht="22.5">
      <c r="A22" s="451" t="s">
        <v>609</v>
      </c>
      <c r="B22" s="650"/>
      <c r="C22" s="648"/>
      <c r="D22" s="223"/>
      <c r="E22" s="223"/>
      <c r="F22" s="604" t="s">
        <v>661</v>
      </c>
      <c r="G22" s="649">
        <f>H22</f>
        <v>866</v>
      </c>
      <c r="H22" s="223">
        <f>-156+1022</f>
        <v>866</v>
      </c>
      <c r="I22" s="223"/>
      <c r="J22" s="223"/>
    </row>
    <row r="23" spans="1:10" ht="11.25">
      <c r="A23" s="547" t="s">
        <v>695</v>
      </c>
      <c r="B23" s="655"/>
      <c r="C23" s="648"/>
      <c r="D23" s="223"/>
      <c r="E23" s="223"/>
      <c r="F23" s="604" t="s">
        <v>360</v>
      </c>
      <c r="G23" s="649">
        <f>H23</f>
        <v>480</v>
      </c>
      <c r="H23" s="223">
        <f>106+394-20</f>
        <v>480</v>
      </c>
      <c r="I23" s="223"/>
      <c r="J23" s="223"/>
    </row>
    <row r="24" spans="1:10" ht="22.5">
      <c r="A24" s="451" t="s">
        <v>297</v>
      </c>
      <c r="B24" s="653"/>
      <c r="C24" s="648"/>
      <c r="D24" s="223"/>
      <c r="E24" s="223"/>
      <c r="F24" s="223" t="s">
        <v>662</v>
      </c>
      <c r="G24" s="223"/>
      <c r="H24" s="223"/>
      <c r="I24" s="223"/>
      <c r="J24" s="223"/>
    </row>
    <row r="25" spans="1:10" ht="21">
      <c r="A25" s="604" t="s">
        <v>696</v>
      </c>
      <c r="B25" s="658">
        <f>B22+B23+B24</f>
        <v>0</v>
      </c>
      <c r="C25" s="658">
        <f>C22+C23+C24</f>
        <v>0</v>
      </c>
      <c r="D25" s="658">
        <f>D22+D23+D24</f>
        <v>0</v>
      </c>
      <c r="E25" s="658">
        <f>E22+E23+E24</f>
        <v>0</v>
      </c>
      <c r="F25" s="604" t="s">
        <v>697</v>
      </c>
      <c r="G25" s="648">
        <f>G22+G23</f>
        <v>1346</v>
      </c>
      <c r="H25" s="648">
        <f>H22+H23</f>
        <v>1346</v>
      </c>
      <c r="I25" s="648">
        <f>I22+I23</f>
        <v>0</v>
      </c>
      <c r="J25" s="223"/>
    </row>
    <row r="26" spans="1:10" ht="11.25">
      <c r="A26" s="604" t="s">
        <v>613</v>
      </c>
      <c r="B26" s="659">
        <f>C26</f>
        <v>88699</v>
      </c>
      <c r="C26" s="869">
        <f>151+85203+144+391+508+143+71+692+65+1331</f>
        <v>88699</v>
      </c>
      <c r="D26" s="223"/>
      <c r="E26" s="223"/>
      <c r="F26" s="223" t="s">
        <v>374</v>
      </c>
      <c r="G26" s="223"/>
      <c r="H26" s="223"/>
      <c r="I26" s="223"/>
      <c r="J26" s="223"/>
    </row>
    <row r="27" spans="1:10" ht="11.25">
      <c r="A27" s="604" t="s">
        <v>698</v>
      </c>
      <c r="B27" s="659">
        <f>+B25+B26+B21</f>
        <v>88705</v>
      </c>
      <c r="C27" s="659">
        <f>+C25+C26+C21</f>
        <v>88705</v>
      </c>
      <c r="D27" s="659">
        <f>+D25+D26+D21</f>
        <v>0</v>
      </c>
      <c r="E27" s="659">
        <f>+E25+E26+E21</f>
        <v>0</v>
      </c>
      <c r="F27" s="226" t="s">
        <v>699</v>
      </c>
      <c r="G27" s="648">
        <f>G25+G21+G26</f>
        <v>88705</v>
      </c>
      <c r="H27" s="648">
        <f>H25+H21</f>
        <v>88705</v>
      </c>
      <c r="I27" s="648">
        <f>I25+I21</f>
        <v>0</v>
      </c>
      <c r="J27" s="648">
        <f>J25+J21</f>
        <v>0</v>
      </c>
    </row>
    <row r="29" spans="1:6" ht="10.5">
      <c r="A29" s="966" t="s">
        <v>151</v>
      </c>
      <c r="B29" s="966"/>
      <c r="C29" s="966"/>
      <c r="D29" s="966"/>
      <c r="E29" s="966"/>
      <c r="F29" s="966"/>
    </row>
    <row r="31" spans="1:6" ht="10.5">
      <c r="A31" s="966"/>
      <c r="B31" s="966"/>
      <c r="C31" s="966"/>
      <c r="D31" s="966"/>
      <c r="E31" s="966"/>
      <c r="F31" s="966"/>
    </row>
  </sheetData>
  <sheetProtection/>
  <mergeCells count="4">
    <mergeCell ref="A2:K2"/>
    <mergeCell ref="A1:J1"/>
    <mergeCell ref="A31:F31"/>
    <mergeCell ref="A29:F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A31" sqref="A31:F31"/>
    </sheetView>
  </sheetViews>
  <sheetFormatPr defaultColWidth="9.00390625" defaultRowHeight="12.75"/>
  <cols>
    <col min="1" max="1" width="30.375" style="348" customWidth="1"/>
    <col min="2" max="4" width="9.125" style="348" customWidth="1"/>
    <col min="5" max="5" width="7.25390625" style="348" customWidth="1"/>
    <col min="6" max="6" width="33.875" style="348" customWidth="1"/>
    <col min="7" max="7" width="9.125" style="348" customWidth="1"/>
    <col min="8" max="9" width="7.625" style="348" customWidth="1"/>
    <col min="10" max="10" width="6.375" style="348" customWidth="1"/>
    <col min="11" max="16384" width="9.125" style="348" customWidth="1"/>
  </cols>
  <sheetData>
    <row r="1" spans="1:11" ht="10.5">
      <c r="A1" s="967" t="s">
        <v>256</v>
      </c>
      <c r="B1" s="967"/>
      <c r="C1" s="967"/>
      <c r="D1" s="967"/>
      <c r="E1" s="967"/>
      <c r="F1" s="967"/>
      <c r="G1" s="967"/>
      <c r="H1" s="967"/>
      <c r="I1" s="967"/>
      <c r="J1" s="967"/>
      <c r="K1" s="408"/>
    </row>
    <row r="2" spans="1:11" ht="10.5">
      <c r="A2" s="409" t="s">
        <v>909</v>
      </c>
      <c r="B2" s="409"/>
      <c r="C2" s="409"/>
      <c r="D2" s="409"/>
      <c r="E2" s="409"/>
      <c r="F2" s="409"/>
      <c r="G2" s="409"/>
      <c r="H2" s="409"/>
      <c r="I2" s="409"/>
      <c r="J2" s="409"/>
      <c r="K2" s="401"/>
    </row>
    <row r="3" spans="1:11" ht="33.75">
      <c r="A3" s="645" t="s">
        <v>689</v>
      </c>
      <c r="B3" s="646" t="s">
        <v>688</v>
      </c>
      <c r="C3" s="646" t="s">
        <v>690</v>
      </c>
      <c r="D3" s="646" t="s">
        <v>691</v>
      </c>
      <c r="E3" s="646" t="s">
        <v>692</v>
      </c>
      <c r="F3" s="645" t="s">
        <v>689</v>
      </c>
      <c r="G3" s="646" t="s">
        <v>688</v>
      </c>
      <c r="H3" s="646" t="s">
        <v>690</v>
      </c>
      <c r="I3" s="646" t="s">
        <v>691</v>
      </c>
      <c r="J3" s="646" t="s">
        <v>692</v>
      </c>
      <c r="K3" s="406"/>
    </row>
    <row r="4" spans="1:10" ht="21.75">
      <c r="A4" s="647" t="s">
        <v>647</v>
      </c>
      <c r="B4" s="225">
        <f>B5+B6</f>
        <v>213787</v>
      </c>
      <c r="C4" s="225">
        <f>C5+C6</f>
        <v>213787</v>
      </c>
      <c r="D4" s="225">
        <f>D5+D6</f>
        <v>0</v>
      </c>
      <c r="E4" s="225">
        <f>E5+E6</f>
        <v>0</v>
      </c>
      <c r="F4" s="11" t="s">
        <v>334</v>
      </c>
      <c r="G4" s="649">
        <f>H4+I4</f>
        <v>198852</v>
      </c>
      <c r="H4" s="649">
        <f>33743+93165+319+1043+24122-472+20550+161+510+16292+13497-4989</f>
        <v>197941</v>
      </c>
      <c r="I4" s="223">
        <v>911</v>
      </c>
      <c r="J4" s="223"/>
    </row>
    <row r="5" spans="1:10" ht="22.5">
      <c r="A5" s="451" t="s">
        <v>687</v>
      </c>
      <c r="B5" s="650">
        <f>C5</f>
        <v>0</v>
      </c>
      <c r="C5" s="223">
        <f>-76135+76135</f>
        <v>0</v>
      </c>
      <c r="D5" s="223"/>
      <c r="E5" s="223"/>
      <c r="F5" s="11" t="s">
        <v>336</v>
      </c>
      <c r="G5" s="649">
        <f>H5+I5</f>
        <v>30702</v>
      </c>
      <c r="H5" s="649">
        <f>17408+4596+87+281+1486-127+2817+43+158+2221+2069-583</f>
        <v>30456</v>
      </c>
      <c r="I5" s="223">
        <v>246</v>
      </c>
      <c r="J5" s="223"/>
    </row>
    <row r="6" spans="1:10" ht="22.5">
      <c r="A6" s="451" t="s">
        <v>276</v>
      </c>
      <c r="B6" s="650">
        <f>C6+D6+E6</f>
        <v>213787</v>
      </c>
      <c r="C6" s="648">
        <f>45608+28978+26666+18309+76135+15774+2317</f>
        <v>213787</v>
      </c>
      <c r="D6" s="223"/>
      <c r="E6" s="223"/>
      <c r="F6" s="11" t="s">
        <v>338</v>
      </c>
      <c r="G6" s="649">
        <f>H6+I6</f>
        <v>66531</v>
      </c>
      <c r="H6" s="649">
        <f>31299+7652+1000+4621-1600+599+7852+2699-877+1869+6482</f>
        <v>61596</v>
      </c>
      <c r="I6" s="223">
        <f>(1600+2200+20+25+25+6+10)*1.27-0.22</f>
        <v>4935</v>
      </c>
      <c r="J6" s="223"/>
    </row>
    <row r="7" spans="1:10" ht="11.25">
      <c r="A7" s="651" t="s">
        <v>408</v>
      </c>
      <c r="B7" s="652">
        <f>B8+B9+B10+B11</f>
        <v>0</v>
      </c>
      <c r="C7" s="652">
        <f>C8+C9+C10+C11</f>
        <v>0</v>
      </c>
      <c r="D7" s="652">
        <f>D8+D9+D10+D11</f>
        <v>0</v>
      </c>
      <c r="E7" s="223"/>
      <c r="F7" s="11" t="s">
        <v>340</v>
      </c>
      <c r="G7" s="649"/>
      <c r="H7" s="648"/>
      <c r="I7" s="223"/>
      <c r="J7" s="223"/>
    </row>
    <row r="8" spans="1:10" ht="11.25">
      <c r="A8" s="446" t="s">
        <v>284</v>
      </c>
      <c r="B8" s="652"/>
      <c r="C8" s="650"/>
      <c r="D8" s="223"/>
      <c r="E8" s="223"/>
      <c r="F8" s="11" t="s">
        <v>657</v>
      </c>
      <c r="G8" s="649">
        <f>H8+I8</f>
        <v>5288</v>
      </c>
      <c r="H8" s="223">
        <f>5239+3539-3539+49</f>
        <v>5288</v>
      </c>
      <c r="I8" s="648"/>
      <c r="J8" s="223"/>
    </row>
    <row r="9" spans="1:10" ht="22.5">
      <c r="A9" s="446" t="s">
        <v>911</v>
      </c>
      <c r="B9" s="652"/>
      <c r="C9" s="650"/>
      <c r="D9" s="223"/>
      <c r="E9" s="223"/>
      <c r="F9" s="451"/>
      <c r="G9" s="655"/>
      <c r="H9" s="223"/>
      <c r="I9" s="223"/>
      <c r="J9" s="223"/>
    </row>
    <row r="10" spans="1:10" ht="11.25">
      <c r="A10" s="446" t="s">
        <v>286</v>
      </c>
      <c r="B10" s="652"/>
      <c r="C10" s="650"/>
      <c r="D10" s="223"/>
      <c r="E10" s="223"/>
      <c r="F10" s="223"/>
      <c r="G10" s="223"/>
      <c r="H10" s="223"/>
      <c r="I10" s="223"/>
      <c r="J10" s="223"/>
    </row>
    <row r="11" spans="1:10" ht="11.25">
      <c r="A11" s="446" t="s">
        <v>287</v>
      </c>
      <c r="B11" s="652"/>
      <c r="C11" s="650"/>
      <c r="D11" s="223"/>
      <c r="E11" s="223"/>
      <c r="F11" s="223"/>
      <c r="G11" s="223"/>
      <c r="H11" s="223"/>
      <c r="I11" s="223"/>
      <c r="J11" s="223"/>
    </row>
    <row r="12" spans="1:10" ht="11.25">
      <c r="A12" s="651" t="s">
        <v>421</v>
      </c>
      <c r="B12" s="652">
        <f>SUM(B13:B18)</f>
        <v>10032</v>
      </c>
      <c r="C12" s="652">
        <f>SUM(C13:C18)</f>
        <v>8607</v>
      </c>
      <c r="D12" s="652">
        <f>SUM(D14:D18)</f>
        <v>1425</v>
      </c>
      <c r="E12" s="652">
        <f>SUM(E14:E18)</f>
        <v>0</v>
      </c>
      <c r="F12" s="223"/>
      <c r="G12" s="223"/>
      <c r="H12" s="223"/>
      <c r="I12" s="223"/>
      <c r="J12" s="223"/>
    </row>
    <row r="13" spans="1:10" ht="11.25">
      <c r="A13" s="227" t="s">
        <v>995</v>
      </c>
      <c r="B13" s="650">
        <f>C13</f>
        <v>5907</v>
      </c>
      <c r="C13" s="650">
        <f>1500+1000+2280+1308-181</f>
        <v>5907</v>
      </c>
      <c r="D13" s="870"/>
      <c r="E13" s="660"/>
      <c r="F13" s="223"/>
      <c r="G13" s="223"/>
      <c r="H13" s="223"/>
      <c r="I13" s="223"/>
      <c r="J13" s="223"/>
    </row>
    <row r="14" spans="1:10" ht="11.25">
      <c r="A14" s="446" t="s">
        <v>290</v>
      </c>
      <c r="B14" s="653">
        <f>C14</f>
        <v>1151</v>
      </c>
      <c r="C14" s="653">
        <f>731+420</f>
        <v>1151</v>
      </c>
      <c r="D14" s="223"/>
      <c r="E14" s="223"/>
      <c r="F14" s="223"/>
      <c r="G14" s="223"/>
      <c r="H14" s="223"/>
      <c r="I14" s="223"/>
      <c r="J14" s="223"/>
    </row>
    <row r="15" spans="1:10" ht="14.25" customHeight="1">
      <c r="A15" s="446" t="s">
        <v>291</v>
      </c>
      <c r="B15" s="653">
        <f>C15+D15+E15</f>
        <v>648</v>
      </c>
      <c r="C15" s="653"/>
      <c r="D15" s="223">
        <f>-152+800</f>
        <v>648</v>
      </c>
      <c r="E15" s="223"/>
      <c r="F15" s="223"/>
      <c r="G15" s="223"/>
      <c r="H15" s="223"/>
      <c r="I15" s="223"/>
      <c r="J15" s="223"/>
    </row>
    <row r="16" spans="1:10" ht="33.75">
      <c r="A16" s="446" t="s">
        <v>912</v>
      </c>
      <c r="B16" s="653">
        <f>C16+D16+E16</f>
        <v>1687</v>
      </c>
      <c r="C16" s="653">
        <f>616+518+353</f>
        <v>1487</v>
      </c>
      <c r="D16" s="223">
        <f>-124+324</f>
        <v>200</v>
      </c>
      <c r="E16" s="223"/>
      <c r="F16" s="223"/>
      <c r="G16" s="223"/>
      <c r="H16" s="223"/>
      <c r="I16" s="223"/>
      <c r="J16" s="223"/>
    </row>
    <row r="17" spans="1:10" ht="11.25">
      <c r="A17" s="489" t="s">
        <v>298</v>
      </c>
      <c r="B17" s="653">
        <f>C17+D17+E17</f>
        <v>177</v>
      </c>
      <c r="C17" s="653"/>
      <c r="D17" s="223">
        <f>-127+400-96</f>
        <v>177</v>
      </c>
      <c r="E17" s="223"/>
      <c r="F17" s="223"/>
      <c r="G17" s="223"/>
      <c r="H17" s="223"/>
      <c r="I17" s="223"/>
      <c r="J17" s="223"/>
    </row>
    <row r="18" spans="1:10" ht="11.25">
      <c r="A18" s="446" t="s">
        <v>300</v>
      </c>
      <c r="B18" s="653">
        <f>C18+D18+E18</f>
        <v>462</v>
      </c>
      <c r="C18" s="653">
        <f>127+438-503</f>
        <v>62</v>
      </c>
      <c r="D18" s="223">
        <v>400</v>
      </c>
      <c r="E18" s="223"/>
      <c r="F18" s="223"/>
      <c r="G18" s="223"/>
      <c r="H18" s="223"/>
      <c r="I18" s="223"/>
      <c r="J18" s="223"/>
    </row>
    <row r="19" spans="1:10" ht="11.25">
      <c r="A19" s="654" t="s">
        <v>431</v>
      </c>
      <c r="B19" s="655">
        <f>B20+B21</f>
        <v>0</v>
      </c>
      <c r="C19" s="655">
        <f>C20+C21</f>
        <v>0</v>
      </c>
      <c r="D19" s="655">
        <f>D20+D21</f>
        <v>0</v>
      </c>
      <c r="E19" s="223"/>
      <c r="F19" s="223"/>
      <c r="G19" s="223"/>
      <c r="H19" s="223"/>
      <c r="I19" s="223"/>
      <c r="J19" s="223"/>
    </row>
    <row r="20" spans="1:10" ht="15.75" customHeight="1">
      <c r="A20" s="544" t="s">
        <v>308</v>
      </c>
      <c r="B20" s="655"/>
      <c r="C20" s="223"/>
      <c r="D20" s="223"/>
      <c r="E20" s="223"/>
      <c r="F20" s="223"/>
      <c r="G20" s="223"/>
      <c r="H20" s="223"/>
      <c r="I20" s="223"/>
      <c r="J20" s="223"/>
    </row>
    <row r="21" spans="1:10" ht="22.5">
      <c r="A21" s="544" t="s">
        <v>309</v>
      </c>
      <c r="B21" s="655"/>
      <c r="C21" s="223"/>
      <c r="D21" s="223"/>
      <c r="E21" s="223"/>
      <c r="F21" s="223"/>
      <c r="G21" s="223"/>
      <c r="H21" s="223"/>
      <c r="I21" s="223"/>
      <c r="J21" s="223"/>
    </row>
    <row r="22" spans="1:10" ht="11.25">
      <c r="A22" s="656" t="s">
        <v>693</v>
      </c>
      <c r="B22" s="655">
        <f>B4+B7+B12+B19</f>
        <v>223819</v>
      </c>
      <c r="C22" s="655">
        <f aca="true" t="shared" si="0" ref="C22:J22">C4+C7+C12+C19</f>
        <v>222394</v>
      </c>
      <c r="D22" s="655">
        <f t="shared" si="0"/>
        <v>1425</v>
      </c>
      <c r="E22" s="655">
        <f t="shared" si="0"/>
        <v>0</v>
      </c>
      <c r="F22" s="657" t="s">
        <v>694</v>
      </c>
      <c r="G22" s="655">
        <f>SUM(G4:G9)</f>
        <v>301373</v>
      </c>
      <c r="H22" s="655">
        <f>SUM(H4:H9)</f>
        <v>295281</v>
      </c>
      <c r="I22" s="655">
        <f>SUM(I4:I9)</f>
        <v>6092</v>
      </c>
      <c r="J22" s="655">
        <f t="shared" si="0"/>
        <v>0</v>
      </c>
    </row>
    <row r="23" spans="1:10" ht="22.5">
      <c r="A23" s="451" t="s">
        <v>609</v>
      </c>
      <c r="B23" s="650">
        <f>C23+D23+E23</f>
        <v>9216</v>
      </c>
      <c r="C23" s="648">
        <f>1745+5321+3936-1786</f>
        <v>9216</v>
      </c>
      <c r="D23" s="223"/>
      <c r="E23" s="223"/>
      <c r="F23" s="604" t="s">
        <v>661</v>
      </c>
      <c r="G23" s="649">
        <f>H23+I23</f>
        <v>13792</v>
      </c>
      <c r="H23" s="223">
        <f>2011+4189+1132+1374+371+1320+2099+567+155+42+691+186-345</f>
        <v>13792</v>
      </c>
      <c r="I23" s="223"/>
      <c r="J23" s="223"/>
    </row>
    <row r="24" spans="1:10" ht="11.25">
      <c r="A24" s="547" t="s">
        <v>695</v>
      </c>
      <c r="B24" s="655"/>
      <c r="C24" s="648">
        <v>0</v>
      </c>
      <c r="D24" s="223"/>
      <c r="E24" s="223"/>
      <c r="F24" s="604" t="s">
        <v>360</v>
      </c>
      <c r="G24" s="649"/>
      <c r="H24" s="223"/>
      <c r="I24" s="223"/>
      <c r="J24" s="223"/>
    </row>
    <row r="25" spans="1:10" ht="22.5">
      <c r="A25" s="451" t="s">
        <v>297</v>
      </c>
      <c r="B25" s="653"/>
      <c r="C25" s="648"/>
      <c r="D25" s="223"/>
      <c r="E25" s="223"/>
      <c r="F25" s="223" t="s">
        <v>662</v>
      </c>
      <c r="G25" s="223"/>
      <c r="H25" s="223"/>
      <c r="I25" s="223"/>
      <c r="J25" s="223"/>
    </row>
    <row r="26" spans="1:10" ht="21">
      <c r="A26" s="604" t="s">
        <v>696</v>
      </c>
      <c r="B26" s="658">
        <f>B23+B24+B25</f>
        <v>9216</v>
      </c>
      <c r="C26" s="658">
        <f>C23+C24+C25</f>
        <v>9216</v>
      </c>
      <c r="D26" s="658">
        <f>D23+D24+D25</f>
        <v>0</v>
      </c>
      <c r="E26" s="658">
        <f>E23+E24+E25</f>
        <v>0</v>
      </c>
      <c r="F26" s="604" t="s">
        <v>697</v>
      </c>
      <c r="G26" s="648">
        <f>G23+G24</f>
        <v>13792</v>
      </c>
      <c r="H26" s="648">
        <f>H23+H24</f>
        <v>13792</v>
      </c>
      <c r="I26" s="648">
        <f>I23+I24</f>
        <v>0</v>
      </c>
      <c r="J26" s="223"/>
    </row>
    <row r="27" spans="1:10" ht="11.25">
      <c r="A27" s="604" t="s">
        <v>613</v>
      </c>
      <c r="B27" s="659">
        <f>C27+D27</f>
        <v>82130</v>
      </c>
      <c r="C27" s="648">
        <f>383+67748+406+1324+408+4382+1420+407+204-127+668+204+408</f>
        <v>77835</v>
      </c>
      <c r="D27" s="223">
        <f>127+4168</f>
        <v>4295</v>
      </c>
      <c r="E27" s="223"/>
      <c r="F27" s="223" t="s">
        <v>374</v>
      </c>
      <c r="G27" s="223"/>
      <c r="H27" s="223"/>
      <c r="I27" s="223"/>
      <c r="J27" s="223"/>
    </row>
    <row r="28" spans="1:10" ht="11.25">
      <c r="A28" s="604" t="s">
        <v>698</v>
      </c>
      <c r="B28" s="659">
        <f>+B26+B27+B22</f>
        <v>315165</v>
      </c>
      <c r="C28" s="659">
        <f>+C26+C27+C22</f>
        <v>309445</v>
      </c>
      <c r="D28" s="659">
        <f>+D26+D27+D22</f>
        <v>5720</v>
      </c>
      <c r="E28" s="659">
        <f>+E26+E27+E22</f>
        <v>0</v>
      </c>
      <c r="F28" s="226" t="s">
        <v>699</v>
      </c>
      <c r="G28" s="648">
        <f>G26+G22+G27</f>
        <v>315165</v>
      </c>
      <c r="H28" s="648">
        <f>H26+H22</f>
        <v>309073</v>
      </c>
      <c r="I28" s="648">
        <f>I26+I22</f>
        <v>6092</v>
      </c>
      <c r="J28" s="648">
        <f>J26+J22</f>
        <v>0</v>
      </c>
    </row>
    <row r="30" ht="10.5">
      <c r="C30" s="404"/>
    </row>
    <row r="31" spans="1:6" ht="10.5">
      <c r="A31" s="966" t="s">
        <v>151</v>
      </c>
      <c r="B31" s="966"/>
      <c r="C31" s="966"/>
      <c r="D31" s="966"/>
      <c r="E31" s="966"/>
      <c r="F31" s="966"/>
    </row>
  </sheetData>
  <sheetProtection/>
  <mergeCells count="2">
    <mergeCell ref="A1:J1"/>
    <mergeCell ref="A31:F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A30" sqref="A30:F30"/>
    </sheetView>
  </sheetViews>
  <sheetFormatPr defaultColWidth="9.00390625" defaultRowHeight="12.75"/>
  <cols>
    <col min="1" max="1" width="32.125" style="348" customWidth="1"/>
    <col min="2" max="3" width="9.125" style="348" customWidth="1"/>
    <col min="4" max="4" width="7.625" style="348" customWidth="1"/>
    <col min="5" max="5" width="6.125" style="348" customWidth="1"/>
    <col min="6" max="6" width="33.125" style="348" customWidth="1"/>
    <col min="7" max="9" width="9.125" style="348" customWidth="1"/>
    <col min="10" max="10" width="6.25390625" style="348" customWidth="1"/>
    <col min="11" max="16384" width="9.125" style="348" customWidth="1"/>
  </cols>
  <sheetData>
    <row r="1" spans="1:11" ht="12" customHeight="1">
      <c r="A1" s="967" t="s">
        <v>255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</row>
    <row r="2" spans="1:11" ht="10.5">
      <c r="A2" s="409" t="s">
        <v>910</v>
      </c>
      <c r="B2" s="409"/>
      <c r="C2" s="409"/>
      <c r="D2" s="409"/>
      <c r="E2" s="409"/>
      <c r="F2" s="409"/>
      <c r="G2" s="409"/>
      <c r="H2" s="409"/>
      <c r="I2" s="409"/>
      <c r="J2" s="409"/>
      <c r="K2" s="401"/>
    </row>
    <row r="3" spans="1:11" ht="33.75">
      <c r="A3" s="871" t="s">
        <v>689</v>
      </c>
      <c r="B3" s="646" t="s">
        <v>688</v>
      </c>
      <c r="C3" s="646" t="s">
        <v>690</v>
      </c>
      <c r="D3" s="646" t="s">
        <v>691</v>
      </c>
      <c r="E3" s="646" t="s">
        <v>692</v>
      </c>
      <c r="F3" s="645" t="s">
        <v>689</v>
      </c>
      <c r="G3" s="646" t="s">
        <v>688</v>
      </c>
      <c r="H3" s="646" t="s">
        <v>690</v>
      </c>
      <c r="I3" s="646" t="s">
        <v>691</v>
      </c>
      <c r="J3" s="646" t="s">
        <v>692</v>
      </c>
      <c r="K3" s="406"/>
    </row>
    <row r="4" spans="1:10" ht="21.75">
      <c r="A4" s="647" t="s">
        <v>647</v>
      </c>
      <c r="B4" s="225">
        <f>B5+B6</f>
        <v>0</v>
      </c>
      <c r="C4" s="225">
        <f>C5+C6</f>
        <v>0</v>
      </c>
      <c r="D4" s="225">
        <f>D5+D6</f>
        <v>0</v>
      </c>
      <c r="E4" s="225">
        <f>E5+E6</f>
        <v>0</v>
      </c>
      <c r="F4" s="11" t="s">
        <v>334</v>
      </c>
      <c r="G4" s="661">
        <f>H4+I4</f>
        <v>63054</v>
      </c>
      <c r="H4" s="661">
        <f>59270+297+332+1351+912+779+250+137-274</f>
        <v>63054</v>
      </c>
      <c r="I4" s="223"/>
      <c r="J4" s="223"/>
    </row>
    <row r="5" spans="1:10" ht="22.5">
      <c r="A5" s="451" t="s">
        <v>687</v>
      </c>
      <c r="B5" s="650"/>
      <c r="C5" s="223"/>
      <c r="D5" s="223"/>
      <c r="E5" s="223"/>
      <c r="F5" s="11" t="s">
        <v>336</v>
      </c>
      <c r="G5" s="661">
        <f>H5+I5</f>
        <v>16265</v>
      </c>
      <c r="H5" s="662">
        <f>16400+80+89-1204+247+209+78+36+330</f>
        <v>16265</v>
      </c>
      <c r="I5" s="223"/>
      <c r="J5" s="223"/>
    </row>
    <row r="6" spans="1:10" ht="22.5">
      <c r="A6" s="451" t="s">
        <v>276</v>
      </c>
      <c r="B6" s="650"/>
      <c r="C6" s="648"/>
      <c r="D6" s="223"/>
      <c r="E6" s="223"/>
      <c r="F6" s="11" t="s">
        <v>338</v>
      </c>
      <c r="G6" s="661">
        <f>H6+I6</f>
        <v>87986</v>
      </c>
      <c r="H6" s="662">
        <f>84520+1569-1569+1997+2500-1031</f>
        <v>87986</v>
      </c>
      <c r="I6" s="223"/>
      <c r="J6" s="223"/>
    </row>
    <row r="7" spans="1:10" ht="11.25">
      <c r="A7" s="651" t="s">
        <v>408</v>
      </c>
      <c r="B7" s="652">
        <f>B8+B9+B10+B11</f>
        <v>0</v>
      </c>
      <c r="C7" s="652">
        <f>C8+C9+C10+C11</f>
        <v>0</v>
      </c>
      <c r="D7" s="652">
        <f>D8+D9+D10+D11</f>
        <v>0</v>
      </c>
      <c r="E7" s="223"/>
      <c r="F7" s="11" t="s">
        <v>340</v>
      </c>
      <c r="G7" s="661">
        <f>H7+I7</f>
        <v>0</v>
      </c>
      <c r="H7" s="648"/>
      <c r="I7" s="223"/>
      <c r="J7" s="223"/>
    </row>
    <row r="8" spans="1:10" ht="12" customHeight="1">
      <c r="A8" s="446" t="s">
        <v>284</v>
      </c>
      <c r="B8" s="652"/>
      <c r="C8" s="650"/>
      <c r="D8" s="223"/>
      <c r="E8" s="223"/>
      <c r="F8" s="11" t="s">
        <v>657</v>
      </c>
      <c r="G8" s="661">
        <f>H8+I8</f>
        <v>2653</v>
      </c>
      <c r="H8" s="223">
        <f>1063+2632-1063+21</f>
        <v>2653</v>
      </c>
      <c r="I8" s="648"/>
      <c r="J8" s="223"/>
    </row>
    <row r="9" spans="1:10" ht="22.5">
      <c r="A9" s="446" t="s">
        <v>915</v>
      </c>
      <c r="B9" s="652"/>
      <c r="C9" s="650"/>
      <c r="D9" s="223"/>
      <c r="E9" s="223"/>
      <c r="F9" s="451"/>
      <c r="G9" s="655"/>
      <c r="H9" s="223"/>
      <c r="I9" s="223"/>
      <c r="J9" s="223"/>
    </row>
    <row r="10" spans="1:10" ht="11.25">
      <c r="A10" s="446" t="s">
        <v>286</v>
      </c>
      <c r="B10" s="652"/>
      <c r="C10" s="650"/>
      <c r="D10" s="223"/>
      <c r="E10" s="223"/>
      <c r="F10" s="223"/>
      <c r="G10" s="223"/>
      <c r="H10" s="223"/>
      <c r="I10" s="223"/>
      <c r="J10" s="223"/>
    </row>
    <row r="11" spans="1:10" ht="11.25">
      <c r="A11" s="446" t="s">
        <v>287</v>
      </c>
      <c r="B11" s="652"/>
      <c r="C11" s="650"/>
      <c r="D11" s="223"/>
      <c r="E11" s="223"/>
      <c r="F11" s="223"/>
      <c r="G11" s="223"/>
      <c r="H11" s="223"/>
      <c r="I11" s="223"/>
      <c r="J11" s="223"/>
    </row>
    <row r="12" spans="1:10" ht="11.25">
      <c r="A12" s="651" t="s">
        <v>421</v>
      </c>
      <c r="B12" s="652">
        <f>SUM(B13:B19)</f>
        <v>48258</v>
      </c>
      <c r="C12" s="652">
        <f>SUM(C13:C19)</f>
        <v>48258</v>
      </c>
      <c r="D12" s="652">
        <f>SUM(D13:D19)</f>
        <v>0</v>
      </c>
      <c r="E12" s="652">
        <f>SUM(E13:E19)</f>
        <v>0</v>
      </c>
      <c r="F12" s="223"/>
      <c r="G12" s="223"/>
      <c r="H12" s="223"/>
      <c r="I12" s="223"/>
      <c r="J12" s="223"/>
    </row>
    <row r="13" spans="1:10" ht="11.25">
      <c r="A13" s="446" t="s">
        <v>293</v>
      </c>
      <c r="B13" s="653">
        <f aca="true" t="shared" si="0" ref="B13:B19">C13</f>
        <v>39578</v>
      </c>
      <c r="C13" s="653">
        <f>46292-5635-787-1042+750</f>
        <v>39578</v>
      </c>
      <c r="D13" s="223"/>
      <c r="E13" s="223"/>
      <c r="F13" s="223"/>
      <c r="G13" s="223"/>
      <c r="H13" s="223"/>
      <c r="I13" s="223"/>
      <c r="J13" s="223"/>
    </row>
    <row r="14" spans="1:10" ht="14.25" customHeight="1">
      <c r="A14" s="446" t="s">
        <v>290</v>
      </c>
      <c r="B14" s="653">
        <f t="shared" si="0"/>
        <v>3806</v>
      </c>
      <c r="C14" s="653">
        <v>3806</v>
      </c>
      <c r="D14" s="223"/>
      <c r="E14" s="223"/>
      <c r="F14" s="223"/>
      <c r="G14" s="223"/>
      <c r="H14" s="223"/>
      <c r="I14" s="223"/>
      <c r="J14" s="223"/>
    </row>
    <row r="15" spans="1:10" ht="21.75" customHeight="1">
      <c r="A15" s="446" t="s">
        <v>291</v>
      </c>
      <c r="B15" s="653">
        <f t="shared" si="0"/>
        <v>113</v>
      </c>
      <c r="C15" s="653">
        <v>113</v>
      </c>
      <c r="D15" s="223"/>
      <c r="E15" s="223"/>
      <c r="F15" s="223"/>
      <c r="G15" s="223"/>
      <c r="H15" s="223"/>
      <c r="I15" s="223"/>
      <c r="J15" s="223"/>
    </row>
    <row r="16" spans="1:10" ht="24.75" customHeight="1">
      <c r="A16" s="446" t="s">
        <v>913</v>
      </c>
      <c r="B16" s="653">
        <f t="shared" si="0"/>
        <v>4639</v>
      </c>
      <c r="C16" s="653">
        <f>-216+5179-324</f>
        <v>4639</v>
      </c>
      <c r="D16" s="223"/>
      <c r="E16" s="223"/>
      <c r="F16" s="223"/>
      <c r="G16" s="223"/>
      <c r="H16" s="223"/>
      <c r="I16" s="223"/>
      <c r="J16" s="223"/>
    </row>
    <row r="17" spans="1:10" ht="22.5">
      <c r="A17" s="446" t="s">
        <v>914</v>
      </c>
      <c r="B17" s="653">
        <f t="shared" si="0"/>
        <v>0</v>
      </c>
      <c r="C17" s="653">
        <f>-847+847</f>
        <v>0</v>
      </c>
      <c r="D17" s="223"/>
      <c r="E17" s="223"/>
      <c r="F17" s="223"/>
      <c r="G17" s="223"/>
      <c r="H17" s="223"/>
      <c r="I17" s="223"/>
      <c r="J17" s="223"/>
    </row>
    <row r="18" spans="1:10" ht="11.25">
      <c r="A18" s="446" t="s">
        <v>78</v>
      </c>
      <c r="B18" s="653">
        <f t="shared" si="0"/>
        <v>8</v>
      </c>
      <c r="C18" s="653">
        <v>8</v>
      </c>
      <c r="D18" s="223"/>
      <c r="E18" s="223"/>
      <c r="F18" s="223"/>
      <c r="G18" s="223"/>
      <c r="H18" s="223"/>
      <c r="I18" s="223"/>
      <c r="J18" s="223"/>
    </row>
    <row r="19" spans="1:10" ht="32.25" customHeight="1">
      <c r="A19" s="446" t="s">
        <v>300</v>
      </c>
      <c r="B19" s="653">
        <f t="shared" si="0"/>
        <v>114</v>
      </c>
      <c r="C19" s="653">
        <v>114</v>
      </c>
      <c r="D19" s="223"/>
      <c r="E19" s="223"/>
      <c r="F19" s="223"/>
      <c r="G19" s="223"/>
      <c r="H19" s="223"/>
      <c r="I19" s="223"/>
      <c r="J19" s="223"/>
    </row>
    <row r="20" spans="1:10" ht="15.75" customHeight="1">
      <c r="A20" s="654" t="s">
        <v>431</v>
      </c>
      <c r="B20" s="655">
        <f>B21+B22</f>
        <v>0</v>
      </c>
      <c r="C20" s="655">
        <f>C21+C22</f>
        <v>0</v>
      </c>
      <c r="D20" s="655">
        <f>D21+D22</f>
        <v>0</v>
      </c>
      <c r="E20" s="223"/>
      <c r="F20" s="223"/>
      <c r="G20" s="223"/>
      <c r="H20" s="223"/>
      <c r="I20" s="223"/>
      <c r="J20" s="223"/>
    </row>
    <row r="21" spans="1:10" ht="15" customHeight="1">
      <c r="A21" s="544" t="s">
        <v>308</v>
      </c>
      <c r="B21" s="655"/>
      <c r="C21" s="223"/>
      <c r="D21" s="223"/>
      <c r="E21" s="223"/>
      <c r="F21" s="223"/>
      <c r="G21" s="223"/>
      <c r="H21" s="223"/>
      <c r="I21" s="223"/>
      <c r="J21" s="223"/>
    </row>
    <row r="22" spans="1:10" ht="11.25">
      <c r="A22" s="544" t="s">
        <v>309</v>
      </c>
      <c r="B22" s="655"/>
      <c r="C22" s="223"/>
      <c r="D22" s="223"/>
      <c r="E22" s="223"/>
      <c r="F22" s="223"/>
      <c r="G22" s="223"/>
      <c r="H22" s="223"/>
      <c r="I22" s="223"/>
      <c r="J22" s="223"/>
    </row>
    <row r="23" spans="1:10" ht="11.25">
      <c r="A23" s="656" t="s">
        <v>693</v>
      </c>
      <c r="B23" s="655">
        <f>B4+B7+B12+B20</f>
        <v>48258</v>
      </c>
      <c r="C23" s="655">
        <f aca="true" t="shared" si="1" ref="C23:J23">C4+C7+C12+C20</f>
        <v>48258</v>
      </c>
      <c r="D23" s="655">
        <f t="shared" si="1"/>
        <v>0</v>
      </c>
      <c r="E23" s="655">
        <f t="shared" si="1"/>
        <v>0</v>
      </c>
      <c r="F23" s="657" t="s">
        <v>694</v>
      </c>
      <c r="G23" s="655">
        <f>SUM(G4:G9)</f>
        <v>169958</v>
      </c>
      <c r="H23" s="655">
        <f>SUM(H4:H9)</f>
        <v>169958</v>
      </c>
      <c r="I23" s="655">
        <f>SUM(I4:I9)</f>
        <v>0</v>
      </c>
      <c r="J23" s="655">
        <f t="shared" si="1"/>
        <v>0</v>
      </c>
    </row>
    <row r="24" spans="1:10" ht="21" customHeight="1">
      <c r="A24" s="451" t="s">
        <v>916</v>
      </c>
      <c r="B24" s="650"/>
      <c r="C24" s="648"/>
      <c r="D24" s="223"/>
      <c r="E24" s="223"/>
      <c r="F24" s="604" t="s">
        <v>661</v>
      </c>
      <c r="G24" s="649">
        <f>H24</f>
        <v>634</v>
      </c>
      <c r="H24" s="223">
        <f>50+537+47</f>
        <v>634</v>
      </c>
      <c r="I24" s="223"/>
      <c r="J24" s="223"/>
    </row>
    <row r="25" spans="1:10" ht="15.75" customHeight="1">
      <c r="A25" s="547" t="s">
        <v>695</v>
      </c>
      <c r="B25" s="655"/>
      <c r="C25" s="648"/>
      <c r="D25" s="223"/>
      <c r="E25" s="223"/>
      <c r="F25" s="604" t="s">
        <v>360</v>
      </c>
      <c r="G25" s="649"/>
      <c r="H25" s="223"/>
      <c r="I25" s="223"/>
      <c r="J25" s="223"/>
    </row>
    <row r="26" spans="1:10" ht="22.5">
      <c r="A26" s="451" t="s">
        <v>297</v>
      </c>
      <c r="B26" s="653"/>
      <c r="C26" s="648"/>
      <c r="D26" s="223"/>
      <c r="E26" s="223"/>
      <c r="F26" s="223" t="s">
        <v>662</v>
      </c>
      <c r="G26" s="223"/>
      <c r="H26" s="223"/>
      <c r="I26" s="223"/>
      <c r="J26" s="223"/>
    </row>
    <row r="27" spans="1:10" ht="21">
      <c r="A27" s="604" t="s">
        <v>696</v>
      </c>
      <c r="B27" s="658">
        <f>B24+B25+B26</f>
        <v>0</v>
      </c>
      <c r="C27" s="658">
        <f>C24+C25+C26</f>
        <v>0</v>
      </c>
      <c r="D27" s="658">
        <f>D24+D25+D26</f>
        <v>0</v>
      </c>
      <c r="E27" s="658">
        <f>E24+E25+E26</f>
        <v>0</v>
      </c>
      <c r="F27" s="604" t="s">
        <v>697</v>
      </c>
      <c r="G27" s="648">
        <f>G24+G25</f>
        <v>634</v>
      </c>
      <c r="H27" s="648">
        <f>H24+H25</f>
        <v>634</v>
      </c>
      <c r="I27" s="648">
        <f>I24+I25</f>
        <v>0</v>
      </c>
      <c r="J27" s="223"/>
    </row>
    <row r="28" spans="1:10" ht="11.25">
      <c r="A28" s="604" t="s">
        <v>613</v>
      </c>
      <c r="B28" s="659">
        <f>C28+D28</f>
        <v>122334</v>
      </c>
      <c r="C28" s="648">
        <f>108409+377+50+421+1716+1063+1159+3988+328+173+2500+2150</f>
        <v>122334</v>
      </c>
      <c r="D28" s="223"/>
      <c r="E28" s="223"/>
      <c r="F28" s="223" t="s">
        <v>374</v>
      </c>
      <c r="G28" s="223"/>
      <c r="H28" s="223"/>
      <c r="I28" s="223"/>
      <c r="J28" s="223"/>
    </row>
    <row r="29" spans="1:10" ht="11.25">
      <c r="A29" s="604" t="s">
        <v>698</v>
      </c>
      <c r="B29" s="659">
        <f>+B27+B28+B23</f>
        <v>170592</v>
      </c>
      <c r="C29" s="659">
        <f>+C27+C28+C23</f>
        <v>170592</v>
      </c>
      <c r="D29" s="659">
        <f>+D27+D28+D23</f>
        <v>0</v>
      </c>
      <c r="E29" s="659">
        <f>+E27+E28+E23</f>
        <v>0</v>
      </c>
      <c r="F29" s="226" t="s">
        <v>699</v>
      </c>
      <c r="G29" s="225">
        <f>G27+G23+G28</f>
        <v>170592</v>
      </c>
      <c r="H29" s="225">
        <f>H27+H23</f>
        <v>170592</v>
      </c>
      <c r="I29" s="648">
        <f>I27+I23</f>
        <v>0</v>
      </c>
      <c r="J29" s="648">
        <f>J27+J23</f>
        <v>0</v>
      </c>
    </row>
    <row r="30" spans="1:6" ht="10.5">
      <c r="A30" s="966" t="s">
        <v>151</v>
      </c>
      <c r="B30" s="966"/>
      <c r="C30" s="966"/>
      <c r="D30" s="966"/>
      <c r="E30" s="966"/>
      <c r="F30" s="966"/>
    </row>
  </sheetData>
  <sheetProtection/>
  <mergeCells count="2">
    <mergeCell ref="A1:K1"/>
    <mergeCell ref="A30:F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A32" sqref="A32:F32"/>
    </sheetView>
  </sheetViews>
  <sheetFormatPr defaultColWidth="9.00390625" defaultRowHeight="12.75"/>
  <cols>
    <col min="1" max="1" width="34.625" style="348" customWidth="1"/>
    <col min="2" max="3" width="9.125" style="348" customWidth="1"/>
    <col min="4" max="4" width="7.625" style="348" customWidth="1"/>
    <col min="5" max="5" width="5.25390625" style="348" customWidth="1"/>
    <col min="6" max="6" width="32.375" style="348" customWidth="1"/>
    <col min="7" max="8" width="9.125" style="348" customWidth="1"/>
    <col min="9" max="9" width="7.25390625" style="348" customWidth="1"/>
    <col min="10" max="10" width="5.75390625" style="348" customWidth="1"/>
    <col min="11" max="16384" width="9.125" style="348" customWidth="1"/>
  </cols>
  <sheetData>
    <row r="1" spans="1:11" ht="10.5">
      <c r="A1" s="967" t="s">
        <v>254</v>
      </c>
      <c r="B1" s="967"/>
      <c r="C1" s="967"/>
      <c r="D1" s="967"/>
      <c r="E1" s="967"/>
      <c r="F1" s="967"/>
      <c r="G1" s="967"/>
      <c r="H1" s="967"/>
      <c r="I1" s="967"/>
      <c r="J1" s="967"/>
      <c r="K1" s="408"/>
    </row>
    <row r="2" spans="1:11" ht="21.75" customHeight="1">
      <c r="A2" s="944" t="s">
        <v>246</v>
      </c>
      <c r="B2" s="944"/>
      <c r="C2" s="944"/>
      <c r="D2" s="944"/>
      <c r="E2" s="944"/>
      <c r="F2" s="944"/>
      <c r="G2" s="944"/>
      <c r="H2" s="944"/>
      <c r="I2" s="944"/>
      <c r="J2" s="944"/>
      <c r="K2" s="352"/>
    </row>
    <row r="3" spans="1:10" ht="33.75">
      <c r="A3" s="645" t="s">
        <v>689</v>
      </c>
      <c r="B3" s="646" t="s">
        <v>688</v>
      </c>
      <c r="C3" s="646" t="s">
        <v>690</v>
      </c>
      <c r="D3" s="646" t="s">
        <v>691</v>
      </c>
      <c r="E3" s="646" t="s">
        <v>692</v>
      </c>
      <c r="F3" s="645" t="s">
        <v>689</v>
      </c>
      <c r="G3" s="646" t="s">
        <v>688</v>
      </c>
      <c r="H3" s="646" t="s">
        <v>690</v>
      </c>
      <c r="I3" s="646" t="s">
        <v>691</v>
      </c>
      <c r="J3" s="646" t="s">
        <v>692</v>
      </c>
    </row>
    <row r="4" spans="1:10" ht="22.5" customHeight="1">
      <c r="A4" s="647" t="s">
        <v>647</v>
      </c>
      <c r="B4" s="225">
        <f>B5+B6</f>
        <v>0</v>
      </c>
      <c r="C4" s="225">
        <f>C5+C6</f>
        <v>0</v>
      </c>
      <c r="D4" s="225">
        <f>D5+D6</f>
        <v>0</v>
      </c>
      <c r="E4" s="225">
        <f>E5+E6</f>
        <v>0</v>
      </c>
      <c r="F4" s="11" t="s">
        <v>334</v>
      </c>
      <c r="G4" s="661">
        <f>H4+I4</f>
        <v>18878</v>
      </c>
      <c r="H4" s="661">
        <f>17315+58+267+234+178+89+89-250-62</f>
        <v>17918</v>
      </c>
      <c r="I4" s="223">
        <f>624+336</f>
        <v>960</v>
      </c>
      <c r="J4" s="223"/>
    </row>
    <row r="5" spans="1:10" ht="22.5">
      <c r="A5" s="451" t="s">
        <v>687</v>
      </c>
      <c r="B5" s="650"/>
      <c r="C5" s="223"/>
      <c r="D5" s="223"/>
      <c r="E5" s="223"/>
      <c r="F5" s="11" t="s">
        <v>336</v>
      </c>
      <c r="G5" s="661">
        <f>H5+I5</f>
        <v>4665</v>
      </c>
      <c r="H5" s="662">
        <f>4715+15+72-474+48+24+24-68+50</f>
        <v>4406</v>
      </c>
      <c r="I5" s="223">
        <f>168+91</f>
        <v>259</v>
      </c>
      <c r="J5" s="223"/>
    </row>
    <row r="6" spans="1:10" ht="22.5">
      <c r="A6" s="451" t="s">
        <v>276</v>
      </c>
      <c r="B6" s="650"/>
      <c r="C6" s="648"/>
      <c r="D6" s="223"/>
      <c r="E6" s="223"/>
      <c r="F6" s="11" t="s">
        <v>338</v>
      </c>
      <c r="G6" s="661">
        <f>H6+I6</f>
        <v>15935</v>
      </c>
      <c r="H6" s="662">
        <f>15297-280+1801+774-774+239+444+1145-2182-2365</f>
        <v>14099</v>
      </c>
      <c r="I6" s="223">
        <f>600*1.27+1074</f>
        <v>1836</v>
      </c>
      <c r="J6" s="223"/>
    </row>
    <row r="7" spans="1:10" ht="11.25">
      <c r="A7" s="651" t="s">
        <v>408</v>
      </c>
      <c r="B7" s="652">
        <f>B8+B9+B10+B11</f>
        <v>0</v>
      </c>
      <c r="C7" s="652">
        <f>C8+C9+C10+C11</f>
        <v>0</v>
      </c>
      <c r="D7" s="652">
        <f>D8+D9+D10+D11</f>
        <v>0</v>
      </c>
      <c r="E7" s="223"/>
      <c r="F7" s="11" t="s">
        <v>340</v>
      </c>
      <c r="G7" s="661">
        <f>H7+I7</f>
        <v>0</v>
      </c>
      <c r="H7" s="648"/>
      <c r="I7" s="223"/>
      <c r="J7" s="223"/>
    </row>
    <row r="8" spans="1:10" ht="13.5" customHeight="1">
      <c r="A8" s="446" t="s">
        <v>284</v>
      </c>
      <c r="B8" s="652"/>
      <c r="C8" s="650"/>
      <c r="D8" s="223"/>
      <c r="E8" s="223"/>
      <c r="F8" s="11" t="s">
        <v>657</v>
      </c>
      <c r="G8" s="661">
        <f>H8+I8</f>
        <v>651</v>
      </c>
      <c r="H8" s="223">
        <f>134+656-134+53-58</f>
        <v>651</v>
      </c>
      <c r="I8" s="648"/>
      <c r="J8" s="223"/>
    </row>
    <row r="9" spans="1:10" ht="22.5">
      <c r="A9" s="446" t="s">
        <v>285</v>
      </c>
      <c r="B9" s="652"/>
      <c r="C9" s="650"/>
      <c r="D9" s="223"/>
      <c r="E9" s="223"/>
      <c r="F9" s="451"/>
      <c r="G9" s="655"/>
      <c r="H9" s="223"/>
      <c r="I9" s="223"/>
      <c r="J9" s="223"/>
    </row>
    <row r="10" spans="1:10" ht="11.25">
      <c r="A10" s="446" t="s">
        <v>286</v>
      </c>
      <c r="B10" s="652"/>
      <c r="C10" s="650"/>
      <c r="D10" s="223"/>
      <c r="E10" s="223"/>
      <c r="F10" s="223"/>
      <c r="G10" s="223"/>
      <c r="H10" s="223"/>
      <c r="I10" s="223"/>
      <c r="J10" s="223"/>
    </row>
    <row r="11" spans="1:10" ht="11.25">
      <c r="A11" s="446" t="s">
        <v>287</v>
      </c>
      <c r="B11" s="652"/>
      <c r="C11" s="650"/>
      <c r="D11" s="223"/>
      <c r="E11" s="223"/>
      <c r="F11" s="223"/>
      <c r="G11" s="223"/>
      <c r="H11" s="223"/>
      <c r="I11" s="223"/>
      <c r="J11" s="223"/>
    </row>
    <row r="12" spans="1:10" ht="11.25">
      <c r="A12" s="651" t="s">
        <v>421</v>
      </c>
      <c r="B12" s="652">
        <f>SUM(B13:B19)</f>
        <v>6094</v>
      </c>
      <c r="C12" s="652">
        <f>SUM(C13:C19)</f>
        <v>4020</v>
      </c>
      <c r="D12" s="652">
        <f>SUM(D13:D19)</f>
        <v>2074</v>
      </c>
      <c r="E12" s="652">
        <f>SUM(E13:E18)</f>
        <v>0</v>
      </c>
      <c r="F12" s="223"/>
      <c r="G12" s="223"/>
      <c r="H12" s="223"/>
      <c r="I12" s="223"/>
      <c r="J12" s="223"/>
    </row>
    <row r="13" spans="1:10" ht="11.25">
      <c r="A13" s="446" t="s">
        <v>293</v>
      </c>
      <c r="B13" s="653"/>
      <c r="C13" s="653"/>
      <c r="D13" s="223"/>
      <c r="E13" s="223"/>
      <c r="F13" s="223"/>
      <c r="G13" s="223"/>
      <c r="H13" s="223"/>
      <c r="I13" s="223"/>
      <c r="J13" s="223"/>
    </row>
    <row r="14" spans="1:10" ht="9.75" customHeight="1">
      <c r="A14" s="446" t="s">
        <v>291</v>
      </c>
      <c r="B14" s="653">
        <f>C14+D14</f>
        <v>1592</v>
      </c>
      <c r="C14" s="653"/>
      <c r="D14" s="223">
        <f>-826+2418</f>
        <v>1592</v>
      </c>
      <c r="E14" s="223"/>
      <c r="F14" s="223"/>
      <c r="G14" s="223"/>
      <c r="H14" s="223"/>
      <c r="I14" s="223"/>
      <c r="J14" s="223"/>
    </row>
    <row r="15" spans="1:10" ht="18.75" customHeight="1">
      <c r="A15" s="446" t="s">
        <v>290</v>
      </c>
      <c r="B15" s="653">
        <v>905</v>
      </c>
      <c r="C15" s="653">
        <v>905</v>
      </c>
      <c r="D15" s="223"/>
      <c r="E15" s="223"/>
      <c r="F15" s="223"/>
      <c r="G15" s="223"/>
      <c r="H15" s="223"/>
      <c r="I15" s="223"/>
      <c r="J15" s="223"/>
    </row>
    <row r="16" spans="1:10" ht="21" customHeight="1">
      <c r="A16" s="446" t="s">
        <v>294</v>
      </c>
      <c r="B16" s="653">
        <f>C16+D16</f>
        <v>703</v>
      </c>
      <c r="C16" s="653">
        <v>221</v>
      </c>
      <c r="D16" s="223">
        <f>172+162+148</f>
        <v>482</v>
      </c>
      <c r="E16" s="223"/>
      <c r="F16" s="223"/>
      <c r="G16" s="223"/>
      <c r="H16" s="223"/>
      <c r="I16" s="223"/>
      <c r="J16" s="223"/>
    </row>
    <row r="17" spans="1:10" ht="33.75">
      <c r="A17" s="446" t="s">
        <v>296</v>
      </c>
      <c r="B17" s="653"/>
      <c r="C17" s="653"/>
      <c r="D17" s="223"/>
      <c r="E17" s="223"/>
      <c r="F17" s="223"/>
      <c r="G17" s="223"/>
      <c r="H17" s="223"/>
      <c r="I17" s="223"/>
      <c r="J17" s="223"/>
    </row>
    <row r="18" spans="1:10" ht="13.5" customHeight="1">
      <c r="A18" s="446" t="s">
        <v>300</v>
      </c>
      <c r="B18" s="653">
        <f>C18</f>
        <v>2891</v>
      </c>
      <c r="C18" s="653">
        <f>-271+3162</f>
        <v>2891</v>
      </c>
      <c r="D18" s="223"/>
      <c r="E18" s="223"/>
      <c r="F18" s="223"/>
      <c r="G18" s="223"/>
      <c r="H18" s="223"/>
      <c r="I18" s="223"/>
      <c r="J18" s="223"/>
    </row>
    <row r="19" spans="1:10" ht="11.25">
      <c r="A19" s="446" t="s">
        <v>173</v>
      </c>
      <c r="B19" s="653">
        <f>C19</f>
        <v>3</v>
      </c>
      <c r="C19" s="653">
        <f>-7+10</f>
        <v>3</v>
      </c>
      <c r="D19" s="223"/>
      <c r="E19" s="223"/>
      <c r="F19" s="223"/>
      <c r="G19" s="223"/>
      <c r="H19" s="223"/>
      <c r="I19" s="223"/>
      <c r="J19" s="223"/>
    </row>
    <row r="20" spans="1:10" ht="12.75" customHeight="1">
      <c r="A20" s="654" t="s">
        <v>431</v>
      </c>
      <c r="B20" s="655">
        <f>B21+B22</f>
        <v>0</v>
      </c>
      <c r="C20" s="655">
        <f>C21+C22</f>
        <v>0</v>
      </c>
      <c r="D20" s="655">
        <f>D21+D22</f>
        <v>0</v>
      </c>
      <c r="E20" s="223"/>
      <c r="F20" s="223"/>
      <c r="G20" s="223"/>
      <c r="H20" s="223"/>
      <c r="I20" s="223"/>
      <c r="J20" s="223"/>
    </row>
    <row r="21" spans="1:10" ht="33.75">
      <c r="A21" s="544" t="s">
        <v>308</v>
      </c>
      <c r="B21" s="655"/>
      <c r="C21" s="223"/>
      <c r="D21" s="223"/>
      <c r="E21" s="223"/>
      <c r="F21" s="223"/>
      <c r="G21" s="223"/>
      <c r="H21" s="223"/>
      <c r="I21" s="223"/>
      <c r="J21" s="223"/>
    </row>
    <row r="22" spans="1:10" ht="11.25">
      <c r="A22" s="544" t="s">
        <v>309</v>
      </c>
      <c r="B22" s="655"/>
      <c r="C22" s="223"/>
      <c r="D22" s="223"/>
      <c r="E22" s="223"/>
      <c r="F22" s="223"/>
      <c r="G22" s="223"/>
      <c r="H22" s="223"/>
      <c r="I22" s="223"/>
      <c r="J22" s="223"/>
    </row>
    <row r="23" spans="1:10" ht="11.25">
      <c r="A23" s="656" t="s">
        <v>693</v>
      </c>
      <c r="B23" s="655">
        <f>B4+B7+B12+B20</f>
        <v>6094</v>
      </c>
      <c r="C23" s="655">
        <f aca="true" t="shared" si="0" ref="C23:J23">C4+C7+C12+C20</f>
        <v>4020</v>
      </c>
      <c r="D23" s="655">
        <f t="shared" si="0"/>
        <v>2074</v>
      </c>
      <c r="E23" s="655">
        <f t="shared" si="0"/>
        <v>0</v>
      </c>
      <c r="F23" s="657" t="s">
        <v>694</v>
      </c>
      <c r="G23" s="655">
        <f>SUM(G4:G9)</f>
        <v>40129</v>
      </c>
      <c r="H23" s="655">
        <f>SUM(H4:H9)</f>
        <v>37074</v>
      </c>
      <c r="I23" s="655">
        <f>SUM(I4:I9)</f>
        <v>3055</v>
      </c>
      <c r="J23" s="655">
        <f t="shared" si="0"/>
        <v>0</v>
      </c>
    </row>
    <row r="24" spans="1:10" ht="15.75" customHeight="1">
      <c r="A24" s="451" t="s">
        <v>609</v>
      </c>
      <c r="B24" s="650"/>
      <c r="C24" s="648"/>
      <c r="D24" s="223"/>
      <c r="E24" s="223"/>
      <c r="F24" s="604" t="s">
        <v>661</v>
      </c>
      <c r="G24" s="649">
        <f>H24+I24+J24</f>
        <v>2604</v>
      </c>
      <c r="H24" s="223">
        <f>774+280+1550</f>
        <v>2604</v>
      </c>
      <c r="I24" s="223"/>
      <c r="J24" s="223"/>
    </row>
    <row r="25" spans="1:10" ht="11.25">
      <c r="A25" s="547" t="s">
        <v>695</v>
      </c>
      <c r="B25" s="655"/>
      <c r="C25" s="648"/>
      <c r="D25" s="223"/>
      <c r="E25" s="223"/>
      <c r="F25" s="604" t="s">
        <v>360</v>
      </c>
      <c r="G25" s="649"/>
      <c r="H25" s="223"/>
      <c r="I25" s="223"/>
      <c r="J25" s="223"/>
    </row>
    <row r="26" spans="1:10" ht="22.5">
      <c r="A26" s="451" t="s">
        <v>297</v>
      </c>
      <c r="B26" s="653"/>
      <c r="C26" s="648"/>
      <c r="D26" s="223"/>
      <c r="E26" s="223"/>
      <c r="F26" s="223" t="s">
        <v>662</v>
      </c>
      <c r="G26" s="223"/>
      <c r="H26" s="223"/>
      <c r="I26" s="223"/>
      <c r="J26" s="223"/>
    </row>
    <row r="27" spans="1:10" ht="11.25">
      <c r="A27" s="604" t="s">
        <v>696</v>
      </c>
      <c r="B27" s="658">
        <f>B24+B25+B26</f>
        <v>0</v>
      </c>
      <c r="C27" s="658">
        <f>C24+C25+C26</f>
        <v>0</v>
      </c>
      <c r="D27" s="658">
        <f>D24+D25+D26</f>
        <v>0</v>
      </c>
      <c r="E27" s="658">
        <f>E24+E25+E26</f>
        <v>0</v>
      </c>
      <c r="F27" s="604" t="s">
        <v>697</v>
      </c>
      <c r="G27" s="648">
        <f>G24+G25</f>
        <v>2604</v>
      </c>
      <c r="H27" s="648">
        <f>H24+H25</f>
        <v>2604</v>
      </c>
      <c r="I27" s="648">
        <f>I24+I25</f>
        <v>0</v>
      </c>
      <c r="J27" s="223"/>
    </row>
    <row r="28" spans="1:10" ht="11.25">
      <c r="A28" s="604" t="s">
        <v>613</v>
      </c>
      <c r="B28" s="659">
        <f>C28+D28</f>
        <v>36639</v>
      </c>
      <c r="C28" s="648">
        <f>34029+73+339+1344+351+774+923+226-31+113-162+1398+113-2500-506</f>
        <v>36484</v>
      </c>
      <c r="D28" s="223">
        <f>2283-761+31-1398</f>
        <v>155</v>
      </c>
      <c r="E28" s="223"/>
      <c r="F28" s="223" t="s">
        <v>374</v>
      </c>
      <c r="G28" s="223"/>
      <c r="H28" s="223"/>
      <c r="I28" s="223"/>
      <c r="J28" s="223"/>
    </row>
    <row r="29" spans="1:10" ht="11.25">
      <c r="A29" s="604" t="s">
        <v>698</v>
      </c>
      <c r="B29" s="659">
        <f>+B27+B28+B23</f>
        <v>42733</v>
      </c>
      <c r="C29" s="659">
        <f>+C27+C28+C23</f>
        <v>40504</v>
      </c>
      <c r="D29" s="659">
        <f>+D27+D28+D23</f>
        <v>2229</v>
      </c>
      <c r="E29" s="659">
        <f>+E27+E28+E23</f>
        <v>0</v>
      </c>
      <c r="F29" s="226" t="s">
        <v>699</v>
      </c>
      <c r="G29" s="225">
        <f>G27+G23+G28</f>
        <v>42733</v>
      </c>
      <c r="H29" s="225">
        <f>H27+H23</f>
        <v>39678</v>
      </c>
      <c r="I29" s="225">
        <f>I27+I23</f>
        <v>3055</v>
      </c>
      <c r="J29" s="648">
        <f>J27+J23</f>
        <v>0</v>
      </c>
    </row>
    <row r="30" spans="1:10" ht="12.75">
      <c r="A30"/>
      <c r="B30"/>
      <c r="C30"/>
      <c r="D30"/>
      <c r="E30"/>
      <c r="F30"/>
      <c r="G30"/>
      <c r="H30"/>
      <c r="I30"/>
      <c r="J30"/>
    </row>
    <row r="32" spans="1:6" ht="10.5">
      <c r="A32" s="966" t="s">
        <v>151</v>
      </c>
      <c r="B32" s="966"/>
      <c r="C32" s="966"/>
      <c r="D32" s="966"/>
      <c r="E32" s="966"/>
      <c r="F32" s="966"/>
    </row>
  </sheetData>
  <sheetProtection/>
  <mergeCells count="3">
    <mergeCell ref="A1:J1"/>
    <mergeCell ref="A2:J2"/>
    <mergeCell ref="A32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40" sqref="A40:F40"/>
    </sheetView>
  </sheetViews>
  <sheetFormatPr defaultColWidth="9.00390625" defaultRowHeight="12.75"/>
  <cols>
    <col min="1" max="1" width="6.625" style="424" customWidth="1"/>
    <col min="2" max="2" width="46.375" style="355" customWidth="1"/>
    <col min="3" max="3" width="11.00390625" style="866" customWidth="1"/>
    <col min="4" max="4" width="2.375" style="866" customWidth="1"/>
    <col min="5" max="5" width="48.25390625" style="355" customWidth="1"/>
    <col min="6" max="6" width="11.00390625" style="866" customWidth="1"/>
    <col min="7" max="16384" width="9.125" style="355" customWidth="1"/>
  </cols>
  <sheetData>
    <row r="1" spans="1:6" ht="9.75">
      <c r="A1" s="950" t="s">
        <v>253</v>
      </c>
      <c r="B1" s="950"/>
      <c r="C1" s="950"/>
      <c r="D1" s="950"/>
      <c r="E1" s="950"/>
      <c r="F1" s="950"/>
    </row>
    <row r="2" spans="1:6" ht="15.75" customHeight="1">
      <c r="A2" s="947" t="s">
        <v>664</v>
      </c>
      <c r="B2" s="947"/>
      <c r="C2" s="947"/>
      <c r="D2" s="947"/>
      <c r="E2" s="947"/>
      <c r="F2" s="947"/>
    </row>
    <row r="3" spans="1:6" ht="9.75">
      <c r="A3" s="861"/>
      <c r="B3" s="861"/>
      <c r="C3" s="862"/>
      <c r="D3" s="862"/>
      <c r="E3" s="863"/>
      <c r="F3" s="864" t="s">
        <v>646</v>
      </c>
    </row>
    <row r="4" spans="1:6" ht="12.75" customHeight="1">
      <c r="A4" s="945" t="s">
        <v>555</v>
      </c>
      <c r="B4" s="872" t="s">
        <v>589</v>
      </c>
      <c r="C4" s="873"/>
      <c r="D4" s="873"/>
      <c r="E4" s="872" t="s">
        <v>332</v>
      </c>
      <c r="F4" s="873"/>
    </row>
    <row r="5" spans="1:6" ht="21.75" customHeight="1">
      <c r="A5" s="945"/>
      <c r="B5" s="874" t="s">
        <v>575</v>
      </c>
      <c r="C5" s="873" t="s">
        <v>654</v>
      </c>
      <c r="D5" s="873"/>
      <c r="E5" s="874" t="s">
        <v>575</v>
      </c>
      <c r="F5" s="873" t="s">
        <v>654</v>
      </c>
    </row>
    <row r="6" spans="1:6" ht="10.5">
      <c r="A6" s="875" t="s">
        <v>390</v>
      </c>
      <c r="B6" s="349" t="s">
        <v>647</v>
      </c>
      <c r="C6" s="876">
        <f>'[1]önk.köt.'!B6+'[1]ph köt.'!B4+'[1]óvoda köt'!B4+'[1]gamesz köt'!B4+'[1]Gondoz köt'!B4+'[1]műv.köt.'!B4</f>
        <v>660359</v>
      </c>
      <c r="D6" s="876"/>
      <c r="E6" s="403" t="s">
        <v>334</v>
      </c>
      <c r="F6" s="876">
        <f>'[1]önk.köt.'!G6+'[1]ph köt.'!G4+'[1]óvoda köt'!G4+'[1]gamesz köt'!G4+'[1]Gondoz köt'!G4+'[1]műv.köt.'!G4</f>
        <v>430423</v>
      </c>
    </row>
    <row r="7" spans="1:6" ht="11.25" customHeight="1">
      <c r="A7" s="875" t="s">
        <v>350</v>
      </c>
      <c r="B7" s="350" t="s">
        <v>610</v>
      </c>
      <c r="C7" s="876">
        <f>'[1]önk.köt.'!B9</f>
        <v>145584</v>
      </c>
      <c r="D7" s="876"/>
      <c r="E7" s="403" t="s">
        <v>336</v>
      </c>
      <c r="F7" s="876">
        <f>'[1]önk.köt.'!G7+'[1]ph köt.'!G5+'[1]óvoda köt'!G5+'[1]gamesz köt'!G5+'[1]Gondoz köt'!G5+'[1]műv.köt.'!G5</f>
        <v>93643</v>
      </c>
    </row>
    <row r="8" spans="1:6" ht="10.5">
      <c r="A8" s="875" t="s">
        <v>396</v>
      </c>
      <c r="B8" s="350" t="s">
        <v>611</v>
      </c>
      <c r="C8" s="876">
        <v>97241</v>
      </c>
      <c r="D8" s="876"/>
      <c r="E8" s="403" t="s">
        <v>338</v>
      </c>
      <c r="F8" s="876">
        <f>'[1]önk.köt.'!G8+'[1]ph köt.'!G6+'[1]óvoda köt'!G6+'[1]gamesz köt'!G6+'[1]Gondoz köt'!G6+'[1]műv.köt.'!G6</f>
        <v>281139</v>
      </c>
    </row>
    <row r="9" spans="1:6" ht="10.5">
      <c r="A9" s="875" t="s">
        <v>397</v>
      </c>
      <c r="B9" s="398" t="s">
        <v>796</v>
      </c>
      <c r="C9" s="876">
        <v>10463</v>
      </c>
      <c r="D9" s="876"/>
      <c r="E9" s="403" t="s">
        <v>340</v>
      </c>
      <c r="F9" s="876">
        <f>'[1]önk.köt.'!G9+'[1]ph köt.'!G7</f>
        <v>88984</v>
      </c>
    </row>
    <row r="10" spans="1:6" ht="10.5">
      <c r="A10" s="875" t="s">
        <v>372</v>
      </c>
      <c r="B10" s="353"/>
      <c r="C10" s="876"/>
      <c r="D10" s="876"/>
      <c r="E10" s="403" t="s">
        <v>657</v>
      </c>
      <c r="F10" s="876">
        <f>'[1]önk.köt.'!G10+'[1]ph köt.'!G8+'[1]óvoda köt'!G8+'[1]gamesz köt'!G8+'[1]Gondoz köt'!G8+'[1]műv.köt.'!G8</f>
        <v>51521</v>
      </c>
    </row>
    <row r="11" spans="1:6" ht="10.5">
      <c r="A11" s="875" t="s">
        <v>375</v>
      </c>
      <c r="B11" s="353"/>
      <c r="C11" s="876"/>
      <c r="D11" s="876"/>
      <c r="E11" s="350" t="s">
        <v>658</v>
      </c>
      <c r="F11" s="876">
        <v>47076</v>
      </c>
    </row>
    <row r="12" spans="1:6" ht="10.5">
      <c r="A12" s="877" t="s">
        <v>384</v>
      </c>
      <c r="B12" s="878" t="s">
        <v>996</v>
      </c>
      <c r="C12" s="879">
        <f>C6+C7+C8+C9+C10+C11</f>
        <v>913647</v>
      </c>
      <c r="D12" s="879"/>
      <c r="E12" s="878" t="s">
        <v>978</v>
      </c>
      <c r="F12" s="880">
        <f>SUM(F6:F11)</f>
        <v>992786</v>
      </c>
    </row>
    <row r="13" spans="1:6" ht="14.25" customHeight="1">
      <c r="A13" s="875" t="s">
        <v>567</v>
      </c>
      <c r="B13" s="397" t="s">
        <v>316</v>
      </c>
      <c r="C13" s="876"/>
      <c r="D13" s="876"/>
      <c r="E13" s="397" t="s">
        <v>377</v>
      </c>
      <c r="F13" s="876"/>
    </row>
    <row r="14" spans="1:8" ht="10.5">
      <c r="A14" s="875" t="s">
        <v>443</v>
      </c>
      <c r="B14" s="397" t="s">
        <v>317</v>
      </c>
      <c r="C14" s="876">
        <f>-339+1324-985</f>
        <v>0</v>
      </c>
      <c r="D14" s="876"/>
      <c r="E14" s="881" t="s">
        <v>378</v>
      </c>
      <c r="F14" s="876"/>
      <c r="H14" s="865"/>
    </row>
    <row r="15" spans="1:6" ht="10.5">
      <c r="A15" s="875" t="s">
        <v>569</v>
      </c>
      <c r="B15" s="398" t="s">
        <v>318</v>
      </c>
      <c r="C15" s="876"/>
      <c r="D15" s="876"/>
      <c r="E15" s="397" t="s">
        <v>379</v>
      </c>
      <c r="F15" s="876"/>
    </row>
    <row r="16" spans="1:6" ht="11.25" customHeight="1">
      <c r="A16" s="875" t="s">
        <v>444</v>
      </c>
      <c r="B16" s="397" t="s">
        <v>319</v>
      </c>
      <c r="C16" s="876">
        <f>'[1]rend'!H58+'[1]rend'!H168+'[1]rend'!H280+'[1]rend'!H391+'[1]rend'!H502+'[1]rend'!H613-12197</f>
        <v>93776</v>
      </c>
      <c r="D16" s="876"/>
      <c r="E16" s="397" t="s">
        <v>380</v>
      </c>
      <c r="F16" s="876"/>
    </row>
    <row r="17" spans="1:6" ht="10.5">
      <c r="A17" s="875" t="s">
        <v>445</v>
      </c>
      <c r="B17" s="410" t="s">
        <v>648</v>
      </c>
      <c r="C17" s="876">
        <f>C16+C14</f>
        <v>93776</v>
      </c>
      <c r="D17" s="876"/>
      <c r="E17" s="353" t="s">
        <v>653</v>
      </c>
      <c r="F17" s="876"/>
    </row>
    <row r="18" spans="1:6" ht="10.5">
      <c r="A18" s="875" t="s">
        <v>446</v>
      </c>
      <c r="B18" s="882" t="s">
        <v>660</v>
      </c>
      <c r="C18" s="879">
        <f>C12+C17</f>
        <v>1007423</v>
      </c>
      <c r="D18" s="879"/>
      <c r="E18" s="882" t="s">
        <v>997</v>
      </c>
      <c r="F18" s="880">
        <f>F12+F17</f>
        <v>992786</v>
      </c>
    </row>
    <row r="19" spans="1:8" ht="10.5">
      <c r="A19" s="875" t="s">
        <v>591</v>
      </c>
      <c r="B19" s="882" t="s">
        <v>649</v>
      </c>
      <c r="C19" s="879">
        <f>IF(C12-F12&lt;0,F12-C12,"-")</f>
        <v>79139</v>
      </c>
      <c r="D19" s="879"/>
      <c r="E19" s="882" t="s">
        <v>650</v>
      </c>
      <c r="F19" s="876"/>
      <c r="H19" s="865"/>
    </row>
    <row r="20" spans="1:6" ht="10.5">
      <c r="A20" s="875" t="s">
        <v>592</v>
      </c>
      <c r="B20" s="882" t="s">
        <v>651</v>
      </c>
      <c r="C20" s="879"/>
      <c r="D20" s="879"/>
      <c r="E20" s="882" t="s">
        <v>652</v>
      </c>
      <c r="F20" s="876">
        <f>C18-F18</f>
        <v>14637</v>
      </c>
    </row>
    <row r="21" spans="1:6" ht="10.5">
      <c r="A21" s="399"/>
      <c r="B21" s="348"/>
      <c r="C21" s="883"/>
      <c r="D21" s="883"/>
      <c r="E21" s="348"/>
      <c r="F21" s="883"/>
    </row>
    <row r="22" spans="1:6" ht="12.75" customHeight="1">
      <c r="A22" s="946" t="s">
        <v>665</v>
      </c>
      <c r="B22" s="946"/>
      <c r="C22" s="946"/>
      <c r="D22" s="946"/>
      <c r="E22" s="946"/>
      <c r="F22" s="946"/>
    </row>
    <row r="23" spans="1:6" ht="10.5">
      <c r="A23" s="884"/>
      <c r="B23" s="884"/>
      <c r="C23" s="885"/>
      <c r="D23" s="885"/>
      <c r="E23" s="886"/>
      <c r="F23" s="887" t="s">
        <v>646</v>
      </c>
    </row>
    <row r="24" spans="1:6" ht="12.75" customHeight="1">
      <c r="A24" s="945" t="s">
        <v>555</v>
      </c>
      <c r="B24" s="872" t="s">
        <v>589</v>
      </c>
      <c r="C24" s="873"/>
      <c r="D24" s="873"/>
      <c r="E24" s="872" t="s">
        <v>332</v>
      </c>
      <c r="F24" s="873"/>
    </row>
    <row r="25" spans="1:6" ht="19.5">
      <c r="A25" s="945"/>
      <c r="B25" s="874" t="s">
        <v>575</v>
      </c>
      <c r="C25" s="873" t="s">
        <v>654</v>
      </c>
      <c r="D25" s="873"/>
      <c r="E25" s="874" t="s">
        <v>575</v>
      </c>
      <c r="F25" s="873" t="s">
        <v>654</v>
      </c>
    </row>
    <row r="26" spans="1:8" ht="10.5">
      <c r="A26" s="875" t="s">
        <v>390</v>
      </c>
      <c r="B26" s="349" t="s">
        <v>663</v>
      </c>
      <c r="C26" s="876">
        <f>'[1]önk.köt.'!B25+'[1]gamesz köt'!B23</f>
        <v>1864126</v>
      </c>
      <c r="D26" s="876"/>
      <c r="E26" s="888" t="s">
        <v>661</v>
      </c>
      <c r="F26" s="889">
        <v>2251583</v>
      </c>
      <c r="H26" s="865"/>
    </row>
    <row r="27" spans="1:6" ht="15" customHeight="1">
      <c r="A27" s="875" t="s">
        <v>350</v>
      </c>
      <c r="B27" s="349" t="s">
        <v>297</v>
      </c>
      <c r="C27" s="876">
        <f>'[1]kvi mérleg'!H37</f>
        <v>190498</v>
      </c>
      <c r="D27" s="876"/>
      <c r="E27" s="888" t="s">
        <v>360</v>
      </c>
      <c r="F27" s="876">
        <v>4080</v>
      </c>
    </row>
    <row r="28" spans="1:6" ht="10.5">
      <c r="A28" s="875" t="s">
        <v>396</v>
      </c>
      <c r="B28" s="888" t="s">
        <v>797</v>
      </c>
      <c r="C28" s="876">
        <f>'[1]önk.köt.'!B29</f>
        <v>621</v>
      </c>
      <c r="D28" s="876"/>
      <c r="E28" s="888" t="s">
        <v>662</v>
      </c>
      <c r="F28" s="876">
        <f>'[1]önk.köt.'!G27+'[1]önk.köt.'!G28</f>
        <v>15523</v>
      </c>
    </row>
    <row r="29" spans="1:6" ht="10.5">
      <c r="A29" s="875" t="s">
        <v>397</v>
      </c>
      <c r="B29" s="398" t="s">
        <v>612</v>
      </c>
      <c r="C29" s="876">
        <f>'[1]kvi mérleg'!H49</f>
        <v>209755</v>
      </c>
      <c r="D29" s="876"/>
      <c r="E29" s="350" t="s">
        <v>658</v>
      </c>
      <c r="F29" s="876">
        <v>20648</v>
      </c>
    </row>
    <row r="30" spans="1:6" ht="10.5">
      <c r="A30" s="875"/>
      <c r="B30" s="398" t="s">
        <v>174</v>
      </c>
      <c r="C30" s="876"/>
      <c r="D30" s="876"/>
      <c r="E30" s="350"/>
      <c r="F30" s="876"/>
    </row>
    <row r="31" spans="1:6" ht="12" customHeight="1">
      <c r="A31" s="875" t="s">
        <v>372</v>
      </c>
      <c r="B31" s="878" t="s">
        <v>655</v>
      </c>
      <c r="C31" s="879">
        <f>SUM(C26:C30)</f>
        <v>2265000</v>
      </c>
      <c r="D31" s="879"/>
      <c r="E31" s="878" t="s">
        <v>656</v>
      </c>
      <c r="F31" s="876">
        <f>F26+F27+F28+F29</f>
        <v>2291834</v>
      </c>
    </row>
    <row r="32" spans="1:6" ht="10.5">
      <c r="A32" s="875" t="s">
        <v>375</v>
      </c>
      <c r="B32" s="397" t="s">
        <v>315</v>
      </c>
      <c r="C32" s="876"/>
      <c r="D32" s="876"/>
      <c r="E32" s="890" t="s">
        <v>376</v>
      </c>
      <c r="F32" s="876"/>
    </row>
    <row r="33" spans="1:6" ht="10.5">
      <c r="A33" s="875" t="s">
        <v>384</v>
      </c>
      <c r="B33" s="397" t="s">
        <v>998</v>
      </c>
      <c r="C33" s="876">
        <f>-1299+1299</f>
        <v>0</v>
      </c>
      <c r="D33" s="876"/>
      <c r="E33" s="397" t="s">
        <v>999</v>
      </c>
      <c r="F33" s="876"/>
    </row>
    <row r="34" spans="1:6" ht="10.5">
      <c r="A34" s="875" t="s">
        <v>567</v>
      </c>
      <c r="B34" s="397" t="s">
        <v>319</v>
      </c>
      <c r="C34" s="876">
        <v>12197</v>
      </c>
      <c r="D34" s="876"/>
      <c r="E34" s="397"/>
      <c r="F34" s="876"/>
    </row>
    <row r="35" spans="1:6" ht="10.5">
      <c r="A35" s="875" t="s">
        <v>443</v>
      </c>
      <c r="B35" s="410" t="s">
        <v>648</v>
      </c>
      <c r="C35" s="876">
        <f>C32+C33+C34</f>
        <v>12197</v>
      </c>
      <c r="D35" s="876"/>
      <c r="E35" s="353" t="s">
        <v>653</v>
      </c>
      <c r="F35" s="876"/>
    </row>
    <row r="36" spans="1:6" ht="10.5">
      <c r="A36" s="875" t="s">
        <v>569</v>
      </c>
      <c r="B36" s="891" t="s">
        <v>660</v>
      </c>
      <c r="C36" s="879">
        <f>C31+C35</f>
        <v>2277197</v>
      </c>
      <c r="D36" s="879"/>
      <c r="E36" s="891" t="s">
        <v>659</v>
      </c>
      <c r="F36" s="879">
        <f>F31+F35</f>
        <v>2291834</v>
      </c>
    </row>
    <row r="37" spans="1:6" ht="10.5">
      <c r="A37" s="875" t="s">
        <v>444</v>
      </c>
      <c r="B37" s="891" t="s">
        <v>649</v>
      </c>
      <c r="C37" s="879">
        <f>(C31-F31)*-1</f>
        <v>26834</v>
      </c>
      <c r="D37" s="879"/>
      <c r="E37" s="891"/>
      <c r="F37" s="879"/>
    </row>
    <row r="38" spans="1:6" ht="10.5">
      <c r="A38" s="875" t="s">
        <v>445</v>
      </c>
      <c r="B38" s="891" t="s">
        <v>651</v>
      </c>
      <c r="C38" s="879">
        <f>F36-C36</f>
        <v>14637</v>
      </c>
      <c r="D38" s="879"/>
      <c r="E38" s="891" t="s">
        <v>652</v>
      </c>
      <c r="F38" s="879"/>
    </row>
    <row r="40" spans="1:6" ht="10.5">
      <c r="A40" s="966" t="s">
        <v>151</v>
      </c>
      <c r="B40" s="966"/>
      <c r="C40" s="966"/>
      <c r="D40" s="966"/>
      <c r="E40" s="966"/>
      <c r="F40" s="966"/>
    </row>
  </sheetData>
  <sheetProtection/>
  <mergeCells count="6">
    <mergeCell ref="A40:F40"/>
    <mergeCell ref="A1:F1"/>
    <mergeCell ref="A4:A5"/>
    <mergeCell ref="A24:A25"/>
    <mergeCell ref="A22:F22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A41" sqref="A41:F41"/>
    </sheetView>
  </sheetViews>
  <sheetFormatPr defaultColWidth="9.00390625" defaultRowHeight="19.5" customHeight="1"/>
  <cols>
    <col min="1" max="1" width="6.625" style="0" customWidth="1"/>
    <col min="2" max="2" width="42.125" style="6" customWidth="1"/>
    <col min="6" max="6" width="10.875" style="0" bestFit="1" customWidth="1"/>
    <col min="8" max="8" width="11.125" style="0" bestFit="1" customWidth="1"/>
    <col min="10" max="10" width="11.125" style="0" bestFit="1" customWidth="1"/>
    <col min="12" max="12" width="9.75390625" style="0" bestFit="1" customWidth="1"/>
  </cols>
  <sheetData>
    <row r="1" spans="1:6" ht="19.5" customHeight="1">
      <c r="A1" s="950" t="s">
        <v>245</v>
      </c>
      <c r="B1" s="950"/>
      <c r="C1" s="950"/>
      <c r="D1" s="950"/>
      <c r="E1" s="950"/>
      <c r="F1" s="950"/>
    </row>
    <row r="2" spans="1:6" ht="19.5" customHeight="1">
      <c r="A2" s="3"/>
      <c r="B2" s="936" t="s">
        <v>890</v>
      </c>
      <c r="C2" s="936"/>
      <c r="D2" s="936"/>
      <c r="E2" s="936"/>
      <c r="F2" s="936"/>
    </row>
    <row r="3" spans="1:6" ht="19.5" customHeight="1">
      <c r="A3" s="3"/>
      <c r="B3" s="937"/>
      <c r="C3" s="937"/>
      <c r="D3" s="937"/>
      <c r="E3" s="937"/>
      <c r="F3" s="937"/>
    </row>
    <row r="4" spans="1:6" ht="19.5" customHeight="1">
      <c r="A4" s="938" t="s">
        <v>488</v>
      </c>
      <c r="B4" s="938" t="s">
        <v>489</v>
      </c>
      <c r="C4" s="940" t="s">
        <v>490</v>
      </c>
      <c r="D4" s="969" t="s">
        <v>491</v>
      </c>
      <c r="E4" s="940" t="s">
        <v>492</v>
      </c>
      <c r="F4" s="940" t="s">
        <v>493</v>
      </c>
    </row>
    <row r="5" spans="1:6" ht="19.5" customHeight="1">
      <c r="A5" s="939"/>
      <c r="B5" s="939"/>
      <c r="C5" s="941"/>
      <c r="D5" s="970"/>
      <c r="E5" s="941"/>
      <c r="F5" s="941"/>
    </row>
    <row r="6" spans="1:12" ht="19.5" customHeight="1">
      <c r="A6" s="200" t="s">
        <v>324</v>
      </c>
      <c r="B6" s="200" t="s">
        <v>494</v>
      </c>
      <c r="C6" s="198"/>
      <c r="D6" s="199"/>
      <c r="E6" s="198"/>
      <c r="F6" s="5">
        <f>F7+F8+F14+F13</f>
        <v>222167915</v>
      </c>
      <c r="H6" s="83"/>
      <c r="J6" s="83"/>
      <c r="L6" s="83"/>
    </row>
    <row r="7" spans="1:6" ht="19.5" customHeight="1">
      <c r="A7" s="200" t="s">
        <v>495</v>
      </c>
      <c r="B7" s="200" t="s">
        <v>496</v>
      </c>
      <c r="C7" s="198">
        <v>4580000</v>
      </c>
      <c r="D7" s="199">
        <v>19.55</v>
      </c>
      <c r="E7" s="198" t="s">
        <v>497</v>
      </c>
      <c r="F7" s="5">
        <f>C7*D7</f>
        <v>89539000</v>
      </c>
    </row>
    <row r="8" spans="1:6" ht="19.5" customHeight="1">
      <c r="A8" s="200" t="s">
        <v>498</v>
      </c>
      <c r="B8" s="200" t="s">
        <v>499</v>
      </c>
      <c r="C8" s="198" t="s">
        <v>500</v>
      </c>
      <c r="D8" s="199" t="s">
        <v>500</v>
      </c>
      <c r="E8" s="198"/>
      <c r="F8" s="5">
        <f>F9+F10+F11+F12</f>
        <v>38463561</v>
      </c>
    </row>
    <row r="9" spans="1:6" ht="19.5" customHeight="1">
      <c r="A9" s="200" t="s">
        <v>501</v>
      </c>
      <c r="B9" s="200" t="s">
        <v>502</v>
      </c>
      <c r="C9" s="198">
        <v>22300</v>
      </c>
      <c r="D9" s="199">
        <v>530</v>
      </c>
      <c r="E9" s="198" t="s">
        <v>503</v>
      </c>
      <c r="F9" s="5">
        <v>11801160</v>
      </c>
    </row>
    <row r="10" spans="1:6" ht="15" customHeight="1">
      <c r="A10" s="200" t="s">
        <v>504</v>
      </c>
      <c r="B10" s="200" t="s">
        <v>505</v>
      </c>
      <c r="C10" s="198">
        <v>283200</v>
      </c>
      <c r="D10" s="199"/>
      <c r="E10" s="198" t="s">
        <v>506</v>
      </c>
      <c r="F10" s="5">
        <v>15547680</v>
      </c>
    </row>
    <row r="11" spans="1:6" ht="15" customHeight="1">
      <c r="A11" s="200" t="s">
        <v>507</v>
      </c>
      <c r="B11" s="200" t="s">
        <v>508</v>
      </c>
      <c r="C11" s="198">
        <v>69</v>
      </c>
      <c r="D11" s="199">
        <v>42340</v>
      </c>
      <c r="E11" s="198" t="s">
        <v>509</v>
      </c>
      <c r="F11" s="5">
        <v>100000</v>
      </c>
    </row>
    <row r="12" spans="1:6" ht="15" customHeight="1">
      <c r="A12" s="200" t="s">
        <v>510</v>
      </c>
      <c r="B12" s="200" t="s">
        <v>511</v>
      </c>
      <c r="C12" s="198">
        <v>227000</v>
      </c>
      <c r="D12" s="199"/>
      <c r="E12" s="198"/>
      <c r="F12" s="5">
        <v>11014721</v>
      </c>
    </row>
    <row r="13" spans="1:6" ht="12.75" customHeight="1">
      <c r="A13" s="201" t="s">
        <v>524</v>
      </c>
      <c r="B13" s="186" t="s">
        <v>525</v>
      </c>
      <c r="C13" s="187"/>
      <c r="D13" s="4"/>
      <c r="E13" s="188"/>
      <c r="F13" s="5">
        <f>3911189+15651618+4628507+4258868+6525213+5156040+5310774+6905280+6373547+5764863+6531791+4713000+607000+5178000</f>
        <v>81515690</v>
      </c>
    </row>
    <row r="14" spans="1:8" ht="15" customHeight="1">
      <c r="A14" s="200" t="s">
        <v>512</v>
      </c>
      <c r="B14" s="200" t="s">
        <v>513</v>
      </c>
      <c r="C14" s="198">
        <v>2700</v>
      </c>
      <c r="D14" s="199">
        <v>5395</v>
      </c>
      <c r="E14" s="198"/>
      <c r="F14" s="5">
        <v>12649664</v>
      </c>
      <c r="H14" s="210"/>
    </row>
    <row r="15" spans="1:6" ht="19.5" customHeight="1">
      <c r="A15" s="194"/>
      <c r="B15" s="216"/>
      <c r="C15" s="217"/>
      <c r="D15" s="217"/>
      <c r="E15" s="217"/>
      <c r="F15" s="195"/>
    </row>
    <row r="16" spans="1:6" ht="19.5" customHeight="1">
      <c r="A16" s="211" t="s">
        <v>322</v>
      </c>
      <c r="B16" s="212" t="s">
        <v>514</v>
      </c>
      <c r="C16" s="213"/>
      <c r="D16" s="214"/>
      <c r="E16" s="215"/>
      <c r="F16" s="5">
        <f>F17+F18+F19+F20+F21+F22</f>
        <v>73536333</v>
      </c>
    </row>
    <row r="17" spans="1:6" ht="19.5" customHeight="1">
      <c r="A17" s="185" t="s">
        <v>515</v>
      </c>
      <c r="B17" s="186" t="s">
        <v>516</v>
      </c>
      <c r="C17" s="187">
        <v>4012000</v>
      </c>
      <c r="D17" s="204">
        <v>12.4</v>
      </c>
      <c r="E17" s="205" t="s">
        <v>497</v>
      </c>
      <c r="F17" s="5">
        <f>D17*C17/12*8</f>
        <v>33165866.666666668</v>
      </c>
    </row>
    <row r="18" spans="1:6" ht="19.5" customHeight="1">
      <c r="A18" s="185"/>
      <c r="B18" s="186" t="s">
        <v>517</v>
      </c>
      <c r="C18" s="187">
        <v>4012000</v>
      </c>
      <c r="D18" s="204">
        <v>11.8</v>
      </c>
      <c r="E18" s="205"/>
      <c r="F18" s="5">
        <f>C18*D18/12*4+274347</f>
        <v>16054880.333333334</v>
      </c>
    </row>
    <row r="19" spans="1:6" ht="19.5" customHeight="1">
      <c r="A19" s="185"/>
      <c r="B19" s="186" t="s">
        <v>518</v>
      </c>
      <c r="C19" s="187">
        <v>34400</v>
      </c>
      <c r="D19" s="204">
        <v>11.8</v>
      </c>
      <c r="E19" s="205"/>
      <c r="F19" s="5">
        <f>C19*D19</f>
        <v>405920</v>
      </c>
    </row>
    <row r="20" spans="1:6" ht="19.5" customHeight="1">
      <c r="A20" s="185"/>
      <c r="B20" s="186" t="s">
        <v>519</v>
      </c>
      <c r="C20" s="187">
        <v>1800000</v>
      </c>
      <c r="D20" s="204">
        <v>9</v>
      </c>
      <c r="E20" s="205"/>
      <c r="F20" s="5">
        <f>C20*D20</f>
        <v>16200000</v>
      </c>
    </row>
    <row r="21" spans="1:6" ht="15" customHeight="1">
      <c r="A21" s="185" t="s">
        <v>520</v>
      </c>
      <c r="B21" s="186" t="s">
        <v>521</v>
      </c>
      <c r="C21" s="187">
        <v>56000</v>
      </c>
      <c r="D21" s="4">
        <v>139</v>
      </c>
      <c r="E21" s="188"/>
      <c r="F21" s="5">
        <f>C21*D21/12*8+37333-37000</f>
        <v>5189666.333333333</v>
      </c>
    </row>
    <row r="22" spans="1:6" ht="15" customHeight="1">
      <c r="A22" s="185"/>
      <c r="B22" s="186" t="s">
        <v>522</v>
      </c>
      <c r="C22" s="187">
        <v>56000</v>
      </c>
      <c r="D22" s="4">
        <v>133</v>
      </c>
      <c r="E22" s="188"/>
      <c r="F22" s="5">
        <f>C22*D22/12*4+37333</f>
        <v>2519999.6666666665</v>
      </c>
    </row>
    <row r="23" spans="1:6" ht="15" customHeight="1">
      <c r="A23" s="185"/>
      <c r="B23" s="186"/>
      <c r="C23" s="187"/>
      <c r="D23" s="4"/>
      <c r="E23" s="188"/>
      <c r="F23" s="5"/>
    </row>
    <row r="24" spans="1:6" ht="19.5" customHeight="1">
      <c r="A24" s="185" t="s">
        <v>325</v>
      </c>
      <c r="B24" s="203" t="s">
        <v>523</v>
      </c>
      <c r="C24" s="187"/>
      <c r="D24" s="4"/>
      <c r="E24" s="188"/>
      <c r="F24" s="5">
        <f>F25+F26+F27+F28+F29+F31+F32+F34+F35</f>
        <v>83808053</v>
      </c>
    </row>
    <row r="25" spans="1:8" ht="19.5" customHeight="1">
      <c r="A25" s="201" t="s">
        <v>526</v>
      </c>
      <c r="B25" s="186" t="s">
        <v>527</v>
      </c>
      <c r="C25" s="187">
        <v>5395</v>
      </c>
      <c r="D25" s="206" t="s">
        <v>528</v>
      </c>
      <c r="E25" s="188" t="s">
        <v>497</v>
      </c>
      <c r="F25" s="5">
        <v>4262050</v>
      </c>
      <c r="H25" s="83"/>
    </row>
    <row r="26" spans="1:8" ht="15" customHeight="1">
      <c r="A26" s="201" t="s">
        <v>529</v>
      </c>
      <c r="B26" s="186" t="s">
        <v>530</v>
      </c>
      <c r="C26" s="187">
        <v>55360</v>
      </c>
      <c r="D26" s="4">
        <v>123</v>
      </c>
      <c r="E26" s="188" t="s">
        <v>497</v>
      </c>
      <c r="F26" s="5">
        <f>C26*D26-332160</f>
        <v>6477120</v>
      </c>
      <c r="H26" s="83"/>
    </row>
    <row r="27" spans="1:8" ht="15" customHeight="1">
      <c r="A27" s="201" t="s">
        <v>531</v>
      </c>
      <c r="B27" s="186" t="s">
        <v>532</v>
      </c>
      <c r="C27" s="187">
        <v>145000</v>
      </c>
      <c r="D27" s="4">
        <v>27</v>
      </c>
      <c r="E27" s="188" t="s">
        <v>497</v>
      </c>
      <c r="F27" s="5">
        <f>C27*D27</f>
        <v>3915000</v>
      </c>
      <c r="H27" s="83"/>
    </row>
    <row r="28" spans="1:8" ht="15" customHeight="1">
      <c r="A28" s="201" t="s">
        <v>533</v>
      </c>
      <c r="B28" s="186" t="s">
        <v>534</v>
      </c>
      <c r="C28" s="187"/>
      <c r="D28" s="4">
        <v>12</v>
      </c>
      <c r="E28" s="188" t="s">
        <v>535</v>
      </c>
      <c r="F28" s="5">
        <v>2500000</v>
      </c>
      <c r="H28" s="83"/>
    </row>
    <row r="29" spans="1:8" ht="15" customHeight="1">
      <c r="A29" s="201" t="s">
        <v>536</v>
      </c>
      <c r="B29" s="186" t="s">
        <v>537</v>
      </c>
      <c r="C29" s="187">
        <v>109000</v>
      </c>
      <c r="D29" s="4">
        <v>12</v>
      </c>
      <c r="E29" s="188"/>
      <c r="F29" s="5">
        <f>C29*D29-436000</f>
        <v>872000</v>
      </c>
      <c r="H29" s="83"/>
    </row>
    <row r="30" spans="1:8" ht="15" customHeight="1">
      <c r="A30" s="201" t="s">
        <v>538</v>
      </c>
      <c r="B30" s="203" t="s">
        <v>539</v>
      </c>
      <c r="C30" s="187"/>
      <c r="D30" s="4"/>
      <c r="E30" s="188"/>
      <c r="F30" s="5"/>
      <c r="H30" s="83"/>
    </row>
    <row r="31" spans="1:8" ht="19.5" customHeight="1">
      <c r="A31" s="201" t="s">
        <v>540</v>
      </c>
      <c r="B31" s="186" t="s">
        <v>541</v>
      </c>
      <c r="C31" s="187">
        <v>2606040</v>
      </c>
      <c r="D31" s="4">
        <v>8</v>
      </c>
      <c r="E31" s="188" t="s">
        <v>497</v>
      </c>
      <c r="F31" s="5">
        <f>C31*D31</f>
        <v>20848320</v>
      </c>
      <c r="H31" s="83"/>
    </row>
    <row r="32" spans="1:8" ht="15" customHeight="1">
      <c r="A32" s="201" t="s">
        <v>542</v>
      </c>
      <c r="B32" s="186" t="s">
        <v>543</v>
      </c>
      <c r="C32" s="187"/>
      <c r="D32" s="4"/>
      <c r="E32" s="188"/>
      <c r="F32" s="5">
        <f>3308000+1681000</f>
        <v>4989000</v>
      </c>
      <c r="H32" s="83"/>
    </row>
    <row r="33" spans="1:8" ht="15" customHeight="1">
      <c r="A33" s="201" t="s">
        <v>544</v>
      </c>
      <c r="B33" s="203" t="s">
        <v>545</v>
      </c>
      <c r="C33" s="187"/>
      <c r="D33" s="4"/>
      <c r="E33" s="188"/>
      <c r="F33" s="5"/>
      <c r="H33" s="83"/>
    </row>
    <row r="34" spans="1:8" ht="15" customHeight="1">
      <c r="A34" s="185" t="s">
        <v>546</v>
      </c>
      <c r="B34" s="186" t="s">
        <v>547</v>
      </c>
      <c r="C34" s="187">
        <v>1632000</v>
      </c>
      <c r="D34" s="4">
        <v>5.33</v>
      </c>
      <c r="E34" s="188"/>
      <c r="F34" s="5">
        <f>C34*D34+3312960</f>
        <v>12011520</v>
      </c>
      <c r="H34" s="83"/>
    </row>
    <row r="35" spans="1:6" ht="15" customHeight="1">
      <c r="A35" s="185" t="s">
        <v>548</v>
      </c>
      <c r="B35" s="186" t="s">
        <v>549</v>
      </c>
      <c r="C35" s="187"/>
      <c r="D35" s="4"/>
      <c r="E35" s="188"/>
      <c r="F35" s="5">
        <f>-10110544+38043587</f>
        <v>27933043</v>
      </c>
    </row>
    <row r="36" spans="1:6" s="144" customFormat="1" ht="15" customHeight="1">
      <c r="A36" s="185"/>
      <c r="B36" s="186"/>
      <c r="C36" s="187"/>
      <c r="D36" s="4"/>
      <c r="E36" s="188"/>
      <c r="F36" s="5"/>
    </row>
    <row r="37" spans="1:6" ht="15" customHeight="1">
      <c r="A37" s="185" t="s">
        <v>326</v>
      </c>
      <c r="B37" s="203" t="s">
        <v>550</v>
      </c>
      <c r="C37" s="187"/>
      <c r="D37" s="4"/>
      <c r="E37" s="188"/>
      <c r="F37" s="5"/>
    </row>
    <row r="38" spans="1:10" ht="15" customHeight="1">
      <c r="A38" s="201"/>
      <c r="B38" s="186" t="s">
        <v>551</v>
      </c>
      <c r="C38" s="187">
        <v>1140</v>
      </c>
      <c r="D38" s="4">
        <v>5395</v>
      </c>
      <c r="E38" s="188"/>
      <c r="F38" s="5">
        <f>C38*D38</f>
        <v>6150300</v>
      </c>
      <c r="J38" s="83"/>
    </row>
    <row r="39" spans="1:6" ht="19.5" customHeight="1">
      <c r="A39" s="207"/>
      <c r="B39" s="218" t="s">
        <v>552</v>
      </c>
      <c r="C39" s="208"/>
      <c r="D39" s="209"/>
      <c r="E39" s="208"/>
      <c r="F39" s="219">
        <f>F38+F24+F16+F6</f>
        <v>385662601</v>
      </c>
    </row>
    <row r="40" spans="1:6" ht="19.5" customHeight="1">
      <c r="A40" s="144"/>
      <c r="B40" s="202"/>
      <c r="C40" s="144"/>
      <c r="D40" s="144"/>
      <c r="E40" s="144"/>
      <c r="F40" s="144"/>
    </row>
    <row r="41" spans="1:6" ht="19.5" customHeight="1">
      <c r="A41" s="966" t="s">
        <v>151</v>
      </c>
      <c r="B41" s="966"/>
      <c r="C41" s="966"/>
      <c r="D41" s="966"/>
      <c r="E41" s="966"/>
      <c r="F41" s="966"/>
    </row>
  </sheetData>
  <sheetProtection/>
  <mergeCells count="10">
    <mergeCell ref="A41:F41"/>
    <mergeCell ref="A1:F1"/>
    <mergeCell ref="B2:F2"/>
    <mergeCell ref="B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Hotváthné</cp:lastModifiedBy>
  <cp:lastPrinted>2015-02-26T12:48:36Z</cp:lastPrinted>
  <dcterms:created xsi:type="dcterms:W3CDTF">1997-01-17T14:02:09Z</dcterms:created>
  <dcterms:modified xsi:type="dcterms:W3CDTF">2015-02-26T12:51:34Z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