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költségvetés III. negyedéves korrekció_11_03\Elfogadott rendelet\"/>
    </mc:Choice>
  </mc:AlternateContent>
  <bookViews>
    <workbookView xWindow="0" yWindow="0" windowWidth="15345" windowHeight="6135"/>
  </bookViews>
  <sheets>
    <sheet name="Működés korrekció" sheetId="6" r:id="rId1"/>
  </sheets>
  <definedNames>
    <definedName name="_xlnm.Print_Titles" localSheetId="0">'Működés korrekció'!$7:$13</definedName>
    <definedName name="_xlnm.Print_Area" localSheetId="0">'Működés korrekció'!$A$1:$G$467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6" i="6" l="1"/>
  <c r="G243" i="6"/>
  <c r="G244" i="6"/>
  <c r="G245" i="6"/>
  <c r="G352" i="6" l="1"/>
  <c r="G462" i="6" l="1"/>
  <c r="G450" i="6"/>
  <c r="G446" i="6"/>
  <c r="G436" i="6"/>
  <c r="G426" i="6"/>
  <c r="G425" i="6"/>
  <c r="G424" i="6"/>
  <c r="G423" i="6"/>
  <c r="G422" i="6"/>
  <c r="G421" i="6"/>
  <c r="G420" i="6"/>
  <c r="G419" i="6"/>
  <c r="G418" i="6"/>
  <c r="G415" i="6"/>
  <c r="G411" i="6"/>
  <c r="G409" i="6"/>
  <c r="G408" i="6"/>
  <c r="G407" i="6"/>
  <c r="G403" i="6"/>
  <c r="G401" i="6"/>
  <c r="G400" i="6"/>
  <c r="G399" i="6"/>
  <c r="G391" i="6"/>
  <c r="G390" i="6"/>
  <c r="G389" i="6"/>
  <c r="G386" i="6"/>
  <c r="G383" i="6"/>
  <c r="G382" i="6"/>
  <c r="G381" i="6"/>
  <c r="G380" i="6"/>
  <c r="G379" i="6"/>
  <c r="G378" i="6"/>
  <c r="G377" i="6"/>
  <c r="G371" i="6"/>
  <c r="G370" i="6"/>
  <c r="G369" i="6"/>
  <c r="G368" i="6"/>
  <c r="G367" i="6"/>
  <c r="G366" i="6"/>
  <c r="G365" i="6"/>
  <c r="G364" i="6"/>
  <c r="G363" i="6"/>
  <c r="G351" i="6"/>
  <c r="G350" i="6"/>
  <c r="G349" i="6"/>
  <c r="G348" i="6"/>
  <c r="G347" i="6"/>
  <c r="G346" i="6"/>
  <c r="G345" i="6"/>
  <c r="G344" i="6"/>
  <c r="G343" i="6"/>
  <c r="G342" i="6"/>
  <c r="G340" i="6"/>
  <c r="G339" i="6"/>
  <c r="G338" i="6"/>
  <c r="G334" i="6"/>
  <c r="G331" i="6"/>
  <c r="G330" i="6"/>
  <c r="G329" i="6"/>
  <c r="G327" i="6"/>
  <c r="G326" i="6"/>
  <c r="G324" i="6"/>
  <c r="G316" i="6"/>
  <c r="G314" i="6"/>
  <c r="G313" i="6"/>
  <c r="G311" i="6"/>
  <c r="G310" i="6"/>
  <c r="G296" i="6"/>
  <c r="G294" i="6"/>
  <c r="G293" i="6"/>
  <c r="G292" i="6"/>
  <c r="G288" i="6"/>
  <c r="G286" i="6"/>
  <c r="G284" i="6"/>
  <c r="G283" i="6"/>
  <c r="G281" i="6"/>
  <c r="G279" i="6"/>
  <c r="G278" i="6"/>
  <c r="G261" i="6"/>
  <c r="G242" i="6"/>
  <c r="G241" i="6"/>
  <c r="G240" i="6"/>
  <c r="G238" i="6"/>
  <c r="G235" i="6"/>
  <c r="G234" i="6"/>
  <c r="G233" i="6"/>
  <c r="G225" i="6"/>
  <c r="G215" i="6"/>
  <c r="G214" i="6"/>
  <c r="G210" i="6"/>
  <c r="G205" i="6"/>
  <c r="G202" i="6"/>
  <c r="G201" i="6"/>
  <c r="G200" i="6"/>
  <c r="G199" i="6"/>
  <c r="G190" i="6"/>
  <c r="G189" i="6"/>
  <c r="G188" i="6"/>
  <c r="G186" i="6"/>
  <c r="G183" i="6"/>
  <c r="G181" i="6"/>
  <c r="G180" i="6"/>
  <c r="G176" i="6"/>
  <c r="G165" i="6"/>
  <c r="G163" i="6"/>
  <c r="G157" i="6"/>
  <c r="G146" i="6"/>
  <c r="G145" i="6"/>
  <c r="G148" i="6" s="1"/>
  <c r="G139" i="6"/>
  <c r="G137" i="6"/>
  <c r="G136" i="6"/>
  <c r="G135" i="6"/>
  <c r="G133" i="6"/>
  <c r="G113" i="6"/>
  <c r="G109" i="6"/>
  <c r="G98" i="6"/>
  <c r="G97" i="6"/>
  <c r="G96" i="6"/>
  <c r="G95" i="6"/>
  <c r="G94" i="6"/>
  <c r="G93" i="6"/>
  <c r="G92" i="6"/>
  <c r="G91" i="6"/>
  <c r="G84" i="6"/>
  <c r="G77" i="6"/>
  <c r="G76" i="6"/>
  <c r="G74" i="6"/>
  <c r="G73" i="6"/>
  <c r="G72" i="6"/>
  <c r="G70" i="6"/>
  <c r="G68" i="6"/>
  <c r="G67" i="6"/>
  <c r="G66" i="6"/>
  <c r="G65" i="6"/>
  <c r="G64" i="6"/>
  <c r="G56" i="6"/>
  <c r="G45" i="6"/>
  <c r="G44" i="6"/>
  <c r="G43" i="6"/>
  <c r="G42" i="6"/>
  <c r="E464" i="6"/>
  <c r="E467" i="6" s="1"/>
  <c r="E39" i="6" s="1"/>
  <c r="E452" i="6"/>
  <c r="E454" i="6" s="1"/>
  <c r="E37" i="6" s="1"/>
  <c r="E438" i="6"/>
  <c r="E440" i="6" s="1"/>
  <c r="E35" i="6" s="1"/>
  <c r="E417" i="6"/>
  <c r="G417" i="6" s="1"/>
  <c r="E416" i="6"/>
  <c r="G416" i="6" s="1"/>
  <c r="E414" i="6"/>
  <c r="G414" i="6" s="1"/>
  <c r="E413" i="6"/>
  <c r="G413" i="6" s="1"/>
  <c r="E388" i="6"/>
  <c r="G388" i="6" s="1"/>
  <c r="E385" i="6"/>
  <c r="G385" i="6" s="1"/>
  <c r="E375" i="6"/>
  <c r="G375" i="6" s="1"/>
  <c r="E374" i="6"/>
  <c r="G374" i="6" s="1"/>
  <c r="E373" i="6"/>
  <c r="G373" i="6" s="1"/>
  <c r="E337" i="6"/>
  <c r="G337" i="6" s="1"/>
  <c r="E336" i="6"/>
  <c r="G336" i="6" s="1"/>
  <c r="E328" i="6"/>
  <c r="G328" i="6" s="1"/>
  <c r="E318" i="6"/>
  <c r="G318" i="6" s="1"/>
  <c r="E312" i="6"/>
  <c r="G312" i="6" s="1"/>
  <c r="E309" i="6"/>
  <c r="G309" i="6" s="1"/>
  <c r="E298" i="6"/>
  <c r="G298" i="6" s="1"/>
  <c r="E297" i="6"/>
  <c r="G297" i="6" s="1"/>
  <c r="E291" i="6"/>
  <c r="G291" i="6" s="1"/>
  <c r="E290" i="6"/>
  <c r="G290" i="6" s="1"/>
  <c r="E289" i="6"/>
  <c r="G289" i="6" s="1"/>
  <c r="E285" i="6"/>
  <c r="G285" i="6" s="1"/>
  <c r="E277" i="6"/>
  <c r="G277" i="6" s="1"/>
  <c r="E276" i="6"/>
  <c r="G276" i="6" s="1"/>
  <c r="E274" i="6"/>
  <c r="G274" i="6" s="1"/>
  <c r="E273" i="6"/>
  <c r="G273" i="6" s="1"/>
  <c r="E272" i="6"/>
  <c r="G272" i="6" s="1"/>
  <c r="E265" i="6"/>
  <c r="G265" i="6" s="1"/>
  <c r="E264" i="6"/>
  <c r="G264" i="6" s="1"/>
  <c r="E263" i="6"/>
  <c r="G263" i="6" s="1"/>
  <c r="E262" i="6"/>
  <c r="G262" i="6" s="1"/>
  <c r="E260" i="6"/>
  <c r="G260" i="6" s="1"/>
  <c r="E258" i="6"/>
  <c r="G258" i="6" s="1"/>
  <c r="E239" i="6"/>
  <c r="G239" i="6" s="1"/>
  <c r="E236" i="6"/>
  <c r="G236" i="6" s="1"/>
  <c r="E227" i="6"/>
  <c r="E213" i="6"/>
  <c r="G213" i="6" s="1"/>
  <c r="E212" i="6"/>
  <c r="G212" i="6" s="1"/>
  <c r="E211" i="6"/>
  <c r="G211" i="6" s="1"/>
  <c r="E209" i="6"/>
  <c r="G209" i="6" s="1"/>
  <c r="E207" i="6"/>
  <c r="G207" i="6" s="1"/>
  <c r="E197" i="6"/>
  <c r="G197" i="6" s="1"/>
  <c r="E187" i="6"/>
  <c r="E184" i="6"/>
  <c r="G184" i="6" s="1"/>
  <c r="E178" i="6"/>
  <c r="G178" i="6" s="1"/>
  <c r="E164" i="6"/>
  <c r="E167" i="6" s="1"/>
  <c r="E156" i="6"/>
  <c r="E159" i="6" s="1"/>
  <c r="E148" i="6"/>
  <c r="E138" i="6"/>
  <c r="G138" i="6" s="1"/>
  <c r="E134" i="6"/>
  <c r="G134" i="6" s="1"/>
  <c r="E131" i="6"/>
  <c r="G131" i="6" s="1"/>
  <c r="E121" i="6"/>
  <c r="G121" i="6" s="1"/>
  <c r="E120" i="6"/>
  <c r="G120" i="6" s="1"/>
  <c r="E119" i="6"/>
  <c r="G119" i="6" s="1"/>
  <c r="E112" i="6"/>
  <c r="G112" i="6" s="1"/>
  <c r="E111" i="6"/>
  <c r="G111" i="6" s="1"/>
  <c r="E110" i="6"/>
  <c r="G110" i="6" s="1"/>
  <c r="E108" i="6"/>
  <c r="G108" i="6" s="1"/>
  <c r="E90" i="6"/>
  <c r="G90" i="6" s="1"/>
  <c r="E89" i="6"/>
  <c r="G89" i="6" s="1"/>
  <c r="E87" i="6"/>
  <c r="G87" i="6" s="1"/>
  <c r="E75" i="6"/>
  <c r="G75" i="6" s="1"/>
  <c r="E69" i="6"/>
  <c r="G69" i="6" s="1"/>
  <c r="E63" i="6"/>
  <c r="G63" i="6" s="1"/>
  <c r="E62" i="6"/>
  <c r="G62" i="6" s="1"/>
  <c r="E61" i="6"/>
  <c r="G61" i="6" s="1"/>
  <c r="E60" i="6"/>
  <c r="G60" i="6" s="1"/>
  <c r="E59" i="6"/>
  <c r="G59" i="6" s="1"/>
  <c r="G100" i="6" l="1"/>
  <c r="G452" i="6"/>
  <c r="G454" i="6" s="1"/>
  <c r="G37" i="6" s="1"/>
  <c r="G123" i="6"/>
  <c r="G115" i="6"/>
  <c r="G217" i="6"/>
  <c r="G192" i="6"/>
  <c r="G164" i="6"/>
  <c r="G167" i="6" s="1"/>
  <c r="G227" i="6"/>
  <c r="G320" i="6"/>
  <c r="G438" i="6"/>
  <c r="G440" i="6" s="1"/>
  <c r="G35" i="6" s="1"/>
  <c r="G428" i="6"/>
  <c r="G125" i="6"/>
  <c r="G19" i="6" s="1"/>
  <c r="G267" i="6"/>
  <c r="G79" i="6"/>
  <c r="G141" i="6"/>
  <c r="G247" i="6"/>
  <c r="G249" i="6" s="1"/>
  <c r="G27" i="6" s="1"/>
  <c r="G300" i="6"/>
  <c r="G302" i="6" s="1"/>
  <c r="G29" i="6" s="1"/>
  <c r="G354" i="6"/>
  <c r="G393" i="6"/>
  <c r="G150" i="6"/>
  <c r="G21" i="6" s="1"/>
  <c r="G156" i="6"/>
  <c r="G159" i="6" s="1"/>
  <c r="G461" i="6"/>
  <c r="G464" i="6" s="1"/>
  <c r="G467" i="6" s="1"/>
  <c r="G39" i="6" s="1"/>
  <c r="E169" i="6"/>
  <c r="E23" i="6" s="1"/>
  <c r="E247" i="6"/>
  <c r="E300" i="6"/>
  <c r="E141" i="6"/>
  <c r="E150" i="6" s="1"/>
  <c r="E21" i="6" s="1"/>
  <c r="E217" i="6"/>
  <c r="E267" i="6"/>
  <c r="E354" i="6"/>
  <c r="E100" i="6"/>
  <c r="E192" i="6"/>
  <c r="E219" i="6" s="1"/>
  <c r="E25" i="6" s="1"/>
  <c r="E320" i="6"/>
  <c r="E79" i="6"/>
  <c r="E115" i="6"/>
  <c r="E123" i="6"/>
  <c r="E249" i="6"/>
  <c r="E27" i="6" s="1"/>
  <c r="E393" i="6"/>
  <c r="E428" i="6"/>
  <c r="G102" i="6" l="1"/>
  <c r="G17" i="6" s="1"/>
  <c r="G48" i="6"/>
  <c r="G219" i="6"/>
  <c r="G25" i="6" s="1"/>
  <c r="G356" i="6"/>
  <c r="G31" i="6" s="1"/>
  <c r="G49" i="6"/>
  <c r="G169" i="6"/>
  <c r="G23" i="6" s="1"/>
  <c r="E302" i="6"/>
  <c r="E29" i="6" s="1"/>
  <c r="G430" i="6"/>
  <c r="G33" i="6" s="1"/>
  <c r="E125" i="6"/>
  <c r="E19" i="6" s="1"/>
  <c r="E102" i="6"/>
  <c r="E17" i="6" s="1"/>
  <c r="E49" i="6"/>
  <c r="E430" i="6"/>
  <c r="E33" i="6" s="1"/>
  <c r="E48" i="6"/>
  <c r="E356" i="6"/>
  <c r="E31" i="6" s="1"/>
  <c r="F452" i="6"/>
  <c r="F454" i="6" s="1"/>
  <c r="F37" i="6" s="1"/>
  <c r="F227" i="6"/>
  <c r="F167" i="6"/>
  <c r="F159" i="6"/>
  <c r="F148" i="6"/>
  <c r="C37" i="6"/>
  <c r="C35" i="6"/>
  <c r="C33" i="6"/>
  <c r="C31" i="6"/>
  <c r="C29" i="6"/>
  <c r="C27" i="6"/>
  <c r="C25" i="6"/>
  <c r="C23" i="6"/>
  <c r="C21" i="6"/>
  <c r="C19" i="6"/>
  <c r="C17" i="6"/>
  <c r="G41" i="6" l="1"/>
  <c r="G46" i="6" s="1"/>
  <c r="E41" i="6"/>
  <c r="E46" i="6" s="1"/>
  <c r="F247" i="6"/>
  <c r="F428" i="6"/>
  <c r="F100" i="6"/>
  <c r="F464" i="6"/>
  <c r="F467" i="6" s="1"/>
  <c r="F39" i="6" s="1"/>
  <c r="F115" i="6"/>
  <c r="F123" i="6"/>
  <c r="F393" i="6"/>
  <c r="F300" i="6"/>
  <c r="F354" i="6"/>
  <c r="F217" i="6"/>
  <c r="F169" i="6"/>
  <c r="F23" i="6" s="1"/>
  <c r="F267" i="6"/>
  <c r="F320" i="6"/>
  <c r="F79" i="6"/>
  <c r="F141" i="6"/>
  <c r="F150" i="6" s="1"/>
  <c r="F21" i="6" s="1"/>
  <c r="F192" i="6"/>
  <c r="F438" i="6"/>
  <c r="F440" i="6" s="1"/>
  <c r="F35" i="6" s="1"/>
  <c r="F249" i="6" l="1"/>
  <c r="F27" i="6" s="1"/>
  <c r="F49" i="6"/>
  <c r="F430" i="6"/>
  <c r="F33" i="6" s="1"/>
  <c r="F48" i="6"/>
  <c r="F125" i="6"/>
  <c r="F19" i="6" s="1"/>
  <c r="F356" i="6"/>
  <c r="F31" i="6" s="1"/>
  <c r="F302" i="6"/>
  <c r="F102" i="6"/>
  <c r="F219" i="6"/>
  <c r="F29" i="6" l="1"/>
  <c r="F17" i="6"/>
  <c r="F25" i="6"/>
  <c r="F41" i="6" l="1"/>
  <c r="F46" i="6" s="1"/>
</calcChain>
</file>

<file path=xl/sharedStrings.xml><?xml version="1.0" encoding="utf-8"?>
<sst xmlns="http://schemas.openxmlformats.org/spreadsheetml/2006/main" count="595" uniqueCount="534">
  <si>
    <t>Megnevezés</t>
  </si>
  <si>
    <t>01101435</t>
  </si>
  <si>
    <t>01101632</t>
  </si>
  <si>
    <t>01101633</t>
  </si>
  <si>
    <t>01104050</t>
  </si>
  <si>
    <t>01104052</t>
  </si>
  <si>
    <t>01104053</t>
  </si>
  <si>
    <t>01104055</t>
  </si>
  <si>
    <t>01104059</t>
  </si>
  <si>
    <t>01104064</t>
  </si>
  <si>
    <t>01104065</t>
  </si>
  <si>
    <t>01104066</t>
  </si>
  <si>
    <t>01104067</t>
  </si>
  <si>
    <t>01104069</t>
  </si>
  <si>
    <t>01104071</t>
  </si>
  <si>
    <t>01104076</t>
  </si>
  <si>
    <t>01104077</t>
  </si>
  <si>
    <t>01104078</t>
  </si>
  <si>
    <t>01104079</t>
  </si>
  <si>
    <t>01104080</t>
  </si>
  <si>
    <t>01114001</t>
  </si>
  <si>
    <t>01114005</t>
  </si>
  <si>
    <t>01114008</t>
  </si>
  <si>
    <t>01114011</t>
  </si>
  <si>
    <t>01114012</t>
  </si>
  <si>
    <t>01114013</t>
  </si>
  <si>
    <t>01114014</t>
  </si>
  <si>
    <t>01114015</t>
  </si>
  <si>
    <t>01114016</t>
  </si>
  <si>
    <t>01114017</t>
  </si>
  <si>
    <t>01114018</t>
  </si>
  <si>
    <t>02102003</t>
  </si>
  <si>
    <t>02102004</t>
  </si>
  <si>
    <t>02102006</t>
  </si>
  <si>
    <t>02102007</t>
  </si>
  <si>
    <t>02102008</t>
  </si>
  <si>
    <t>02102009</t>
  </si>
  <si>
    <t>02102011</t>
  </si>
  <si>
    <t>02102019</t>
  </si>
  <si>
    <t>02102021</t>
  </si>
  <si>
    <t>03104003</t>
  </si>
  <si>
    <t>03104004</t>
  </si>
  <si>
    <t>03105002</t>
  </si>
  <si>
    <t>03105003</t>
  </si>
  <si>
    <t>03105008</t>
  </si>
  <si>
    <t>03105013</t>
  </si>
  <si>
    <t>03105015</t>
  </si>
  <si>
    <t>03105018</t>
  </si>
  <si>
    <t>03105019</t>
  </si>
  <si>
    <t>03105020</t>
  </si>
  <si>
    <t>04106001</t>
  </si>
  <si>
    <t>04106002</t>
  </si>
  <si>
    <t>04106005</t>
  </si>
  <si>
    <t>04106011</t>
  </si>
  <si>
    <t>04106022</t>
  </si>
  <si>
    <t>05105053</t>
  </si>
  <si>
    <t>05105057</t>
  </si>
  <si>
    <t>05105206</t>
  </si>
  <si>
    <t>05105300</t>
  </si>
  <si>
    <t>05106102</t>
  </si>
  <si>
    <t>05106104</t>
  </si>
  <si>
    <t>05106105</t>
  </si>
  <si>
    <t>05106108</t>
  </si>
  <si>
    <t>05106110</t>
  </si>
  <si>
    <t>05106151</t>
  </si>
  <si>
    <t>05106252</t>
  </si>
  <si>
    <t>05106254</t>
  </si>
  <si>
    <t>05106256</t>
  </si>
  <si>
    <t>05106257</t>
  </si>
  <si>
    <t>05106258</t>
  </si>
  <si>
    <t>05106303</t>
  </si>
  <si>
    <t>05106402</t>
  </si>
  <si>
    <t>05106410</t>
  </si>
  <si>
    <t>05106424</t>
  </si>
  <si>
    <t>05106425</t>
  </si>
  <si>
    <t>05106439</t>
  </si>
  <si>
    <t>05106440</t>
  </si>
  <si>
    <t>05106450</t>
  </si>
  <si>
    <t>05106454</t>
  </si>
  <si>
    <t>06107004</t>
  </si>
  <si>
    <t>06107017</t>
  </si>
  <si>
    <t>06107200</t>
  </si>
  <si>
    <t>06107204</t>
  </si>
  <si>
    <t>06107205</t>
  </si>
  <si>
    <t>06107208</t>
  </si>
  <si>
    <t>06107306</t>
  </si>
  <si>
    <t>06107307</t>
  </si>
  <si>
    <t>06107308</t>
  </si>
  <si>
    <t>06107323</t>
  </si>
  <si>
    <t>07108001</t>
  </si>
  <si>
    <t>07108002</t>
  </si>
  <si>
    <t>07108003</t>
  </si>
  <si>
    <t>07108016</t>
  </si>
  <si>
    <t>07108019</t>
  </si>
  <si>
    <t>07108200</t>
  </si>
  <si>
    <t>07108201</t>
  </si>
  <si>
    <t>07108202</t>
  </si>
  <si>
    <t>07108214</t>
  </si>
  <si>
    <t>07108215</t>
  </si>
  <si>
    <t>07108216</t>
  </si>
  <si>
    <t>07108217</t>
  </si>
  <si>
    <t>07108218</t>
  </si>
  <si>
    <t>07108220</t>
  </si>
  <si>
    <t>07108259</t>
  </si>
  <si>
    <t>07108302</t>
  </si>
  <si>
    <t>07108303</t>
  </si>
  <si>
    <t>07108305</t>
  </si>
  <si>
    <t>07108308</t>
  </si>
  <si>
    <t>07108341</t>
  </si>
  <si>
    <t>07108342</t>
  </si>
  <si>
    <t>07108343</t>
  </si>
  <si>
    <t>07108348</t>
  </si>
  <si>
    <t>07108358</t>
  </si>
  <si>
    <t>07108359</t>
  </si>
  <si>
    <t>07108361</t>
  </si>
  <si>
    <t>07108366</t>
  </si>
  <si>
    <t>07108411</t>
  </si>
  <si>
    <t>07108414</t>
  </si>
  <si>
    <t>08107001</t>
  </si>
  <si>
    <t>08107006</t>
  </si>
  <si>
    <t>08107010</t>
  </si>
  <si>
    <t>08107012</t>
  </si>
  <si>
    <t>08107015</t>
  </si>
  <si>
    <t>08107021</t>
  </si>
  <si>
    <t>08107050</t>
  </si>
  <si>
    <t>08107113</t>
  </si>
  <si>
    <t>08107116</t>
  </si>
  <si>
    <t>08107138</t>
  </si>
  <si>
    <t>08107139</t>
  </si>
  <si>
    <t>08107140</t>
  </si>
  <si>
    <t>08107141</t>
  </si>
  <si>
    <t>08107200</t>
  </si>
  <si>
    <t>08107300</t>
  </si>
  <si>
    <t>08107301</t>
  </si>
  <si>
    <t>08107303</t>
  </si>
  <si>
    <t>08107309</t>
  </si>
  <si>
    <t>08107310</t>
  </si>
  <si>
    <t>08107312</t>
  </si>
  <si>
    <t>08107313</t>
  </si>
  <si>
    <t>08107314</t>
  </si>
  <si>
    <t>08107316</t>
  </si>
  <si>
    <t>08107317</t>
  </si>
  <si>
    <t>08107322</t>
  </si>
  <si>
    <t>08107326</t>
  </si>
  <si>
    <t>08107329</t>
  </si>
  <si>
    <t>08107330</t>
  </si>
  <si>
    <t>08107332</t>
  </si>
  <si>
    <t>08107335</t>
  </si>
  <si>
    <t>08107339</t>
  </si>
  <si>
    <t>10101003</t>
  </si>
  <si>
    <t>10105275</t>
  </si>
  <si>
    <t>10105276</t>
  </si>
  <si>
    <t>10105278</t>
  </si>
  <si>
    <t>10105279</t>
  </si>
  <si>
    <t>10105280</t>
  </si>
  <si>
    <t>10105281</t>
  </si>
  <si>
    <t>10105283</t>
  </si>
  <si>
    <t>10105284</t>
  </si>
  <si>
    <t>10105285</t>
  </si>
  <si>
    <t>10105300</t>
  </si>
  <si>
    <t>10105550</t>
  </si>
  <si>
    <t>10105552</t>
  </si>
  <si>
    <t>10105553</t>
  </si>
  <si>
    <t>10108024</t>
  </si>
  <si>
    <t>10108050</t>
  </si>
  <si>
    <t>10109012</t>
  </si>
  <si>
    <t>10111100</t>
  </si>
  <si>
    <t>10111101</t>
  </si>
  <si>
    <t>10111116</t>
  </si>
  <si>
    <t>10111503</t>
  </si>
  <si>
    <t>10112352</t>
  </si>
  <si>
    <t>10112355</t>
  </si>
  <si>
    <t>10113058</t>
  </si>
  <si>
    <t>10113071</t>
  </si>
  <si>
    <t>10113072</t>
  </si>
  <si>
    <t>10113073</t>
  </si>
  <si>
    <t>10113085</t>
  </si>
  <si>
    <t>10113461</t>
  </si>
  <si>
    <t>10113463</t>
  </si>
  <si>
    <t>10113464</t>
  </si>
  <si>
    <t>10113469</t>
  </si>
  <si>
    <t>10113470</t>
  </si>
  <si>
    <t>10113471</t>
  </si>
  <si>
    <t>10113472</t>
  </si>
  <si>
    <t>10113473</t>
  </si>
  <si>
    <t>10113475</t>
  </si>
  <si>
    <t>10113478</t>
  </si>
  <si>
    <t>10113482</t>
  </si>
  <si>
    <t>10113483</t>
  </si>
  <si>
    <t>10113489</t>
  </si>
  <si>
    <t>10113494</t>
  </si>
  <si>
    <t>10113496</t>
  </si>
  <si>
    <t>10113500</t>
  </si>
  <si>
    <t>10113515</t>
  </si>
  <si>
    <t>11105001</t>
  </si>
  <si>
    <t>11105015</t>
  </si>
  <si>
    <t>19100000</t>
  </si>
  <si>
    <t>19100001</t>
  </si>
  <si>
    <t>Ft-ban</t>
  </si>
  <si>
    <t>A</t>
  </si>
  <si>
    <t>B</t>
  </si>
  <si>
    <t>D</t>
  </si>
  <si>
    <t>E</t>
  </si>
  <si>
    <t>Feladat</t>
  </si>
  <si>
    <t>ügylet</t>
  </si>
  <si>
    <t>Módosított</t>
  </si>
  <si>
    <t>kódja</t>
  </si>
  <si>
    <t xml:space="preserve"> </t>
  </si>
  <si>
    <t>Funkciók összesen</t>
  </si>
  <si>
    <t>Miskolc Térségi Konzorcium működéséhez kapcsolódó kiadások</t>
  </si>
  <si>
    <t>ÖNKORMÁNYZAT MŰKÖDÉS ÖSSZESEN</t>
  </si>
  <si>
    <t>FELÚJÍTÁSOKHOZ KAPCS. MŰKÖDÉSI KIADÁS ÖSSZESEN</t>
  </si>
  <si>
    <t>BERUHÁZÁS ÖSSZESEN</t>
  </si>
  <si>
    <t>BERUHÁZÁSOKHOZ KAPCS. MŰKÖDÉSI KIADÁS ÖSSZESEN</t>
  </si>
  <si>
    <t>ÖNKORMÁNYZAT MINDÖSSZESEN</t>
  </si>
  <si>
    <t>Ebből:</t>
  </si>
  <si>
    <t xml:space="preserve"> - Kötelezően ellátandó feladatok</t>
  </si>
  <si>
    <t xml:space="preserve"> - Önként vállalt feladatok</t>
  </si>
  <si>
    <t>Városüzemeltetés</t>
  </si>
  <si>
    <t>Kötelezően ellátandó feladatok:</t>
  </si>
  <si>
    <t>01101101-</t>
  </si>
  <si>
    <t>Társaságok támogatása</t>
  </si>
  <si>
    <t xml:space="preserve"> - Miskolci Városgazda Nonprofit Kft. támogatása:</t>
  </si>
  <si>
    <t xml:space="preserve">    - Miskolci Állatkert és Kulturpark működési támogatás</t>
  </si>
  <si>
    <t xml:space="preserve">    - Állategészségügyi telep üzemeltetése</t>
  </si>
  <si>
    <t xml:space="preserve">    - Start közmunka program önrésze</t>
  </si>
  <si>
    <t xml:space="preserve">    - Önkormányzati közfoglalkoztatás önrésze</t>
  </si>
  <si>
    <t xml:space="preserve">    - Városgazda Nonprofit Kft. működési támogatás</t>
  </si>
  <si>
    <t xml:space="preserve"> - MVK Zrt. működési támogatás (önkormányzati)</t>
  </si>
  <si>
    <t xml:space="preserve"> - MVK Zrt. működési támogatás (állami)</t>
  </si>
  <si>
    <t xml:space="preserve"> - MVK Zrt. visszamenőleges közszolgáltatói ellentételezés 2008-2013. évekre</t>
  </si>
  <si>
    <t xml:space="preserve"> - MVK Zrt. közszolgáltatói ellentételezés 2014.</t>
  </si>
  <si>
    <t xml:space="preserve"> - Borsodi Kéményseprő Szolgáltató Kft. működési támogatás</t>
  </si>
  <si>
    <t xml:space="preserve"> - MIVÍZ Kft. települési folyékony hulladék elszállításához kapcsolódó támogatás</t>
  </si>
  <si>
    <t>Parkoltatási szolgáltatással kapcsolatos kiadások:</t>
  </si>
  <si>
    <t xml:space="preserve">   - Építményekért fizetendő bérleti díj</t>
  </si>
  <si>
    <t xml:space="preserve">   - Parkoltatási üzemeltetési kiadás</t>
  </si>
  <si>
    <t xml:space="preserve">   - Parkoltatási célú területek bérleti díja</t>
  </si>
  <si>
    <t>Főépítészi, településrendezési feladatok</t>
  </si>
  <si>
    <t>Gispán bővítése építmény nyilvántartó alrendszerrel</t>
  </si>
  <si>
    <t>I. világháborús hadisírok és emlékművekkel kapcsolatos kiadások</t>
  </si>
  <si>
    <t>Kötelezően ellátandó feladatok összesen</t>
  </si>
  <si>
    <t>Önként vállalt feladatok:</t>
  </si>
  <si>
    <t xml:space="preserve">   - Választókerületi feladatok</t>
  </si>
  <si>
    <t xml:space="preserve"> - Miskolci Turisztikai Kft. támogatása:</t>
  </si>
  <si>
    <t xml:space="preserve">   - Selyemréti Strandfürdő működési támogatás</t>
  </si>
  <si>
    <t xml:space="preserve">   - Miskolc-Tapolcai Strandfürdő úszómedence, kiszolgáló létesítmények működési támogatás</t>
  </si>
  <si>
    <t>Társadalmi együttműködés erősítése (TOP támogatás)</t>
  </si>
  <si>
    <t xml:space="preserve"> - Szociális városrehabilitáció - Avas szoft programok folytatása (TOP támogatás)</t>
  </si>
  <si>
    <t xml:space="preserve"> - Lyukói pilot program szoft eleme (TOP támogatás)</t>
  </si>
  <si>
    <t xml:space="preserve"> - Társadalmi integrációt elősegítő beavatkozások a Vasgyárban (TOP támogatás)</t>
  </si>
  <si>
    <t>Központi Leánykollégium fejlesztése ötletpályázat</t>
  </si>
  <si>
    <t>Smartimpact projekt (Urbact III)</t>
  </si>
  <si>
    <t>TRAM projekt (Interreg Europe)</t>
  </si>
  <si>
    <t>Önként vállalt feladatok összesen</t>
  </si>
  <si>
    <t>Városüzemeltetés mindösszesen</t>
  </si>
  <si>
    <t>Környezetvédelem</t>
  </si>
  <si>
    <t>Levegőtisztaságvédelem</t>
  </si>
  <si>
    <t>Hulladékgazdálkodás</t>
  </si>
  <si>
    <t>Tudatformálás</t>
  </si>
  <si>
    <t>Épített és természeti környezet védelme</t>
  </si>
  <si>
    <t>Helyi Környezetvédelmi Alap Célelőirányzat</t>
  </si>
  <si>
    <t>Zaj, rezgésvédelem</t>
  </si>
  <si>
    <t xml:space="preserve">Energiagazdálkodás  </t>
  </si>
  <si>
    <t>Green City programmal kapcsolatos feladatok</t>
  </si>
  <si>
    <t>ICLEI tagdíj</t>
  </si>
  <si>
    <t>Környezetvédelem mindösszesen</t>
  </si>
  <si>
    <t>Vagyongazdálkodás</t>
  </si>
  <si>
    <t>Különféle kártalanítások</t>
  </si>
  <si>
    <t>MIK Zrt-hez kapcsolódó kiadások:</t>
  </si>
  <si>
    <t xml:space="preserve"> - Bérleményszolgáltatás kiadásai</t>
  </si>
  <si>
    <t xml:space="preserve"> - Ingatlanértékesítés kiadásai</t>
  </si>
  <si>
    <t xml:space="preserve"> - Bérleményszolgáltatással kapcsolatos befizetendő ÁFA</t>
  </si>
  <si>
    <t xml:space="preserve"> - PPP lakások bérleti díja ÁFA kiadás</t>
  </si>
  <si>
    <t>ÁFA kiadás (önkormányzati)</t>
  </si>
  <si>
    <t>Kártalanításhoz, kisajátításhoz kapcsolódó költségek</t>
  </si>
  <si>
    <t>Szociális bérlakásokkal összefüggő követelésvásárláshoz kapcsolódó egyéb kiadások</t>
  </si>
  <si>
    <t>Egyéb vagyongazdálkodással kapcsolatos költségek</t>
  </si>
  <si>
    <t>Önkormányzati vagyon biztosításával kapcsolatos kiadások</t>
  </si>
  <si>
    <t>Vagyongazdálkodás mindösszesen</t>
  </si>
  <si>
    <t>Egészségügy</t>
  </si>
  <si>
    <t>Egészségügyi alapellátás működtetése</t>
  </si>
  <si>
    <t>Foglalkozás egészségügyi szolgáltatás</t>
  </si>
  <si>
    <t>Drogambulancia működtetés támogatás (Drogambulancia Alapítvány)</t>
  </si>
  <si>
    <t>Lelkisegély Szolgálat támogatása (Miskolci Lelkisegély Telefonszolgálatért Alapítvány)</t>
  </si>
  <si>
    <t>Fertőző agyhártyagyulladás elleni védőoltás támogatása</t>
  </si>
  <si>
    <t>Egészségügy mindösszesen</t>
  </si>
  <si>
    <t>Szociális</t>
  </si>
  <si>
    <t>Lakhatást elősegítő támogatások:</t>
  </si>
  <si>
    <t xml:space="preserve"> - "Sikeres Magyarországért" Panel Plusz hitelprogram</t>
  </si>
  <si>
    <t>Krízis helyzetben lévők számára nyújtott támogatások:</t>
  </si>
  <si>
    <t xml:space="preserve"> - Rendkívüli települési támogatás</t>
  </si>
  <si>
    <t>Gyermekneveléshez, tanulás elősegítéséhez nyújtott támogatások:</t>
  </si>
  <si>
    <t xml:space="preserve"> - Rászoruló gyermekek intézményen kívüli szünidei étkeztetésének támogatása</t>
  </si>
  <si>
    <t>Hajléktalan ellátást biztosító szervezetek támogatása:</t>
  </si>
  <si>
    <t xml:space="preserve"> - Minorita Rend támogatása (népkonyha)</t>
  </si>
  <si>
    <t xml:space="preserve"> - Hajléktalanok ellátását biztosító szervezetek támogatása</t>
  </si>
  <si>
    <t>Egyéb szociális feladatok:</t>
  </si>
  <si>
    <t xml:space="preserve"> - Közköltséges temetés</t>
  </si>
  <si>
    <t xml:space="preserve"> - Kedvezményes bölcsődei intézményi étkeztetés</t>
  </si>
  <si>
    <t xml:space="preserve"> - Segélyek postaköltsége</t>
  </si>
  <si>
    <t xml:space="preserve"> - Miskolc Környéki Önkormányzati Társulás - Miskolci Egyesített Szociális és Gyermekjóléti Intézmény </t>
  </si>
  <si>
    <t xml:space="preserve"> - Miskolc Környéki Önkormányzati Társulás tagdíj</t>
  </si>
  <si>
    <t xml:space="preserve"> - Települési támogatás lakásfenntartás kiadásaihoz</t>
  </si>
  <si>
    <t xml:space="preserve"> - Gyermekétkeztetési támogatás</t>
  </si>
  <si>
    <t xml:space="preserve"> - Alsó tagozatos tanulók kedvezményes utaztatása</t>
  </si>
  <si>
    <t xml:space="preserve"> - Ifjúságvédelmi támogatás</t>
  </si>
  <si>
    <t xml:space="preserve"> - Fiatalok önálló életkezdési támogatása (Start számla - Babakötvény)</t>
  </si>
  <si>
    <t xml:space="preserve">Egészségi állapot megőrzéséhez és helyreállításához </t>
  </si>
  <si>
    <t>kapcsolódó kiadások csökkentéséhez nyújtott támogatások:</t>
  </si>
  <si>
    <t xml:space="preserve"> - Települési támogatás gyógyszerkiadások viseléséhez</t>
  </si>
  <si>
    <t>Civil szervezetek támogatása:</t>
  </si>
  <si>
    <t xml:space="preserve"> - Szociális feladatot ellátó civil szervezetek támogatása</t>
  </si>
  <si>
    <t xml:space="preserve"> - Társadalmi felzárkóztatás</t>
  </si>
  <si>
    <t xml:space="preserve"> - A Miskolci Családokért és Segítőkért Alapítvány működésének támogatása</t>
  </si>
  <si>
    <t xml:space="preserve"> - Salkaházi Sára Miskolc program</t>
  </si>
  <si>
    <t xml:space="preserve"> - Lyukóvölgyi szociális célú épületek működtetése</t>
  </si>
  <si>
    <t xml:space="preserve"> - Szociális munka napja</t>
  </si>
  <si>
    <t xml:space="preserve"> - Magyar Máltai Szeretetszolgálat jelenlét programok</t>
  </si>
  <si>
    <t xml:space="preserve"> - Szociális infrastruktúra fejlesztése</t>
  </si>
  <si>
    <t>Szociális mindösszesen</t>
  </si>
  <si>
    <t>Oktatás</t>
  </si>
  <si>
    <t>Ifjúságpolitikával kapcsolatos feladatok:</t>
  </si>
  <si>
    <t xml:space="preserve"> - Mozgássérült óvodás és általános iskolás gyermekek szállítása:</t>
  </si>
  <si>
    <t xml:space="preserve">   - Magyar Máltai Szeretetszolgálat Egyesület</t>
  </si>
  <si>
    <t xml:space="preserve">   - Szimbiózis Alapítvány</t>
  </si>
  <si>
    <t xml:space="preserve"> - Célpont Ifjúsági Információs és Tanácsadó Iroda működtetése</t>
  </si>
  <si>
    <t xml:space="preserve"> - Óvodatej akció</t>
  </si>
  <si>
    <t>Egyéb feladatok:</t>
  </si>
  <si>
    <t xml:space="preserve"> - Miskolci Felnőttképző Központ Közhasznú Nonprofit Kft. működéséhez hozzájárulás</t>
  </si>
  <si>
    <t xml:space="preserve"> - Idősügyi Tanács</t>
  </si>
  <si>
    <t xml:space="preserve"> - Kiváló teljesítményt nyújtó tanulók elismerése</t>
  </si>
  <si>
    <t xml:space="preserve"> - Miskolc Városi Diákönkormányzat támogatása</t>
  </si>
  <si>
    <t xml:space="preserve"> - Helyi identitást és kohéziót erősítő önkormányzati programok (TOP támogatás)</t>
  </si>
  <si>
    <t>Oktatás mindösszesen</t>
  </si>
  <si>
    <t>Kulturális és idegenforgalmi feladatok</t>
  </si>
  <si>
    <t>Kulturális feladatok</t>
  </si>
  <si>
    <t>Rendezvények támogatása:</t>
  </si>
  <si>
    <t xml:space="preserve"> - Városi ünnepek</t>
  </si>
  <si>
    <t>Kulturális szervezetek támogatása:</t>
  </si>
  <si>
    <t xml:space="preserve"> - CINE-MIS Nonprofit Kft. működési támogatása</t>
  </si>
  <si>
    <t xml:space="preserve"> - CINE-MIS Nonprofit Kft. kölcsön biztosítása</t>
  </si>
  <si>
    <t xml:space="preserve"> - Miskolci Nemzeti Színház Nonprofit Kft. támogatása</t>
  </si>
  <si>
    <t xml:space="preserve"> - Miskolci Csodamalom Bábszínház Nonprofit Kft. támogatása</t>
  </si>
  <si>
    <t xml:space="preserve"> - Miskolci Szimfonikus Zenekar Nonprofit Kft. támogatása</t>
  </si>
  <si>
    <t xml:space="preserve"> - Miskolci Kulturális Központ Nonprofit Kft. támogatása</t>
  </si>
  <si>
    <t xml:space="preserve"> - "Bartók + …" Miskolci Nemzetközi Operafesztivál (Miskolci Operafesztivál Nonprofit Kft.)</t>
  </si>
  <si>
    <t xml:space="preserve"> - Kulturális rendezvények támogatása</t>
  </si>
  <si>
    <t xml:space="preserve"> - Határon túli kulturális és idegenforgalmi feladatok</t>
  </si>
  <si>
    <t xml:space="preserve"> - Miskolci Kommunikációs Nonprofit Kft. működtetés támogatása</t>
  </si>
  <si>
    <t xml:space="preserve"> - MIDMAR Nonprofit Kft. működési támogatása</t>
  </si>
  <si>
    <t xml:space="preserve"> - Szinvavölgyi Néptáncegyüttes támogatása</t>
  </si>
  <si>
    <t>Egyéb kulturális feladatok:</t>
  </si>
  <si>
    <t xml:space="preserve"> - Szakértői díjak</t>
  </si>
  <si>
    <t xml:space="preserve"> - Művészeti és tudományos ösztöndíjak</t>
  </si>
  <si>
    <t xml:space="preserve"> - Város által alapított díjak</t>
  </si>
  <si>
    <t xml:space="preserve"> - Miskolc város védett síremlékei</t>
  </si>
  <si>
    <t xml:space="preserve"> - Feledy Gyula grafikus művész életjáradék</t>
  </si>
  <si>
    <t xml:space="preserve"> - Szlovák Nemzetiségi Önkormányzat Bükkszentlászló Közösségi ház működési támogatás</t>
  </si>
  <si>
    <t xml:space="preserve"> - Kiemelt történelmi évfordulók</t>
  </si>
  <si>
    <t xml:space="preserve"> - Szász Endréné életjáradéka</t>
  </si>
  <si>
    <t xml:space="preserve"> - Touch Info tornyok üzemeltetése</t>
  </si>
  <si>
    <t xml:space="preserve"> - Miskolc-Tapolca gyógyhellyé nyilvánítása</t>
  </si>
  <si>
    <t xml:space="preserve"> - "Felvirrad még Magyarország" c. portréfilm</t>
  </si>
  <si>
    <t>Idegenforgalmi feladatok</t>
  </si>
  <si>
    <t xml:space="preserve"> - Idegenforgalmi Alap</t>
  </si>
  <si>
    <t xml:space="preserve"> - Idegenforgalmi kapcsolatok és kiadványok</t>
  </si>
  <si>
    <t xml:space="preserve"> - Városmarketing</t>
  </si>
  <si>
    <t>Kulturális és idegenforgalmi feladatok összesen:</t>
  </si>
  <si>
    <t>Sport</t>
  </si>
  <si>
    <t>Sportlétesítmények üzemeltetése:</t>
  </si>
  <si>
    <t xml:space="preserve"> - Miskolc Városi Sportiskola Nonprofit Kft. kiadásai:</t>
  </si>
  <si>
    <t xml:space="preserve">    - működési támogatás (sportutánpótlás képzés)</t>
  </si>
  <si>
    <t xml:space="preserve">    - kötelező úszásoktatás</t>
  </si>
  <si>
    <t xml:space="preserve"> - DSM Nonprofit Kft. működési támogatás</t>
  </si>
  <si>
    <t xml:space="preserve"> - Miskolc Városi Szabadidőközpont Nonprofit Kft. működési támogatás</t>
  </si>
  <si>
    <t xml:space="preserve"> - Kemény Dénes Városi Sportuszoda működési támogatás</t>
  </si>
  <si>
    <t xml:space="preserve"> - Diósgyőri Uszoda üzemeltetése</t>
  </si>
  <si>
    <t>Miskolci Sportcentrum Kft. kiadásai:</t>
  </si>
  <si>
    <t xml:space="preserve"> - Sportlétesítmények üzemeltetése</t>
  </si>
  <si>
    <t xml:space="preserve"> - Diáksport támogatása (Miskolc Városi Diáksport Szövetség)</t>
  </si>
  <si>
    <t>Miskolci Sportcentrum Kft. működési támogatás</t>
  </si>
  <si>
    <t xml:space="preserve"> - Barátság Maraton</t>
  </si>
  <si>
    <t xml:space="preserve"> - Bükki Hegyi Maraton</t>
  </si>
  <si>
    <t xml:space="preserve"> - Hazai, nemzetközi szabadidős és sportrendezvények támogatása</t>
  </si>
  <si>
    <t xml:space="preserve"> - Előre nem tervezhető, hazai, nemzetközi szabadidős és sportrendezvények támogatása</t>
  </si>
  <si>
    <t xml:space="preserve"> - Tour De Hongrie kerékpáros körverseny</t>
  </si>
  <si>
    <t xml:space="preserve"> - Egyetemi Kosárlabda EB</t>
  </si>
  <si>
    <t>Városi szinten kiemelt egyesületek létesítményhasználati és versenyez-</t>
  </si>
  <si>
    <t>tetésének támogatása:</t>
  </si>
  <si>
    <t xml:space="preserve"> - Egyesületi támogatások (Egyéni olimpiai sportágak)</t>
  </si>
  <si>
    <t>Kiemelt egyesületi támogatások:</t>
  </si>
  <si>
    <t xml:space="preserve"> - DVTK labdarúgás</t>
  </si>
  <si>
    <t xml:space="preserve"> - Miskolci Jegesmedvék</t>
  </si>
  <si>
    <t xml:space="preserve"> - DVTK kosárlabda támogatása</t>
  </si>
  <si>
    <t xml:space="preserve"> - Miskolci Vízilabda Club</t>
  </si>
  <si>
    <t xml:space="preserve"> - Miskolci Vénusz Futsal</t>
  </si>
  <si>
    <t xml:space="preserve"> - Sport Mecénás Alap</t>
  </si>
  <si>
    <t xml:space="preserve"> - MVSC Sporttelep működtetési támogatása</t>
  </si>
  <si>
    <t xml:space="preserve"> - Eredményes miskolci sportolókkal kapcsolatos díjazások, támogatások</t>
  </si>
  <si>
    <t xml:space="preserve"> - 2016/2017. TAO Sportfejlesztési Program pályázatok önrésze</t>
  </si>
  <si>
    <t xml:space="preserve"> - Hiszek Benned Sport Program I.</t>
  </si>
  <si>
    <t xml:space="preserve"> - Eredményességi támogatás</t>
  </si>
  <si>
    <t xml:space="preserve"> - Sportesemények díjazása</t>
  </si>
  <si>
    <t xml:space="preserve"> - MLSZ pályázatának II. ütemében,  III. ütemében és  IV. ütemében felépült műfüves labdarúgó pályák üzemeltetése</t>
  </si>
  <si>
    <t xml:space="preserve"> - 2015/2016. TAO Sportfejlesztési Program pályázatok önrésze</t>
  </si>
  <si>
    <t xml:space="preserve"> - Tájékozódási Futó VB (egyetem)</t>
  </si>
  <si>
    <t>Sport összesen:</t>
  </si>
  <si>
    <t>Központilag kezelt  feladatok</t>
  </si>
  <si>
    <t>Nemzetiségi önkormányzatok támogatása</t>
  </si>
  <si>
    <t xml:space="preserve"> - Bolgár</t>
  </si>
  <si>
    <t xml:space="preserve"> - Görög</t>
  </si>
  <si>
    <t xml:space="preserve"> - Lengyel</t>
  </si>
  <si>
    <t xml:space="preserve"> - Német</t>
  </si>
  <si>
    <t xml:space="preserve"> - Örmény</t>
  </si>
  <si>
    <t xml:space="preserve"> - Roma</t>
  </si>
  <si>
    <t xml:space="preserve"> - Ruszin</t>
  </si>
  <si>
    <t xml:space="preserve"> - Szlovák</t>
  </si>
  <si>
    <t xml:space="preserve"> - Ukrán</t>
  </si>
  <si>
    <t>Közbiztonsági és rendvédelmi feladatok:</t>
  </si>
  <si>
    <t xml:space="preserve"> - Közbiztonság, polgárőrség  támogatása</t>
  </si>
  <si>
    <t xml:space="preserve"> - Közbiztonság és közrend védelmével összefüggő feladatok támogatása</t>
  </si>
  <si>
    <t xml:space="preserve"> - Közbiztonsági megelőzés, védekezés, helyreállítási feladatok</t>
  </si>
  <si>
    <t xml:space="preserve"> - Képviselők juttatása</t>
  </si>
  <si>
    <t xml:space="preserve"> - Elszámolás az államháztartással</t>
  </si>
  <si>
    <t xml:space="preserve"> - Államháztartáson belüli megelőlegezések</t>
  </si>
  <si>
    <t xml:space="preserve"> - Szolidaritási hozzájárulás</t>
  </si>
  <si>
    <t xml:space="preserve"> - Önkormányzati intézmények, Polgármesteri Hivatal és a nemzetiségi önkormányzatok közfoglalkoztatása</t>
  </si>
  <si>
    <t>10109001-</t>
  </si>
  <si>
    <t xml:space="preserve"> - Általános igazgatási tevékenység kiadásai</t>
  </si>
  <si>
    <t xml:space="preserve"> - Önkormányzatnál foglalkoztatottak kiadásai</t>
  </si>
  <si>
    <t>10112353-</t>
  </si>
  <si>
    <t xml:space="preserve"> - Tisztségviselők juttatásai és járulékai</t>
  </si>
  <si>
    <t xml:space="preserve"> - Informatikai feladatok ellátása (Miskolc Holding Zrt.)</t>
  </si>
  <si>
    <t xml:space="preserve"> - Költségvetési szerveknél foglalkoztatottak bérkompenzációja</t>
  </si>
  <si>
    <t xml:space="preserve"> - Közétkeztetéssel összefüggő feladatok kiadásai</t>
  </si>
  <si>
    <t>Különböző alapok támogatása:</t>
  </si>
  <si>
    <t xml:space="preserve"> - Mecénási Alap</t>
  </si>
  <si>
    <t xml:space="preserve">   - Kulturális rendezvények és feladatok támogatása</t>
  </si>
  <si>
    <t xml:space="preserve">   - Bizottság által felosztható</t>
  </si>
  <si>
    <t>10113051-</t>
  </si>
  <si>
    <t xml:space="preserve">   - Polgármesteri</t>
  </si>
  <si>
    <t>10112090-</t>
  </si>
  <si>
    <t xml:space="preserve"> - Választókerületi Alap</t>
  </si>
  <si>
    <t>10112119</t>
  </si>
  <si>
    <t xml:space="preserve">Különböző szervezetek támogatása, költséghozzájárulások, </t>
  </si>
  <si>
    <t>tagdíjak:</t>
  </si>
  <si>
    <t xml:space="preserve"> - Megyei Jogú Városok Szövetsége tagdíj</t>
  </si>
  <si>
    <t xml:space="preserve"> - Civil szervezetek támogatása</t>
  </si>
  <si>
    <t xml:space="preserve"> - Magyar Bortelepülések Szövetsége éves tagdíj</t>
  </si>
  <si>
    <t>Ifjúságpolitikai feladatok</t>
  </si>
  <si>
    <t xml:space="preserve"> - Fiatalok első lakáshozjutásának pénzügyi támogatása</t>
  </si>
  <si>
    <t xml:space="preserve"> - Testvérvárosi kapcsolatok</t>
  </si>
  <si>
    <t xml:space="preserve"> - Esélyegyenlőségi feladatok</t>
  </si>
  <si>
    <t xml:space="preserve"> - Közbeszerzési tevékenység ellátásával összefüggő kiadások</t>
  </si>
  <si>
    <t xml:space="preserve"> - "Visegrádi Négyek az Európai Unióban" Testvérvárosi Találkozó</t>
  </si>
  <si>
    <t xml:space="preserve"> - Önkormányzati alapítású közalapítványok támogatása</t>
  </si>
  <si>
    <t xml:space="preserve"> - Médiakampányok</t>
  </si>
  <si>
    <t xml:space="preserve"> - PR feladatok</t>
  </si>
  <si>
    <t xml:space="preserve"> - Nyugdíjas klubok támogatása</t>
  </si>
  <si>
    <t xml:space="preserve"> - 2017. évi egyszeri juttatás kiadásai </t>
  </si>
  <si>
    <t xml:space="preserve"> - Miskolc Megyei Jogú Város Foglalkoztatási Paktum Programja (TOP támogatás)</t>
  </si>
  <si>
    <t xml:space="preserve"> - Adomány Fazekas testvérek részére</t>
  </si>
  <si>
    <t xml:space="preserve"> - Nemzetközi tevékenység</t>
  </si>
  <si>
    <t>Központilag kezelt feladatok mindösszesen</t>
  </si>
  <si>
    <t>Tartalékok</t>
  </si>
  <si>
    <t>Általános tartalék</t>
  </si>
  <si>
    <t>Tartalékok mindösszesen</t>
  </si>
  <si>
    <t>Adósságszolgálat</t>
  </si>
  <si>
    <t>11105010-</t>
  </si>
  <si>
    <t>Hiteltörlesztés</t>
  </si>
  <si>
    <t>11105014</t>
  </si>
  <si>
    <t>11105020-</t>
  </si>
  <si>
    <t>11105025</t>
  </si>
  <si>
    <t>Kamatfizetés</t>
  </si>
  <si>
    <t>Adósságszolgálat összesen</t>
  </si>
  <si>
    <t>Miskolc Térségi Konzorcium működéséhez</t>
  </si>
  <si>
    <t>kapcsolódó kiadások</t>
  </si>
  <si>
    <t>Miskolc Térségi Konzorcium működéséhez kapcsolódó ÁFA kiadás</t>
  </si>
  <si>
    <t>Miskolc Térségi Konzorcium működéséhez kapcsolódó</t>
  </si>
  <si>
    <t>kiadások összesen</t>
  </si>
  <si>
    <t>Óvodai nevelőmunkát segítő foglalkoztatottak kiegészítő támogatása</t>
  </si>
  <si>
    <t>Ifjúságpolitikával kapcsolatos feladatok</t>
  </si>
  <si>
    <t>Mikulásvonat költségeihez hozzájárulás</t>
  </si>
  <si>
    <t xml:space="preserve"> - Miskolc Megyei Jogú Város ASP Központhoz való csatlakozása</t>
  </si>
  <si>
    <t xml:space="preserve"> - Garanciákkal, biztosítékokkal kapcsolatos visszafizetések</t>
  </si>
  <si>
    <t xml:space="preserve"> - Minimálbér és garantált bérminimum emelés és a szociális hozzájárulási adó csökkentés hatásának kompenzációja</t>
  </si>
  <si>
    <t xml:space="preserve"> - Kárpátaljai magyar lakosság támogatása</t>
  </si>
  <si>
    <t>01104075</t>
  </si>
  <si>
    <t xml:space="preserve"> - MIVÍZ Kft. támogatása (lakossági ivóvíz- és csatorna szolgáltatás állami támogatás)</t>
  </si>
  <si>
    <t>05105010</t>
  </si>
  <si>
    <t xml:space="preserve"> - Rendszeres gyermekvédelmi kedvezményhez kapcsolódó pénzbeli támogatás Erzsébet utalványként adott természetbeni ellátás támogatása</t>
  </si>
  <si>
    <t>07108219</t>
  </si>
  <si>
    <t xml:space="preserve"> - MIDMAR Nonprofit Kft. Részére pótbefizetés</t>
  </si>
  <si>
    <t>előirányzat</t>
  </si>
  <si>
    <t>Korrekció</t>
  </si>
  <si>
    <t>Korrekció utáni</t>
  </si>
  <si>
    <t>módosított</t>
  </si>
  <si>
    <t>6. melléklet Az Önkormányzat 2017. évi költségvetéséről szóló 1/2017. (II. 21.) rendelet módosításáról szóló</t>
  </si>
  <si>
    <t>(3.2. melléklet az 1/2017. (II. 21.) önkormányzati rendelethez)</t>
  </si>
  <si>
    <t xml:space="preserve"> - 2017/2018. évi TAO Sportfejlesztési Program pályázatok önrésze</t>
  </si>
  <si>
    <t>061073071</t>
  </si>
  <si>
    <t>061073072</t>
  </si>
  <si>
    <t>061073073</t>
  </si>
  <si>
    <t xml:space="preserve">      - "Legyünk együtt, Tegyünk együtt" (TOP támogatás)</t>
  </si>
  <si>
    <t xml:space="preserve">      - Városrészi együtthatók (TOP támogatás)</t>
  </si>
  <si>
    <t xml:space="preserve">      - Miskolc Te vagy! (TOP támogatás)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</si>
  <si>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</si>
  <si>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</si>
  <si>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</si>
  <si>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</si>
  <si>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</si>
  <si>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</si>
  <si>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</si>
  <si>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</si>
  <si>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</si>
  <si>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</si>
  <si>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</si>
  <si>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</si>
  <si>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</si>
  <si>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</si>
  <si>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</si>
  <si>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</si>
  <si>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</si>
  <si>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</si>
  <si>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08107340</t>
  </si>
  <si>
    <t>AZ ÖNKORMÁNYZAT 2017. ÉVI MŰKÖDÉSI KIADÁSAI FELADATONKÉNT</t>
  </si>
  <si>
    <t>10109014</t>
  </si>
  <si>
    <t>1</t>
  </si>
  <si>
    <t>FELÚJÍTÁS ÖSSZESEN</t>
  </si>
  <si>
    <t>Városüzemeltetési feladatok</t>
  </si>
  <si>
    <t>C</t>
  </si>
  <si>
    <t xml:space="preserve"> - Kárpát-medence népviseletei gyűjtemény őrzése, tárolása (Lézerpont Stúdió Kft.)</t>
  </si>
  <si>
    <t>34/2017. (XII.5.)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</si>
</sst>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2"/>
      <name val="Arial CE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u/>
      <sz val="10"/>
      <name val="Arial CE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 CE"/>
      <family val="2"/>
      <charset val="238"/>
    </font>
    <font>
      <b/>
      <u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gray125">
        <bgColor theme="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49" fontId="1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/>
    <xf numFmtId="49" fontId="1" fillId="0" borderId="0" xfId="0" applyNumberFormat="1" applyFont="1" applyAlignment="1">
      <alignment horizontal="centerContinuous" wrapText="1"/>
    </xf>
    <xf numFmtId="3" fontId="2" fillId="0" borderId="0" xfId="0" applyNumberFormat="1" applyFont="1" applyAlignment="1">
      <alignment horizontal="centerContinuous" wrapText="1"/>
    </xf>
    <xf numFmtId="49" fontId="3" fillId="0" borderId="0" xfId="0" applyNumberFormat="1" applyFont="1" applyAlignment="1">
      <alignment horizontal="centerContinuous" wrapText="1"/>
    </xf>
    <xf numFmtId="0" fontId="1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3" fontId="1" fillId="0" borderId="0" xfId="0" applyNumberFormat="1" applyFont="1" applyAlignment="1">
      <alignment horizontal="centerContinuous" wrapText="1"/>
    </xf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49" fontId="5" fillId="0" borderId="2" xfId="0" applyNumberFormat="1" applyFont="1" applyBorder="1" applyAlignment="1">
      <alignment horizontal="center"/>
    </xf>
    <xf numFmtId="49" fontId="6" fillId="1" borderId="7" xfId="0" applyNumberFormat="1" applyFont="1" applyFill="1" applyBorder="1" applyAlignment="1">
      <alignment horizontal="center"/>
    </xf>
    <xf numFmtId="0" fontId="7" fillId="1" borderId="7" xfId="0" applyFont="1" applyFill="1" applyBorder="1" applyAlignment="1">
      <alignment horizontal="left"/>
    </xf>
    <xf numFmtId="0" fontId="7" fillId="1" borderId="8" xfId="0" applyFont="1" applyFill="1" applyBorder="1" applyAlignment="1">
      <alignment horizontal="left"/>
    </xf>
    <xf numFmtId="49" fontId="6" fillId="1" borderId="10" xfId="0" applyNumberFormat="1" applyFont="1" applyFill="1" applyBorder="1" applyAlignment="1">
      <alignment horizontal="center"/>
    </xf>
    <xf numFmtId="0" fontId="7" fillId="1" borderId="10" xfId="0" applyFont="1" applyFill="1" applyBorder="1" applyAlignment="1">
      <alignment horizontal="centerContinuous"/>
    </xf>
    <xf numFmtId="0" fontId="7" fillId="1" borderId="0" xfId="0" applyFont="1" applyFill="1" applyBorder="1" applyAlignment="1">
      <alignment horizontal="centerContinuous"/>
    </xf>
    <xf numFmtId="49" fontId="6" fillId="1" borderId="11" xfId="0" applyNumberFormat="1" applyFont="1" applyFill="1" applyBorder="1" applyAlignment="1">
      <alignment horizontal="center"/>
    </xf>
    <xf numFmtId="49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applyFont="1" applyBorder="1" applyAlignment="1"/>
    <xf numFmtId="49" fontId="9" fillId="0" borderId="10" xfId="0" applyNumberFormat="1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10" xfId="0" applyNumberFormat="1" applyFont="1" applyBorder="1"/>
    <xf numFmtId="0" fontId="8" fillId="0" borderId="10" xfId="0" applyFont="1" applyBorder="1"/>
    <xf numFmtId="0" fontId="8" fillId="0" borderId="0" xfId="0" applyFont="1" applyBorder="1"/>
    <xf numFmtId="49" fontId="8" fillId="0" borderId="13" xfId="0" applyNumberFormat="1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49" fontId="8" fillId="0" borderId="15" xfId="0" applyNumberFormat="1" applyFont="1" applyBorder="1"/>
    <xf numFmtId="0" fontId="8" fillId="0" borderId="15" xfId="0" applyFont="1" applyBorder="1"/>
    <xf numFmtId="0" fontId="8" fillId="0" borderId="16" xfId="0" applyFont="1" applyBorder="1"/>
    <xf numFmtId="49" fontId="8" fillId="3" borderId="17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49" fontId="8" fillId="3" borderId="19" xfId="0" applyNumberFormat="1" applyFont="1" applyFill="1" applyBorder="1"/>
    <xf numFmtId="0" fontId="8" fillId="3" borderId="19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9" xfId="0" applyFont="1" applyFill="1" applyBorder="1"/>
    <xf numFmtId="49" fontId="8" fillId="3" borderId="19" xfId="0" applyNumberFormat="1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49" fontId="1" fillId="0" borderId="7" xfId="0" applyNumberFormat="1" applyFont="1" applyBorder="1" applyAlignment="1"/>
    <xf numFmtId="0" fontId="1" fillId="0" borderId="7" xfId="0" applyFont="1" applyBorder="1" applyAlignment="1"/>
    <xf numFmtId="49" fontId="1" fillId="0" borderId="13" xfId="0" applyNumberFormat="1" applyFont="1" applyBorder="1" applyAlignment="1"/>
    <xf numFmtId="0" fontId="1" fillId="0" borderId="13" xfId="0" applyFont="1" applyBorder="1" applyAlignment="1"/>
    <xf numFmtId="49" fontId="1" fillId="0" borderId="20" xfId="0" applyNumberFormat="1" applyFont="1" applyBorder="1" applyAlignment="1"/>
    <xf numFmtId="0" fontId="1" fillId="0" borderId="20" xfId="0" applyFont="1" applyBorder="1" applyAlignment="1"/>
    <xf numFmtId="49" fontId="1" fillId="0" borderId="10" xfId="0" applyNumberFormat="1" applyFont="1" applyBorder="1" applyAlignment="1"/>
    <xf numFmtId="0" fontId="10" fillId="0" borderId="1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49" fontId="1" fillId="0" borderId="21" xfId="0" applyNumberFormat="1" applyFont="1" applyBorder="1" applyAlignment="1"/>
    <xf numFmtId="0" fontId="13" fillId="0" borderId="21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49" fontId="1" fillId="0" borderId="13" xfId="0" quotePrefix="1" applyNumberFormat="1" applyFont="1" applyBorder="1" applyAlignment="1"/>
    <xf numFmtId="49" fontId="1" fillId="4" borderId="15" xfId="0" applyNumberFormat="1" applyFont="1" applyFill="1" applyBorder="1" applyAlignment="1"/>
    <xf numFmtId="49" fontId="1" fillId="0" borderId="15" xfId="0" applyNumberFormat="1" applyFont="1" applyFill="1" applyBorder="1" applyAlignment="1"/>
    <xf numFmtId="49" fontId="1" fillId="4" borderId="21" xfId="0" applyNumberFormat="1" applyFont="1" applyFill="1" applyBorder="1" applyAlignment="1"/>
    <xf numFmtId="0" fontId="15" fillId="0" borderId="21" xfId="0" applyFont="1" applyFill="1" applyBorder="1" applyAlignment="1">
      <alignment horizontal="left"/>
    </xf>
    <xf numFmtId="49" fontId="1" fillId="4" borderId="13" xfId="0" applyNumberFormat="1" applyFont="1" applyFill="1" applyBorder="1" applyAlignment="1"/>
    <xf numFmtId="0" fontId="12" fillId="0" borderId="13" xfId="0" applyFont="1" applyFill="1" applyBorder="1" applyAlignment="1">
      <alignment horizontal="left"/>
    </xf>
    <xf numFmtId="49" fontId="2" fillId="0" borderId="22" xfId="0" applyNumberFormat="1" applyFont="1" applyBorder="1" applyAlignment="1"/>
    <xf numFmtId="0" fontId="11" fillId="0" borderId="22" xfId="0" applyFont="1" applyFill="1" applyBorder="1" applyAlignment="1">
      <alignment horizontal="left"/>
    </xf>
    <xf numFmtId="49" fontId="1" fillId="5" borderId="13" xfId="0" applyNumberFormat="1" applyFont="1" applyFill="1" applyBorder="1" applyAlignment="1"/>
    <xf numFmtId="49" fontId="1" fillId="5" borderId="15" xfId="0" applyNumberFormat="1" applyFont="1" applyFill="1" applyBorder="1" applyAlignment="1"/>
    <xf numFmtId="0" fontId="12" fillId="0" borderId="15" xfId="0" applyFont="1" applyFill="1" applyBorder="1" applyAlignment="1">
      <alignment horizontal="left"/>
    </xf>
    <xf numFmtId="49" fontId="1" fillId="5" borderId="21" xfId="0" applyNumberFormat="1" applyFont="1" applyFill="1" applyBorder="1" applyAlignment="1"/>
    <xf numFmtId="49" fontId="1" fillId="5" borderId="10" xfId="0" applyNumberFormat="1" applyFont="1" applyFill="1" applyBorder="1" applyAlignment="1"/>
    <xf numFmtId="49" fontId="1" fillId="2" borderId="15" xfId="0" applyNumberFormat="1" applyFont="1" applyFill="1" applyBorder="1" applyAlignment="1"/>
    <xf numFmtId="49" fontId="1" fillId="0" borderId="15" xfId="0" applyNumberFormat="1" applyFont="1" applyBorder="1" applyAlignment="1"/>
    <xf numFmtId="0" fontId="11" fillId="0" borderId="10" xfId="0" applyFont="1" applyFill="1" applyBorder="1" applyAlignment="1">
      <alignment horizontal="left"/>
    </xf>
    <xf numFmtId="49" fontId="2" fillId="1" borderId="19" xfId="0" applyNumberFormat="1" applyFont="1" applyFill="1" applyBorder="1" applyAlignment="1">
      <alignment vertical="center"/>
    </xf>
    <xf numFmtId="0" fontId="11" fillId="1" borderId="19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" fillId="0" borderId="10" xfId="0" applyFont="1" applyBorder="1" applyAlignment="1"/>
    <xf numFmtId="0" fontId="1" fillId="4" borderId="13" xfId="0" applyFont="1" applyFill="1" applyBorder="1" applyAlignment="1"/>
    <xf numFmtId="0" fontId="2" fillId="1" borderId="19" xfId="0" applyFont="1" applyFill="1" applyBorder="1" applyAlignment="1">
      <alignment vertical="center"/>
    </xf>
    <xf numFmtId="0" fontId="1" fillId="5" borderId="10" xfId="0" applyFont="1" applyFill="1" applyBorder="1" applyAlignment="1"/>
    <xf numFmtId="0" fontId="1" fillId="0" borderId="10" xfId="0" applyFont="1" applyBorder="1" applyAlignment="1">
      <alignment horizontal="left"/>
    </xf>
    <xf numFmtId="49" fontId="2" fillId="0" borderId="10" xfId="0" applyNumberFormat="1" applyFont="1" applyBorder="1" applyAlignment="1"/>
    <xf numFmtId="0" fontId="1" fillId="0" borderId="13" xfId="0" applyFont="1" applyBorder="1" applyAlignment="1">
      <alignment horizontal="left"/>
    </xf>
    <xf numFmtId="49" fontId="1" fillId="0" borderId="10" xfId="0" applyNumberFormat="1" applyFont="1" applyFill="1" applyBorder="1" applyAlignment="1"/>
    <xf numFmtId="0" fontId="1" fillId="0" borderId="10" xfId="0" applyFont="1" applyFill="1" applyBorder="1" applyAlignment="1"/>
    <xf numFmtId="49" fontId="1" fillId="0" borderId="13" xfId="0" applyNumberFormat="1" applyFont="1" applyFill="1" applyBorder="1" applyAlignment="1"/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49" fontId="1" fillId="0" borderId="15" xfId="0" quotePrefix="1" applyNumberFormat="1" applyFont="1" applyBorder="1" applyAlignment="1"/>
    <xf numFmtId="0" fontId="1" fillId="0" borderId="15" xfId="0" applyFont="1" applyBorder="1" applyAlignment="1"/>
    <xf numFmtId="0" fontId="1" fillId="0" borderId="21" xfId="0" applyFont="1" applyBorder="1" applyAlignment="1"/>
    <xf numFmtId="0" fontId="2" fillId="5" borderId="10" xfId="0" applyFont="1" applyFill="1" applyBorder="1" applyAlignment="1"/>
    <xf numFmtId="49" fontId="17" fillId="0" borderId="10" xfId="0" applyNumberFormat="1" applyFont="1" applyBorder="1" applyAlignment="1"/>
    <xf numFmtId="0" fontId="18" fillId="0" borderId="10" xfId="0" applyFont="1" applyBorder="1" applyAlignment="1"/>
    <xf numFmtId="0" fontId="18" fillId="0" borderId="13" xfId="0" applyFont="1" applyBorder="1" applyAlignment="1"/>
    <xf numFmtId="0" fontId="18" fillId="0" borderId="21" xfId="0" applyFont="1" applyBorder="1" applyAlignment="1"/>
    <xf numFmtId="0" fontId="18" fillId="0" borderId="15" xfId="0" applyFont="1" applyBorder="1" applyAlignment="1"/>
    <xf numFmtId="49" fontId="1" fillId="4" borderId="10" xfId="0" quotePrefix="1" applyNumberFormat="1" applyFont="1" applyFill="1" applyBorder="1" applyAlignment="1">
      <alignment horizontal="left"/>
    </xf>
    <xf numFmtId="49" fontId="19" fillId="4" borderId="10" xfId="0" quotePrefix="1" applyNumberFormat="1" applyFont="1" applyFill="1" applyBorder="1" applyAlignment="1">
      <alignment horizontal="left"/>
    </xf>
    <xf numFmtId="0" fontId="19" fillId="0" borderId="10" xfId="0" applyFont="1" applyBorder="1" applyAlignment="1"/>
    <xf numFmtId="49" fontId="1" fillId="4" borderId="13" xfId="0" quotePrefix="1" applyNumberFormat="1" applyFont="1" applyFill="1" applyBorder="1" applyAlignment="1">
      <alignment horizontal="left"/>
    </xf>
    <xf numFmtId="49" fontId="1" fillId="4" borderId="21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left"/>
    </xf>
    <xf numFmtId="0" fontId="18" fillId="0" borderId="23" xfId="0" applyFont="1" applyFill="1" applyBorder="1" applyAlignment="1"/>
    <xf numFmtId="49" fontId="1" fillId="0" borderId="21" xfId="0" applyNumberFormat="1" applyFont="1" applyBorder="1" applyAlignment="1">
      <alignment horizontal="left"/>
    </xf>
    <xf numFmtId="49" fontId="2" fillId="5" borderId="10" xfId="0" applyNumberFormat="1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49" fontId="1" fillId="0" borderId="10" xfId="0" quotePrefix="1" applyNumberFormat="1" applyFont="1" applyBorder="1" applyAlignment="1"/>
    <xf numFmtId="0" fontId="18" fillId="0" borderId="1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1" borderId="19" xfId="0" applyFont="1" applyFill="1" applyBorder="1" applyAlignment="1">
      <alignment horizontal="left" vertical="center"/>
    </xf>
    <xf numFmtId="49" fontId="2" fillId="5" borderId="10" xfId="0" applyNumberFormat="1" applyFont="1" applyFill="1" applyBorder="1" applyAlignment="1"/>
    <xf numFmtId="0" fontId="16" fillId="0" borderId="10" xfId="0" applyFont="1" applyBorder="1" applyAlignment="1"/>
    <xf numFmtId="0" fontId="20" fillId="0" borderId="10" xfId="0" applyFont="1" applyBorder="1" applyAlignment="1">
      <alignment horizontal="left"/>
    </xf>
    <xf numFmtId="49" fontId="1" fillId="0" borderId="24" xfId="0" applyNumberFormat="1" applyFont="1" applyBorder="1" applyAlignment="1"/>
    <xf numFmtId="0" fontId="18" fillId="0" borderId="24" xfId="0" applyFont="1" applyBorder="1" applyAlignment="1"/>
    <xf numFmtId="49" fontId="1" fillId="0" borderId="21" xfId="0" applyNumberFormat="1" applyFont="1" applyFill="1" applyBorder="1" applyAlignment="1"/>
    <xf numFmtId="49" fontId="1" fillId="0" borderId="21" xfId="0" quotePrefix="1" applyNumberFormat="1" applyFont="1" applyBorder="1" applyAlignment="1"/>
    <xf numFmtId="49" fontId="1" fillId="0" borderId="10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15" xfId="0" applyNumberFormat="1" applyFont="1" applyBorder="1" applyAlignment="1">
      <alignment horizontal="left"/>
    </xf>
    <xf numFmtId="49" fontId="18" fillId="0" borderId="10" xfId="0" applyNumberFormat="1" applyFont="1" applyBorder="1" applyAlignment="1"/>
    <xf numFmtId="0" fontId="1" fillId="0" borderId="21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0" fontId="1" fillId="2" borderId="0" xfId="0" applyFont="1" applyFill="1" applyAlignment="1"/>
    <xf numFmtId="49" fontId="21" fillId="0" borderId="15" xfId="0" applyNumberFormat="1" applyFont="1" applyBorder="1" applyAlignment="1">
      <alignment horizontal="center"/>
    </xf>
    <xf numFmtId="49" fontId="21" fillId="3" borderId="17" xfId="0" applyNumberFormat="1" applyFont="1" applyFill="1" applyBorder="1" applyAlignment="1">
      <alignment horizontal="center" vertical="center"/>
    </xf>
    <xf numFmtId="49" fontId="21" fillId="3" borderId="19" xfId="0" applyNumberFormat="1" applyFont="1" applyFill="1" applyBorder="1" applyAlignment="1">
      <alignment horizontal="center"/>
    </xf>
    <xf numFmtId="49" fontId="21" fillId="3" borderId="19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5" fillId="5" borderId="15" xfId="0" applyFont="1" applyFill="1" applyBorder="1" applyAlignment="1">
      <alignment horizontal="center"/>
    </xf>
    <xf numFmtId="0" fontId="1" fillId="5" borderId="0" xfId="0" applyFont="1" applyFill="1" applyBorder="1" applyAlignment="1"/>
    <xf numFmtId="0" fontId="5" fillId="4" borderId="15" xfId="0" applyFont="1" applyFill="1" applyBorder="1" applyAlignment="1">
      <alignment horizontal="center"/>
    </xf>
    <xf numFmtId="0" fontId="1" fillId="4" borderId="0" xfId="0" applyFont="1" applyFill="1" applyAlignment="1"/>
    <xf numFmtId="0" fontId="1" fillId="5" borderId="0" xfId="0" applyFont="1" applyFill="1" applyAlignment="1"/>
    <xf numFmtId="0" fontId="2" fillId="0" borderId="0" xfId="0" applyFont="1" applyAlignment="1"/>
    <xf numFmtId="0" fontId="17" fillId="0" borderId="0" xfId="0" applyFont="1" applyBorder="1" applyAlignment="1"/>
    <xf numFmtId="0" fontId="18" fillId="0" borderId="0" xfId="0" applyFont="1" applyBorder="1" applyAlignment="1"/>
    <xf numFmtId="0" fontId="5" fillId="0" borderId="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9" fillId="0" borderId="0" xfId="0" applyFont="1" applyAlignment="1"/>
    <xf numFmtId="0" fontId="2" fillId="5" borderId="0" xfId="0" applyFont="1" applyFill="1" applyBorder="1" applyAlignment="1"/>
    <xf numFmtId="0" fontId="5" fillId="2" borderId="15" xfId="0" applyFont="1" applyFill="1" applyBorder="1" applyAlignment="1">
      <alignment horizontal="center"/>
    </xf>
    <xf numFmtId="49" fontId="1" fillId="2" borderId="13" xfId="0" applyNumberFormat="1" applyFont="1" applyFill="1" applyBorder="1" applyAlignment="1"/>
    <xf numFmtId="0" fontId="12" fillId="2" borderId="13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15" fillId="0" borderId="15" xfId="0" applyFont="1" applyFill="1" applyBorder="1" applyAlignment="1">
      <alignment horizontal="left"/>
    </xf>
    <xf numFmtId="49" fontId="1" fillId="4" borderId="15" xfId="0" quotePrefix="1" applyNumberFormat="1" applyFont="1" applyFill="1" applyBorder="1" applyAlignment="1"/>
    <xf numFmtId="0" fontId="12" fillId="2" borderId="15" xfId="0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left"/>
    </xf>
    <xf numFmtId="49" fontId="1" fillId="0" borderId="13" xfId="0" applyNumberFormat="1" applyFont="1" applyFill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0" fontId="7" fillId="1" borderId="11" xfId="0" applyFont="1" applyFill="1" applyBorder="1" applyAlignment="1">
      <alignment horizontal="centerContinuous"/>
    </xf>
    <xf numFmtId="0" fontId="7" fillId="1" borderId="12" xfId="0" applyFont="1" applyFill="1" applyBorder="1" applyAlignment="1">
      <alignment horizontal="centerContinuous"/>
    </xf>
    <xf numFmtId="0" fontId="1" fillId="0" borderId="14" xfId="0" applyFont="1" applyBorder="1" applyAlignment="1"/>
    <xf numFmtId="0" fontId="1" fillId="0" borderId="25" xfId="0" applyFont="1" applyBorder="1" applyAlignment="1"/>
    <xf numFmtId="0" fontId="13" fillId="0" borderId="14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5" fillId="0" borderId="23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 wrapText="1"/>
    </xf>
    <xf numFmtId="0" fontId="12" fillId="2" borderId="16" xfId="0" applyFont="1" applyFill="1" applyBorder="1" applyAlignment="1">
      <alignment horizontal="left" wrapText="1"/>
    </xf>
    <xf numFmtId="0" fontId="12" fillId="2" borderId="16" xfId="0" applyFont="1" applyFill="1" applyBorder="1" applyAlignment="1">
      <alignment horizontal="left"/>
    </xf>
    <xf numFmtId="0" fontId="11" fillId="1" borderId="9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4" borderId="14" xfId="0" applyFont="1" applyFill="1" applyBorder="1" applyAlignment="1"/>
    <xf numFmtId="0" fontId="1" fillId="0" borderId="14" xfId="0" applyFont="1" applyBorder="1" applyAlignment="1">
      <alignment horizontal="left"/>
    </xf>
    <xf numFmtId="0" fontId="2" fillId="1" borderId="9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14" xfId="0" applyFont="1" applyFill="1" applyBorder="1" applyAlignment="1"/>
    <xf numFmtId="0" fontId="1" fillId="0" borderId="16" xfId="0" applyFont="1" applyFill="1" applyBorder="1" applyAlignment="1"/>
    <xf numFmtId="0" fontId="1" fillId="0" borderId="0" xfId="0" applyFont="1" applyFill="1" applyBorder="1" applyAlignment="1"/>
    <xf numFmtId="0" fontId="1" fillId="0" borderId="14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" fillId="0" borderId="14" xfId="0" applyFont="1" applyFill="1" applyBorder="1" applyAlignment="1">
      <alignment horizontal="left"/>
    </xf>
    <xf numFmtId="0" fontId="18" fillId="0" borderId="23" xfId="0" applyFont="1" applyBorder="1" applyAlignment="1"/>
    <xf numFmtId="0" fontId="1" fillId="0" borderId="14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/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" fillId="0" borderId="16" xfId="0" applyFont="1" applyBorder="1" applyAlignment="1">
      <alignment wrapText="1"/>
    </xf>
    <xf numFmtId="0" fontId="2" fillId="5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2" borderId="23" xfId="0" applyFont="1" applyFill="1" applyBorder="1" applyAlignment="1">
      <alignment horizontal="left" wrapText="1"/>
    </xf>
    <xf numFmtId="0" fontId="1" fillId="0" borderId="23" xfId="0" applyFont="1" applyBorder="1" applyAlignment="1"/>
    <xf numFmtId="0" fontId="1" fillId="0" borderId="27" xfId="0" applyFont="1" applyBorder="1" applyAlignment="1">
      <alignment horizontal="left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left"/>
    </xf>
    <xf numFmtId="3" fontId="1" fillId="0" borderId="32" xfId="0" applyNumberFormat="1" applyFont="1" applyBorder="1" applyAlignment="1"/>
    <xf numFmtId="3" fontId="1" fillId="0" borderId="33" xfId="0" applyNumberFormat="1" applyFont="1" applyBorder="1" applyAlignment="1"/>
    <xf numFmtId="3" fontId="1" fillId="0" borderId="36" xfId="0" applyNumberFormat="1" applyFont="1" applyBorder="1" applyAlignment="1"/>
    <xf numFmtId="3" fontId="1" fillId="0" borderId="37" xfId="0" applyNumberFormat="1" applyFont="1" applyBorder="1" applyAlignment="1"/>
    <xf numFmtId="3" fontId="1" fillId="0" borderId="43" xfId="0" applyNumberFormat="1" applyFont="1" applyBorder="1" applyAlignment="1"/>
    <xf numFmtId="3" fontId="1" fillId="0" borderId="44" xfId="0" applyNumberFormat="1" applyFont="1" applyBorder="1" applyAlignment="1"/>
    <xf numFmtId="3" fontId="1" fillId="4" borderId="36" xfId="0" applyNumberFormat="1" applyFont="1" applyFill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29" xfId="0" applyNumberFormat="1" applyFont="1" applyFill="1" applyBorder="1" applyAlignment="1">
      <alignment vertical="center"/>
    </xf>
    <xf numFmtId="3" fontId="1" fillId="5" borderId="32" xfId="0" applyNumberFormat="1" applyFont="1" applyFill="1" applyBorder="1" applyAlignment="1"/>
    <xf numFmtId="3" fontId="1" fillId="5" borderId="33" xfId="0" applyNumberFormat="1" applyFont="1" applyFill="1" applyBorder="1" applyAlignment="1"/>
    <xf numFmtId="3" fontId="1" fillId="2" borderId="36" xfId="0" applyNumberFormat="1" applyFont="1" applyFill="1" applyBorder="1" applyAlignment="1"/>
    <xf numFmtId="3" fontId="1" fillId="0" borderId="45" xfId="0" applyNumberFormat="1" applyFont="1" applyBorder="1" applyAlignment="1"/>
    <xf numFmtId="3" fontId="1" fillId="0" borderId="46" xfId="0" applyNumberFormat="1" applyFont="1" applyBorder="1" applyAlignment="1"/>
    <xf numFmtId="3" fontId="1" fillId="0" borderId="38" xfId="0" applyNumberFormat="1" applyFont="1" applyBorder="1" applyAlignment="1"/>
    <xf numFmtId="3" fontId="1" fillId="0" borderId="39" xfId="0" applyNumberFormat="1" applyFont="1" applyBorder="1" applyAlignment="1"/>
    <xf numFmtId="3" fontId="2" fillId="5" borderId="32" xfId="0" applyNumberFormat="1" applyFont="1" applyFill="1" applyBorder="1" applyAlignment="1"/>
    <xf numFmtId="3" fontId="2" fillId="5" borderId="33" xfId="0" applyNumberFormat="1" applyFont="1" applyFill="1" applyBorder="1" applyAlignment="1"/>
    <xf numFmtId="3" fontId="2" fillId="5" borderId="32" xfId="0" applyNumberFormat="1" applyFont="1" applyFill="1" applyBorder="1" applyAlignment="1">
      <alignment vertical="center"/>
    </xf>
    <xf numFmtId="3" fontId="2" fillId="5" borderId="33" xfId="0" applyNumberFormat="1" applyFont="1" applyFill="1" applyBorder="1" applyAlignment="1">
      <alignment vertical="center"/>
    </xf>
    <xf numFmtId="3" fontId="1" fillId="0" borderId="49" xfId="0" applyNumberFormat="1" applyFont="1" applyBorder="1" applyAlignment="1"/>
    <xf numFmtId="3" fontId="1" fillId="0" borderId="50" xfId="0" applyNumberFormat="1" applyFont="1" applyBorder="1" applyAlignment="1"/>
    <xf numFmtId="3" fontId="1" fillId="0" borderId="36" xfId="0" applyNumberFormat="1" applyFont="1" applyFill="1" applyBorder="1" applyAlignment="1"/>
    <xf numFmtId="3" fontId="1" fillId="0" borderId="32" xfId="0" applyNumberFormat="1" applyFont="1" applyBorder="1" applyAlignment="1">
      <alignment horizontal="left"/>
    </xf>
    <xf numFmtId="3" fontId="1" fillId="0" borderId="33" xfId="0" applyNumberFormat="1" applyFont="1" applyBorder="1" applyAlignment="1">
      <alignment horizontal="left"/>
    </xf>
    <xf numFmtId="3" fontId="2" fillId="1" borderId="42" xfId="0" applyNumberFormat="1" applyFont="1" applyFill="1" applyBorder="1" applyAlignment="1">
      <alignment horizontal="right" vertical="center"/>
    </xf>
    <xf numFmtId="3" fontId="2" fillId="1" borderId="29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2" fillId="0" borderId="33" xfId="0" applyNumberFormat="1" applyFont="1" applyBorder="1" applyAlignment="1"/>
    <xf numFmtId="3" fontId="2" fillId="1" borderId="31" xfId="0" applyNumberFormat="1" applyFont="1" applyFill="1" applyBorder="1" applyAlignment="1">
      <alignment horizontal="center"/>
    </xf>
    <xf numFmtId="3" fontId="2" fillId="1" borderId="33" xfId="0" applyNumberFormat="1" applyFont="1" applyFill="1" applyBorder="1" applyAlignment="1">
      <alignment horizontal="center"/>
    </xf>
    <xf numFmtId="3" fontId="2" fillId="1" borderId="35" xfId="0" applyNumberFormat="1" applyFont="1" applyFill="1" applyBorder="1" applyAlignment="1">
      <alignment horizontal="center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3" fontId="2" fillId="0" borderId="36" xfId="0" applyNumberFormat="1" applyFont="1" applyBorder="1" applyAlignment="1">
      <alignment horizontal="right"/>
    </xf>
    <xf numFmtId="3" fontId="2" fillId="0" borderId="37" xfId="0" applyNumberFormat="1" applyFont="1" applyBorder="1" applyAlignment="1">
      <alignment horizontal="right"/>
    </xf>
    <xf numFmtId="3" fontId="2" fillId="0" borderId="36" xfId="0" applyNumberFormat="1" applyFont="1" applyBorder="1"/>
    <xf numFmtId="3" fontId="2" fillId="0" borderId="37" xfId="0" applyNumberFormat="1" applyFont="1" applyBorder="1"/>
    <xf numFmtId="3" fontId="2" fillId="0" borderId="38" xfId="0" applyNumberFormat="1" applyFont="1" applyBorder="1"/>
    <xf numFmtId="3" fontId="2" fillId="0" borderId="39" xfId="0" applyNumberFormat="1" applyFont="1" applyBorder="1"/>
    <xf numFmtId="3" fontId="2" fillId="3" borderId="40" xfId="0" applyNumberFormat="1" applyFont="1" applyFill="1" applyBorder="1" applyAlignment="1">
      <alignment vertical="center"/>
    </xf>
    <xf numFmtId="3" fontId="2" fillId="3" borderId="41" xfId="0" applyNumberFormat="1" applyFont="1" applyFill="1" applyBorder="1" applyAlignment="1">
      <alignment vertical="center"/>
    </xf>
    <xf numFmtId="3" fontId="2" fillId="6" borderId="34" xfId="0" applyNumberFormat="1" applyFont="1" applyFill="1" applyBorder="1" applyAlignment="1">
      <alignment vertical="center"/>
    </xf>
    <xf numFmtId="3" fontId="2" fillId="6" borderId="35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horizontal="right"/>
    </xf>
    <xf numFmtId="3" fontId="2" fillId="3" borderId="42" xfId="0" applyNumberFormat="1" applyFont="1" applyFill="1" applyBorder="1" applyAlignment="1">
      <alignment horizontal="right" vertical="center"/>
    </xf>
    <xf numFmtId="3" fontId="2" fillId="3" borderId="29" xfId="0" applyNumberFormat="1" applyFont="1" applyFill="1" applyBorder="1" applyAlignment="1">
      <alignment horizontal="right" vertical="center"/>
    </xf>
    <xf numFmtId="3" fontId="1" fillId="0" borderId="33" xfId="0" applyNumberFormat="1" applyFont="1" applyFill="1" applyBorder="1" applyAlignment="1"/>
    <xf numFmtId="3" fontId="1" fillId="2" borderId="37" xfId="0" applyNumberFormat="1" applyFont="1" applyFill="1" applyBorder="1" applyAlignment="1"/>
    <xf numFmtId="3" fontId="1" fillId="0" borderId="46" xfId="0" applyNumberFormat="1" applyFont="1" applyFill="1" applyBorder="1" applyAlignment="1"/>
    <xf numFmtId="3" fontId="1" fillId="0" borderId="37" xfId="0" applyNumberFormat="1" applyFont="1" applyFill="1" applyBorder="1" applyAlignment="1"/>
    <xf numFmtId="3" fontId="2" fillId="0" borderId="47" xfId="0" applyNumberFormat="1" applyFont="1" applyFill="1" applyBorder="1" applyAlignment="1"/>
    <xf numFmtId="3" fontId="2" fillId="0" borderId="48" xfId="0" applyNumberFormat="1" applyFont="1" applyFill="1" applyBorder="1" applyAlignment="1"/>
    <xf numFmtId="3" fontId="1" fillId="0" borderId="39" xfId="0" applyNumberFormat="1" applyFont="1" applyFill="1" applyBorder="1" applyAlignment="1"/>
    <xf numFmtId="3" fontId="2" fillId="0" borderId="32" xfId="0" applyNumberFormat="1" applyFont="1" applyFill="1" applyBorder="1" applyAlignment="1"/>
    <xf numFmtId="3" fontId="2" fillId="0" borderId="33" xfId="0" applyNumberFormat="1" applyFont="1" applyFill="1" applyBorder="1" applyAlignment="1"/>
    <xf numFmtId="3" fontId="1" fillId="0" borderId="5" xfId="0" applyNumberFormat="1" applyFont="1" applyBorder="1" applyAlignment="1">
      <alignment horizontal="center"/>
    </xf>
    <xf numFmtId="3" fontId="2" fillId="1" borderId="30" xfId="0" applyNumberFormat="1" applyFont="1" applyFill="1" applyBorder="1" applyAlignment="1">
      <alignment horizontal="center"/>
    </xf>
    <xf numFmtId="3" fontId="2" fillId="1" borderId="32" xfId="0" applyNumberFormat="1" applyFont="1" applyFill="1" applyBorder="1" applyAlignment="1">
      <alignment horizontal="center"/>
    </xf>
    <xf numFmtId="3" fontId="2" fillId="1" borderId="34" xfId="0" applyNumberFormat="1" applyFont="1" applyFill="1" applyBorder="1" applyAlignment="1">
      <alignment horizontal="center"/>
    </xf>
    <xf numFmtId="3" fontId="1" fillId="0" borderId="32" xfId="0" applyNumberFormat="1" applyFont="1" applyFill="1" applyBorder="1" applyAlignment="1"/>
    <xf numFmtId="3" fontId="1" fillId="0" borderId="45" xfId="0" applyNumberFormat="1" applyFont="1" applyFill="1" applyBorder="1" applyAlignment="1"/>
    <xf numFmtId="3" fontId="1" fillId="0" borderId="38" xfId="0" applyNumberFormat="1" applyFont="1" applyFill="1" applyBorder="1" applyAlignment="1"/>
    <xf numFmtId="3" fontId="2" fillId="0" borderId="32" xfId="0" applyNumberFormat="1" applyFont="1" applyBorder="1" applyAlignment="1"/>
    <xf numFmtId="3" fontId="2" fillId="1" borderId="30" xfId="0" applyNumberFormat="1" applyFont="1" applyFill="1" applyBorder="1" applyAlignment="1">
      <alignment horizontal="centerContinuous"/>
    </xf>
    <xf numFmtId="49" fontId="1" fillId="2" borderId="13" xfId="0" quotePrefix="1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49" fontId="1" fillId="2" borderId="15" xfId="0" quotePrefix="1" applyNumberFormat="1" applyFont="1" applyFill="1" applyBorder="1" applyAlignment="1"/>
    <xf numFmtId="0" fontId="5" fillId="0" borderId="6" xfId="0" applyFont="1" applyBorder="1" applyAlignment="1">
      <alignment horizontal="center" vertical="center"/>
    </xf>
    <xf numFmtId="3" fontId="1" fillId="0" borderId="52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3" fontId="2" fillId="1" borderId="45" xfId="0" applyNumberFormat="1" applyFont="1" applyFill="1" applyBorder="1" applyAlignment="1">
      <alignment vertical="center"/>
    </xf>
    <xf numFmtId="3" fontId="2" fillId="1" borderId="46" xfId="0" applyNumberFormat="1" applyFont="1" applyFill="1" applyBorder="1" applyAlignment="1">
      <alignment vertical="center"/>
    </xf>
    <xf numFmtId="3" fontId="2" fillId="1" borderId="34" xfId="0" applyNumberFormat="1" applyFont="1" applyFill="1" applyBorder="1" applyAlignment="1">
      <alignment vertical="center"/>
    </xf>
    <xf numFmtId="3" fontId="2" fillId="1" borderId="35" xfId="0" applyNumberFormat="1" applyFont="1" applyFill="1" applyBorder="1" applyAlignment="1">
      <alignment vertical="center"/>
    </xf>
    <xf numFmtId="49" fontId="2" fillId="1" borderId="21" xfId="0" applyNumberFormat="1" applyFont="1" applyFill="1" applyBorder="1" applyAlignment="1">
      <alignment vertical="center"/>
    </xf>
    <xf numFmtId="0" fontId="2" fillId="1" borderId="21" xfId="0" applyFont="1" applyFill="1" applyBorder="1" applyAlignment="1">
      <alignment horizontal="center"/>
    </xf>
    <xf numFmtId="49" fontId="2" fillId="1" borderId="11" xfId="0" applyNumberFormat="1" applyFont="1" applyFill="1" applyBorder="1" applyAlignment="1">
      <alignment vertical="center"/>
    </xf>
    <xf numFmtId="0" fontId="2" fillId="1" borderId="11" xfId="0" applyFont="1" applyFill="1" applyBorder="1" applyAlignment="1">
      <alignment vertical="center"/>
    </xf>
    <xf numFmtId="0" fontId="2" fillId="1" borderId="12" xfId="0" applyFont="1" applyFill="1" applyBorder="1" applyAlignment="1"/>
    <xf numFmtId="0" fontId="2" fillId="1" borderId="23" xfId="0" applyFont="1" applyFill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zoomScaleNormal="100" workbookViewId="0">
      <selection activeCell="D4" sqref="D4:G4"/>
    </sheetView>
  </sheetViews>
  <sheetFormatPr defaultColWidth="11" defaultRowHeight="12.75" x14ac:dyDescent="0.2"/>
  <cols>
    <col min="1" max="1" width="4.42578125" style="130" customWidth="1"/>
    <col min="2" max="2" width="11.28515625" style="1" customWidth="1"/>
    <col min="3" max="3" width="3.140625" style="2" customWidth="1"/>
    <col min="4" max="4" width="62.28515625" style="2" customWidth="1"/>
    <col min="5" max="5" width="14.28515625" style="3" bestFit="1" customWidth="1"/>
    <col min="6" max="6" width="14" style="3" bestFit="1" customWidth="1"/>
    <col min="7" max="7" width="15" style="3" bestFit="1" customWidth="1"/>
    <col min="8" max="227" width="11" style="2"/>
    <col min="228" max="228" width="4.42578125" style="2" customWidth="1"/>
    <col min="229" max="229" width="11.28515625" style="2" customWidth="1"/>
    <col min="230" max="230" width="3.140625" style="2" customWidth="1"/>
    <col min="231" max="231" width="62.28515625" style="2" customWidth="1"/>
    <col min="232" max="232" width="13.85546875" style="2" bestFit="1" customWidth="1"/>
    <col min="233" max="233" width="14.85546875" style="2" bestFit="1" customWidth="1"/>
    <col min="234" max="234" width="12.7109375" style="2" bestFit="1" customWidth="1"/>
    <col min="235" max="235" width="10.7109375" style="2" customWidth="1"/>
    <col min="236" max="236" width="51.28515625" style="2" customWidth="1"/>
    <col min="237" max="238" width="11" style="2"/>
    <col min="239" max="239" width="12.7109375" style="2" bestFit="1" customWidth="1"/>
    <col min="240" max="483" width="11" style="2"/>
    <col min="484" max="484" width="4.42578125" style="2" customWidth="1"/>
    <col min="485" max="485" width="11.28515625" style="2" customWidth="1"/>
    <col min="486" max="486" width="3.140625" style="2" customWidth="1"/>
    <col min="487" max="487" width="62.28515625" style="2" customWidth="1"/>
    <col min="488" max="488" width="13.85546875" style="2" bestFit="1" customWidth="1"/>
    <col min="489" max="489" width="14.85546875" style="2" bestFit="1" customWidth="1"/>
    <col min="490" max="490" width="12.7109375" style="2" bestFit="1" customWidth="1"/>
    <col min="491" max="491" width="10.7109375" style="2" customWidth="1"/>
    <col min="492" max="492" width="51.28515625" style="2" customWidth="1"/>
    <col min="493" max="494" width="11" style="2"/>
    <col min="495" max="495" width="12.7109375" style="2" bestFit="1" customWidth="1"/>
    <col min="496" max="739" width="11" style="2"/>
    <col min="740" max="740" width="4.42578125" style="2" customWidth="1"/>
    <col min="741" max="741" width="11.28515625" style="2" customWidth="1"/>
    <col min="742" max="742" width="3.140625" style="2" customWidth="1"/>
    <col min="743" max="743" width="62.28515625" style="2" customWidth="1"/>
    <col min="744" max="744" width="13.85546875" style="2" bestFit="1" customWidth="1"/>
    <col min="745" max="745" width="14.85546875" style="2" bestFit="1" customWidth="1"/>
    <col min="746" max="746" width="12.7109375" style="2" bestFit="1" customWidth="1"/>
    <col min="747" max="747" width="10.7109375" style="2" customWidth="1"/>
    <col min="748" max="748" width="51.28515625" style="2" customWidth="1"/>
    <col min="749" max="750" width="11" style="2"/>
    <col min="751" max="751" width="12.7109375" style="2" bestFit="1" customWidth="1"/>
    <col min="752" max="995" width="11" style="2"/>
    <col min="996" max="996" width="4.42578125" style="2" customWidth="1"/>
    <col min="997" max="997" width="11.28515625" style="2" customWidth="1"/>
    <col min="998" max="998" width="3.140625" style="2" customWidth="1"/>
    <col min="999" max="999" width="62.28515625" style="2" customWidth="1"/>
    <col min="1000" max="1000" width="13.85546875" style="2" bestFit="1" customWidth="1"/>
    <col min="1001" max="1001" width="14.85546875" style="2" bestFit="1" customWidth="1"/>
    <col min="1002" max="1002" width="12.7109375" style="2" bestFit="1" customWidth="1"/>
    <col min="1003" max="1003" width="10.7109375" style="2" customWidth="1"/>
    <col min="1004" max="1004" width="51.28515625" style="2" customWidth="1"/>
    <col min="1005" max="1006" width="11" style="2"/>
    <col min="1007" max="1007" width="12.7109375" style="2" bestFit="1" customWidth="1"/>
    <col min="1008" max="1251" width="11" style="2"/>
    <col min="1252" max="1252" width="4.42578125" style="2" customWidth="1"/>
    <col min="1253" max="1253" width="11.28515625" style="2" customWidth="1"/>
    <col min="1254" max="1254" width="3.140625" style="2" customWidth="1"/>
    <col min="1255" max="1255" width="62.28515625" style="2" customWidth="1"/>
    <col min="1256" max="1256" width="13.85546875" style="2" bestFit="1" customWidth="1"/>
    <col min="1257" max="1257" width="14.85546875" style="2" bestFit="1" customWidth="1"/>
    <col min="1258" max="1258" width="12.7109375" style="2" bestFit="1" customWidth="1"/>
    <col min="1259" max="1259" width="10.7109375" style="2" customWidth="1"/>
    <col min="1260" max="1260" width="51.28515625" style="2" customWidth="1"/>
    <col min="1261" max="1262" width="11" style="2"/>
    <col min="1263" max="1263" width="12.7109375" style="2" bestFit="1" customWidth="1"/>
    <col min="1264" max="1507" width="11" style="2"/>
    <col min="1508" max="1508" width="4.42578125" style="2" customWidth="1"/>
    <col min="1509" max="1509" width="11.28515625" style="2" customWidth="1"/>
    <col min="1510" max="1510" width="3.140625" style="2" customWidth="1"/>
    <col min="1511" max="1511" width="62.28515625" style="2" customWidth="1"/>
    <col min="1512" max="1512" width="13.85546875" style="2" bestFit="1" customWidth="1"/>
    <col min="1513" max="1513" width="14.85546875" style="2" bestFit="1" customWidth="1"/>
    <col min="1514" max="1514" width="12.7109375" style="2" bestFit="1" customWidth="1"/>
    <col min="1515" max="1515" width="10.7109375" style="2" customWidth="1"/>
    <col min="1516" max="1516" width="51.28515625" style="2" customWidth="1"/>
    <col min="1517" max="1518" width="11" style="2"/>
    <col min="1519" max="1519" width="12.7109375" style="2" bestFit="1" customWidth="1"/>
    <col min="1520" max="1763" width="11" style="2"/>
    <col min="1764" max="1764" width="4.42578125" style="2" customWidth="1"/>
    <col min="1765" max="1765" width="11.28515625" style="2" customWidth="1"/>
    <col min="1766" max="1766" width="3.140625" style="2" customWidth="1"/>
    <col min="1767" max="1767" width="62.28515625" style="2" customWidth="1"/>
    <col min="1768" max="1768" width="13.85546875" style="2" bestFit="1" customWidth="1"/>
    <col min="1769" max="1769" width="14.85546875" style="2" bestFit="1" customWidth="1"/>
    <col min="1770" max="1770" width="12.7109375" style="2" bestFit="1" customWidth="1"/>
    <col min="1771" max="1771" width="10.7109375" style="2" customWidth="1"/>
    <col min="1772" max="1772" width="51.28515625" style="2" customWidth="1"/>
    <col min="1773" max="1774" width="11" style="2"/>
    <col min="1775" max="1775" width="12.7109375" style="2" bestFit="1" customWidth="1"/>
    <col min="1776" max="2019" width="11" style="2"/>
    <col min="2020" max="2020" width="4.42578125" style="2" customWidth="1"/>
    <col min="2021" max="2021" width="11.28515625" style="2" customWidth="1"/>
    <col min="2022" max="2022" width="3.140625" style="2" customWidth="1"/>
    <col min="2023" max="2023" width="62.28515625" style="2" customWidth="1"/>
    <col min="2024" max="2024" width="13.85546875" style="2" bestFit="1" customWidth="1"/>
    <col min="2025" max="2025" width="14.85546875" style="2" bestFit="1" customWidth="1"/>
    <col min="2026" max="2026" width="12.7109375" style="2" bestFit="1" customWidth="1"/>
    <col min="2027" max="2027" width="10.7109375" style="2" customWidth="1"/>
    <col min="2028" max="2028" width="51.28515625" style="2" customWidth="1"/>
    <col min="2029" max="2030" width="11" style="2"/>
    <col min="2031" max="2031" width="12.7109375" style="2" bestFit="1" customWidth="1"/>
    <col min="2032" max="2275" width="11" style="2"/>
    <col min="2276" max="2276" width="4.42578125" style="2" customWidth="1"/>
    <col min="2277" max="2277" width="11.28515625" style="2" customWidth="1"/>
    <col min="2278" max="2278" width="3.140625" style="2" customWidth="1"/>
    <col min="2279" max="2279" width="62.28515625" style="2" customWidth="1"/>
    <col min="2280" max="2280" width="13.85546875" style="2" bestFit="1" customWidth="1"/>
    <col min="2281" max="2281" width="14.85546875" style="2" bestFit="1" customWidth="1"/>
    <col min="2282" max="2282" width="12.7109375" style="2" bestFit="1" customWidth="1"/>
    <col min="2283" max="2283" width="10.7109375" style="2" customWidth="1"/>
    <col min="2284" max="2284" width="51.28515625" style="2" customWidth="1"/>
    <col min="2285" max="2286" width="11" style="2"/>
    <col min="2287" max="2287" width="12.7109375" style="2" bestFit="1" customWidth="1"/>
    <col min="2288" max="2531" width="11" style="2"/>
    <col min="2532" max="2532" width="4.42578125" style="2" customWidth="1"/>
    <col min="2533" max="2533" width="11.28515625" style="2" customWidth="1"/>
    <col min="2534" max="2534" width="3.140625" style="2" customWidth="1"/>
    <col min="2535" max="2535" width="62.28515625" style="2" customWidth="1"/>
    <col min="2536" max="2536" width="13.85546875" style="2" bestFit="1" customWidth="1"/>
    <col min="2537" max="2537" width="14.85546875" style="2" bestFit="1" customWidth="1"/>
    <col min="2538" max="2538" width="12.7109375" style="2" bestFit="1" customWidth="1"/>
    <col min="2539" max="2539" width="10.7109375" style="2" customWidth="1"/>
    <col min="2540" max="2540" width="51.28515625" style="2" customWidth="1"/>
    <col min="2541" max="2542" width="11" style="2"/>
    <col min="2543" max="2543" width="12.7109375" style="2" bestFit="1" customWidth="1"/>
    <col min="2544" max="2787" width="11" style="2"/>
    <col min="2788" max="2788" width="4.42578125" style="2" customWidth="1"/>
    <col min="2789" max="2789" width="11.28515625" style="2" customWidth="1"/>
    <col min="2790" max="2790" width="3.140625" style="2" customWidth="1"/>
    <col min="2791" max="2791" width="62.28515625" style="2" customWidth="1"/>
    <col min="2792" max="2792" width="13.85546875" style="2" bestFit="1" customWidth="1"/>
    <col min="2793" max="2793" width="14.85546875" style="2" bestFit="1" customWidth="1"/>
    <col min="2794" max="2794" width="12.7109375" style="2" bestFit="1" customWidth="1"/>
    <col min="2795" max="2795" width="10.7109375" style="2" customWidth="1"/>
    <col min="2796" max="2796" width="51.28515625" style="2" customWidth="1"/>
    <col min="2797" max="2798" width="11" style="2"/>
    <col min="2799" max="2799" width="12.7109375" style="2" bestFit="1" customWidth="1"/>
    <col min="2800" max="3043" width="11" style="2"/>
    <col min="3044" max="3044" width="4.42578125" style="2" customWidth="1"/>
    <col min="3045" max="3045" width="11.28515625" style="2" customWidth="1"/>
    <col min="3046" max="3046" width="3.140625" style="2" customWidth="1"/>
    <col min="3047" max="3047" width="62.28515625" style="2" customWidth="1"/>
    <col min="3048" max="3048" width="13.85546875" style="2" bestFit="1" customWidth="1"/>
    <col min="3049" max="3049" width="14.85546875" style="2" bestFit="1" customWidth="1"/>
    <col min="3050" max="3050" width="12.7109375" style="2" bestFit="1" customWidth="1"/>
    <col min="3051" max="3051" width="10.7109375" style="2" customWidth="1"/>
    <col min="3052" max="3052" width="51.28515625" style="2" customWidth="1"/>
    <col min="3053" max="3054" width="11" style="2"/>
    <col min="3055" max="3055" width="12.7109375" style="2" bestFit="1" customWidth="1"/>
    <col min="3056" max="3299" width="11" style="2"/>
    <col min="3300" max="3300" width="4.42578125" style="2" customWidth="1"/>
    <col min="3301" max="3301" width="11.28515625" style="2" customWidth="1"/>
    <col min="3302" max="3302" width="3.140625" style="2" customWidth="1"/>
    <col min="3303" max="3303" width="62.28515625" style="2" customWidth="1"/>
    <col min="3304" max="3304" width="13.85546875" style="2" bestFit="1" customWidth="1"/>
    <col min="3305" max="3305" width="14.85546875" style="2" bestFit="1" customWidth="1"/>
    <col min="3306" max="3306" width="12.7109375" style="2" bestFit="1" customWidth="1"/>
    <col min="3307" max="3307" width="10.7109375" style="2" customWidth="1"/>
    <col min="3308" max="3308" width="51.28515625" style="2" customWidth="1"/>
    <col min="3309" max="3310" width="11" style="2"/>
    <col min="3311" max="3311" width="12.7109375" style="2" bestFit="1" customWidth="1"/>
    <col min="3312" max="3555" width="11" style="2"/>
    <col min="3556" max="3556" width="4.42578125" style="2" customWidth="1"/>
    <col min="3557" max="3557" width="11.28515625" style="2" customWidth="1"/>
    <col min="3558" max="3558" width="3.140625" style="2" customWidth="1"/>
    <col min="3559" max="3559" width="62.28515625" style="2" customWidth="1"/>
    <col min="3560" max="3560" width="13.85546875" style="2" bestFit="1" customWidth="1"/>
    <col min="3561" max="3561" width="14.85546875" style="2" bestFit="1" customWidth="1"/>
    <col min="3562" max="3562" width="12.7109375" style="2" bestFit="1" customWidth="1"/>
    <col min="3563" max="3563" width="10.7109375" style="2" customWidth="1"/>
    <col min="3564" max="3564" width="51.28515625" style="2" customWidth="1"/>
    <col min="3565" max="3566" width="11" style="2"/>
    <col min="3567" max="3567" width="12.7109375" style="2" bestFit="1" customWidth="1"/>
    <col min="3568" max="3811" width="11" style="2"/>
    <col min="3812" max="3812" width="4.42578125" style="2" customWidth="1"/>
    <col min="3813" max="3813" width="11.28515625" style="2" customWidth="1"/>
    <col min="3814" max="3814" width="3.140625" style="2" customWidth="1"/>
    <col min="3815" max="3815" width="62.28515625" style="2" customWidth="1"/>
    <col min="3816" max="3816" width="13.85546875" style="2" bestFit="1" customWidth="1"/>
    <col min="3817" max="3817" width="14.85546875" style="2" bestFit="1" customWidth="1"/>
    <col min="3818" max="3818" width="12.7109375" style="2" bestFit="1" customWidth="1"/>
    <col min="3819" max="3819" width="10.7109375" style="2" customWidth="1"/>
    <col min="3820" max="3820" width="51.28515625" style="2" customWidth="1"/>
    <col min="3821" max="3822" width="11" style="2"/>
    <col min="3823" max="3823" width="12.7109375" style="2" bestFit="1" customWidth="1"/>
    <col min="3824" max="4067" width="11" style="2"/>
    <col min="4068" max="4068" width="4.42578125" style="2" customWidth="1"/>
    <col min="4069" max="4069" width="11.28515625" style="2" customWidth="1"/>
    <col min="4070" max="4070" width="3.140625" style="2" customWidth="1"/>
    <col min="4071" max="4071" width="62.28515625" style="2" customWidth="1"/>
    <col min="4072" max="4072" width="13.85546875" style="2" bestFit="1" customWidth="1"/>
    <col min="4073" max="4073" width="14.85546875" style="2" bestFit="1" customWidth="1"/>
    <col min="4074" max="4074" width="12.7109375" style="2" bestFit="1" customWidth="1"/>
    <col min="4075" max="4075" width="10.7109375" style="2" customWidth="1"/>
    <col min="4076" max="4076" width="51.28515625" style="2" customWidth="1"/>
    <col min="4077" max="4078" width="11" style="2"/>
    <col min="4079" max="4079" width="12.7109375" style="2" bestFit="1" customWidth="1"/>
    <col min="4080" max="4323" width="11" style="2"/>
    <col min="4324" max="4324" width="4.42578125" style="2" customWidth="1"/>
    <col min="4325" max="4325" width="11.28515625" style="2" customWidth="1"/>
    <col min="4326" max="4326" width="3.140625" style="2" customWidth="1"/>
    <col min="4327" max="4327" width="62.28515625" style="2" customWidth="1"/>
    <col min="4328" max="4328" width="13.85546875" style="2" bestFit="1" customWidth="1"/>
    <col min="4329" max="4329" width="14.85546875" style="2" bestFit="1" customWidth="1"/>
    <col min="4330" max="4330" width="12.7109375" style="2" bestFit="1" customWidth="1"/>
    <col min="4331" max="4331" width="10.7109375" style="2" customWidth="1"/>
    <col min="4332" max="4332" width="51.28515625" style="2" customWidth="1"/>
    <col min="4333" max="4334" width="11" style="2"/>
    <col min="4335" max="4335" width="12.7109375" style="2" bestFit="1" customWidth="1"/>
    <col min="4336" max="4579" width="11" style="2"/>
    <col min="4580" max="4580" width="4.42578125" style="2" customWidth="1"/>
    <col min="4581" max="4581" width="11.28515625" style="2" customWidth="1"/>
    <col min="4582" max="4582" width="3.140625" style="2" customWidth="1"/>
    <col min="4583" max="4583" width="62.28515625" style="2" customWidth="1"/>
    <col min="4584" max="4584" width="13.85546875" style="2" bestFit="1" customWidth="1"/>
    <col min="4585" max="4585" width="14.85546875" style="2" bestFit="1" customWidth="1"/>
    <col min="4586" max="4586" width="12.7109375" style="2" bestFit="1" customWidth="1"/>
    <col min="4587" max="4587" width="10.7109375" style="2" customWidth="1"/>
    <col min="4588" max="4588" width="51.28515625" style="2" customWidth="1"/>
    <col min="4589" max="4590" width="11" style="2"/>
    <col min="4591" max="4591" width="12.7109375" style="2" bestFit="1" customWidth="1"/>
    <col min="4592" max="4835" width="11" style="2"/>
    <col min="4836" max="4836" width="4.42578125" style="2" customWidth="1"/>
    <col min="4837" max="4837" width="11.28515625" style="2" customWidth="1"/>
    <col min="4838" max="4838" width="3.140625" style="2" customWidth="1"/>
    <col min="4839" max="4839" width="62.28515625" style="2" customWidth="1"/>
    <col min="4840" max="4840" width="13.85546875" style="2" bestFit="1" customWidth="1"/>
    <col min="4841" max="4841" width="14.85546875" style="2" bestFit="1" customWidth="1"/>
    <col min="4842" max="4842" width="12.7109375" style="2" bestFit="1" customWidth="1"/>
    <col min="4843" max="4843" width="10.7109375" style="2" customWidth="1"/>
    <col min="4844" max="4844" width="51.28515625" style="2" customWidth="1"/>
    <col min="4845" max="4846" width="11" style="2"/>
    <col min="4847" max="4847" width="12.7109375" style="2" bestFit="1" customWidth="1"/>
    <col min="4848" max="5091" width="11" style="2"/>
    <col min="5092" max="5092" width="4.42578125" style="2" customWidth="1"/>
    <col min="5093" max="5093" width="11.28515625" style="2" customWidth="1"/>
    <col min="5094" max="5094" width="3.140625" style="2" customWidth="1"/>
    <col min="5095" max="5095" width="62.28515625" style="2" customWidth="1"/>
    <col min="5096" max="5096" width="13.85546875" style="2" bestFit="1" customWidth="1"/>
    <col min="5097" max="5097" width="14.85546875" style="2" bestFit="1" customWidth="1"/>
    <col min="5098" max="5098" width="12.7109375" style="2" bestFit="1" customWidth="1"/>
    <col min="5099" max="5099" width="10.7109375" style="2" customWidth="1"/>
    <col min="5100" max="5100" width="51.28515625" style="2" customWidth="1"/>
    <col min="5101" max="5102" width="11" style="2"/>
    <col min="5103" max="5103" width="12.7109375" style="2" bestFit="1" customWidth="1"/>
    <col min="5104" max="5347" width="11" style="2"/>
    <col min="5348" max="5348" width="4.42578125" style="2" customWidth="1"/>
    <col min="5349" max="5349" width="11.28515625" style="2" customWidth="1"/>
    <col min="5350" max="5350" width="3.140625" style="2" customWidth="1"/>
    <col min="5351" max="5351" width="62.28515625" style="2" customWidth="1"/>
    <col min="5352" max="5352" width="13.85546875" style="2" bestFit="1" customWidth="1"/>
    <col min="5353" max="5353" width="14.85546875" style="2" bestFit="1" customWidth="1"/>
    <col min="5354" max="5354" width="12.7109375" style="2" bestFit="1" customWidth="1"/>
    <col min="5355" max="5355" width="10.7109375" style="2" customWidth="1"/>
    <col min="5356" max="5356" width="51.28515625" style="2" customWidth="1"/>
    <col min="5357" max="5358" width="11" style="2"/>
    <col min="5359" max="5359" width="12.7109375" style="2" bestFit="1" customWidth="1"/>
    <col min="5360" max="5603" width="11" style="2"/>
    <col min="5604" max="5604" width="4.42578125" style="2" customWidth="1"/>
    <col min="5605" max="5605" width="11.28515625" style="2" customWidth="1"/>
    <col min="5606" max="5606" width="3.140625" style="2" customWidth="1"/>
    <col min="5607" max="5607" width="62.28515625" style="2" customWidth="1"/>
    <col min="5608" max="5608" width="13.85546875" style="2" bestFit="1" customWidth="1"/>
    <col min="5609" max="5609" width="14.85546875" style="2" bestFit="1" customWidth="1"/>
    <col min="5610" max="5610" width="12.7109375" style="2" bestFit="1" customWidth="1"/>
    <col min="5611" max="5611" width="10.7109375" style="2" customWidth="1"/>
    <col min="5612" max="5612" width="51.28515625" style="2" customWidth="1"/>
    <col min="5613" max="5614" width="11" style="2"/>
    <col min="5615" max="5615" width="12.7109375" style="2" bestFit="1" customWidth="1"/>
    <col min="5616" max="5859" width="11" style="2"/>
    <col min="5860" max="5860" width="4.42578125" style="2" customWidth="1"/>
    <col min="5861" max="5861" width="11.28515625" style="2" customWidth="1"/>
    <col min="5862" max="5862" width="3.140625" style="2" customWidth="1"/>
    <col min="5863" max="5863" width="62.28515625" style="2" customWidth="1"/>
    <col min="5864" max="5864" width="13.85546875" style="2" bestFit="1" customWidth="1"/>
    <col min="5865" max="5865" width="14.85546875" style="2" bestFit="1" customWidth="1"/>
    <col min="5866" max="5866" width="12.7109375" style="2" bestFit="1" customWidth="1"/>
    <col min="5867" max="5867" width="10.7109375" style="2" customWidth="1"/>
    <col min="5868" max="5868" width="51.28515625" style="2" customWidth="1"/>
    <col min="5869" max="5870" width="11" style="2"/>
    <col min="5871" max="5871" width="12.7109375" style="2" bestFit="1" customWidth="1"/>
    <col min="5872" max="6115" width="11" style="2"/>
    <col min="6116" max="6116" width="4.42578125" style="2" customWidth="1"/>
    <col min="6117" max="6117" width="11.28515625" style="2" customWidth="1"/>
    <col min="6118" max="6118" width="3.140625" style="2" customWidth="1"/>
    <col min="6119" max="6119" width="62.28515625" style="2" customWidth="1"/>
    <col min="6120" max="6120" width="13.85546875" style="2" bestFit="1" customWidth="1"/>
    <col min="6121" max="6121" width="14.85546875" style="2" bestFit="1" customWidth="1"/>
    <col min="6122" max="6122" width="12.7109375" style="2" bestFit="1" customWidth="1"/>
    <col min="6123" max="6123" width="10.7109375" style="2" customWidth="1"/>
    <col min="6124" max="6124" width="51.28515625" style="2" customWidth="1"/>
    <col min="6125" max="6126" width="11" style="2"/>
    <col min="6127" max="6127" width="12.7109375" style="2" bestFit="1" customWidth="1"/>
    <col min="6128" max="6371" width="11" style="2"/>
    <col min="6372" max="6372" width="4.42578125" style="2" customWidth="1"/>
    <col min="6373" max="6373" width="11.28515625" style="2" customWidth="1"/>
    <col min="6374" max="6374" width="3.140625" style="2" customWidth="1"/>
    <col min="6375" max="6375" width="62.28515625" style="2" customWidth="1"/>
    <col min="6376" max="6376" width="13.85546875" style="2" bestFit="1" customWidth="1"/>
    <col min="6377" max="6377" width="14.85546875" style="2" bestFit="1" customWidth="1"/>
    <col min="6378" max="6378" width="12.7109375" style="2" bestFit="1" customWidth="1"/>
    <col min="6379" max="6379" width="10.7109375" style="2" customWidth="1"/>
    <col min="6380" max="6380" width="51.28515625" style="2" customWidth="1"/>
    <col min="6381" max="6382" width="11" style="2"/>
    <col min="6383" max="6383" width="12.7109375" style="2" bestFit="1" customWidth="1"/>
    <col min="6384" max="6627" width="11" style="2"/>
    <col min="6628" max="6628" width="4.42578125" style="2" customWidth="1"/>
    <col min="6629" max="6629" width="11.28515625" style="2" customWidth="1"/>
    <col min="6630" max="6630" width="3.140625" style="2" customWidth="1"/>
    <col min="6631" max="6631" width="62.28515625" style="2" customWidth="1"/>
    <col min="6632" max="6632" width="13.85546875" style="2" bestFit="1" customWidth="1"/>
    <col min="6633" max="6633" width="14.85546875" style="2" bestFit="1" customWidth="1"/>
    <col min="6634" max="6634" width="12.7109375" style="2" bestFit="1" customWidth="1"/>
    <col min="6635" max="6635" width="10.7109375" style="2" customWidth="1"/>
    <col min="6636" max="6636" width="51.28515625" style="2" customWidth="1"/>
    <col min="6637" max="6638" width="11" style="2"/>
    <col min="6639" max="6639" width="12.7109375" style="2" bestFit="1" customWidth="1"/>
    <col min="6640" max="6883" width="11" style="2"/>
    <col min="6884" max="6884" width="4.42578125" style="2" customWidth="1"/>
    <col min="6885" max="6885" width="11.28515625" style="2" customWidth="1"/>
    <col min="6886" max="6886" width="3.140625" style="2" customWidth="1"/>
    <col min="6887" max="6887" width="62.28515625" style="2" customWidth="1"/>
    <col min="6888" max="6888" width="13.85546875" style="2" bestFit="1" customWidth="1"/>
    <col min="6889" max="6889" width="14.85546875" style="2" bestFit="1" customWidth="1"/>
    <col min="6890" max="6890" width="12.7109375" style="2" bestFit="1" customWidth="1"/>
    <col min="6891" max="6891" width="10.7109375" style="2" customWidth="1"/>
    <col min="6892" max="6892" width="51.28515625" style="2" customWidth="1"/>
    <col min="6893" max="6894" width="11" style="2"/>
    <col min="6895" max="6895" width="12.7109375" style="2" bestFit="1" customWidth="1"/>
    <col min="6896" max="7139" width="11" style="2"/>
    <col min="7140" max="7140" width="4.42578125" style="2" customWidth="1"/>
    <col min="7141" max="7141" width="11.28515625" style="2" customWidth="1"/>
    <col min="7142" max="7142" width="3.140625" style="2" customWidth="1"/>
    <col min="7143" max="7143" width="62.28515625" style="2" customWidth="1"/>
    <col min="7144" max="7144" width="13.85546875" style="2" bestFit="1" customWidth="1"/>
    <col min="7145" max="7145" width="14.85546875" style="2" bestFit="1" customWidth="1"/>
    <col min="7146" max="7146" width="12.7109375" style="2" bestFit="1" customWidth="1"/>
    <col min="7147" max="7147" width="10.7109375" style="2" customWidth="1"/>
    <col min="7148" max="7148" width="51.28515625" style="2" customWidth="1"/>
    <col min="7149" max="7150" width="11" style="2"/>
    <col min="7151" max="7151" width="12.7109375" style="2" bestFit="1" customWidth="1"/>
    <col min="7152" max="7395" width="11" style="2"/>
    <col min="7396" max="7396" width="4.42578125" style="2" customWidth="1"/>
    <col min="7397" max="7397" width="11.28515625" style="2" customWidth="1"/>
    <col min="7398" max="7398" width="3.140625" style="2" customWidth="1"/>
    <col min="7399" max="7399" width="62.28515625" style="2" customWidth="1"/>
    <col min="7400" max="7400" width="13.85546875" style="2" bestFit="1" customWidth="1"/>
    <col min="7401" max="7401" width="14.85546875" style="2" bestFit="1" customWidth="1"/>
    <col min="7402" max="7402" width="12.7109375" style="2" bestFit="1" customWidth="1"/>
    <col min="7403" max="7403" width="10.7109375" style="2" customWidth="1"/>
    <col min="7404" max="7404" width="51.28515625" style="2" customWidth="1"/>
    <col min="7405" max="7406" width="11" style="2"/>
    <col min="7407" max="7407" width="12.7109375" style="2" bestFit="1" customWidth="1"/>
    <col min="7408" max="7651" width="11" style="2"/>
    <col min="7652" max="7652" width="4.42578125" style="2" customWidth="1"/>
    <col min="7653" max="7653" width="11.28515625" style="2" customWidth="1"/>
    <col min="7654" max="7654" width="3.140625" style="2" customWidth="1"/>
    <col min="7655" max="7655" width="62.28515625" style="2" customWidth="1"/>
    <col min="7656" max="7656" width="13.85546875" style="2" bestFit="1" customWidth="1"/>
    <col min="7657" max="7657" width="14.85546875" style="2" bestFit="1" customWidth="1"/>
    <col min="7658" max="7658" width="12.7109375" style="2" bestFit="1" customWidth="1"/>
    <col min="7659" max="7659" width="10.7109375" style="2" customWidth="1"/>
    <col min="7660" max="7660" width="51.28515625" style="2" customWidth="1"/>
    <col min="7661" max="7662" width="11" style="2"/>
    <col min="7663" max="7663" width="12.7109375" style="2" bestFit="1" customWidth="1"/>
    <col min="7664" max="7907" width="11" style="2"/>
    <col min="7908" max="7908" width="4.42578125" style="2" customWidth="1"/>
    <col min="7909" max="7909" width="11.28515625" style="2" customWidth="1"/>
    <col min="7910" max="7910" width="3.140625" style="2" customWidth="1"/>
    <col min="7911" max="7911" width="62.28515625" style="2" customWidth="1"/>
    <col min="7912" max="7912" width="13.85546875" style="2" bestFit="1" customWidth="1"/>
    <col min="7913" max="7913" width="14.85546875" style="2" bestFit="1" customWidth="1"/>
    <col min="7914" max="7914" width="12.7109375" style="2" bestFit="1" customWidth="1"/>
    <col min="7915" max="7915" width="10.7109375" style="2" customWidth="1"/>
    <col min="7916" max="7916" width="51.28515625" style="2" customWidth="1"/>
    <col min="7917" max="7918" width="11" style="2"/>
    <col min="7919" max="7919" width="12.7109375" style="2" bestFit="1" customWidth="1"/>
    <col min="7920" max="8163" width="11" style="2"/>
    <col min="8164" max="8164" width="4.42578125" style="2" customWidth="1"/>
    <col min="8165" max="8165" width="11.28515625" style="2" customWidth="1"/>
    <col min="8166" max="8166" width="3.140625" style="2" customWidth="1"/>
    <col min="8167" max="8167" width="62.28515625" style="2" customWidth="1"/>
    <col min="8168" max="8168" width="13.85546875" style="2" bestFit="1" customWidth="1"/>
    <col min="8169" max="8169" width="14.85546875" style="2" bestFit="1" customWidth="1"/>
    <col min="8170" max="8170" width="12.7109375" style="2" bestFit="1" customWidth="1"/>
    <col min="8171" max="8171" width="10.7109375" style="2" customWidth="1"/>
    <col min="8172" max="8172" width="51.28515625" style="2" customWidth="1"/>
    <col min="8173" max="8174" width="11" style="2"/>
    <col min="8175" max="8175" width="12.7109375" style="2" bestFit="1" customWidth="1"/>
    <col min="8176" max="8419" width="11" style="2"/>
    <col min="8420" max="8420" width="4.42578125" style="2" customWidth="1"/>
    <col min="8421" max="8421" width="11.28515625" style="2" customWidth="1"/>
    <col min="8422" max="8422" width="3.140625" style="2" customWidth="1"/>
    <col min="8423" max="8423" width="62.28515625" style="2" customWidth="1"/>
    <col min="8424" max="8424" width="13.85546875" style="2" bestFit="1" customWidth="1"/>
    <col min="8425" max="8425" width="14.85546875" style="2" bestFit="1" customWidth="1"/>
    <col min="8426" max="8426" width="12.7109375" style="2" bestFit="1" customWidth="1"/>
    <col min="8427" max="8427" width="10.7109375" style="2" customWidth="1"/>
    <col min="8428" max="8428" width="51.28515625" style="2" customWidth="1"/>
    <col min="8429" max="8430" width="11" style="2"/>
    <col min="8431" max="8431" width="12.7109375" style="2" bestFit="1" customWidth="1"/>
    <col min="8432" max="8675" width="11" style="2"/>
    <col min="8676" max="8676" width="4.42578125" style="2" customWidth="1"/>
    <col min="8677" max="8677" width="11.28515625" style="2" customWidth="1"/>
    <col min="8678" max="8678" width="3.140625" style="2" customWidth="1"/>
    <col min="8679" max="8679" width="62.28515625" style="2" customWidth="1"/>
    <col min="8680" max="8680" width="13.85546875" style="2" bestFit="1" customWidth="1"/>
    <col min="8681" max="8681" width="14.85546875" style="2" bestFit="1" customWidth="1"/>
    <col min="8682" max="8682" width="12.7109375" style="2" bestFit="1" customWidth="1"/>
    <col min="8683" max="8683" width="10.7109375" style="2" customWidth="1"/>
    <col min="8684" max="8684" width="51.28515625" style="2" customWidth="1"/>
    <col min="8685" max="8686" width="11" style="2"/>
    <col min="8687" max="8687" width="12.7109375" style="2" bestFit="1" customWidth="1"/>
    <col min="8688" max="8931" width="11" style="2"/>
    <col min="8932" max="8932" width="4.42578125" style="2" customWidth="1"/>
    <col min="8933" max="8933" width="11.28515625" style="2" customWidth="1"/>
    <col min="8934" max="8934" width="3.140625" style="2" customWidth="1"/>
    <col min="8935" max="8935" width="62.28515625" style="2" customWidth="1"/>
    <col min="8936" max="8936" width="13.85546875" style="2" bestFit="1" customWidth="1"/>
    <col min="8937" max="8937" width="14.85546875" style="2" bestFit="1" customWidth="1"/>
    <col min="8938" max="8938" width="12.7109375" style="2" bestFit="1" customWidth="1"/>
    <col min="8939" max="8939" width="10.7109375" style="2" customWidth="1"/>
    <col min="8940" max="8940" width="51.28515625" style="2" customWidth="1"/>
    <col min="8941" max="8942" width="11" style="2"/>
    <col min="8943" max="8943" width="12.7109375" style="2" bestFit="1" customWidth="1"/>
    <col min="8944" max="9187" width="11" style="2"/>
    <col min="9188" max="9188" width="4.42578125" style="2" customWidth="1"/>
    <col min="9189" max="9189" width="11.28515625" style="2" customWidth="1"/>
    <col min="9190" max="9190" width="3.140625" style="2" customWidth="1"/>
    <col min="9191" max="9191" width="62.28515625" style="2" customWidth="1"/>
    <col min="9192" max="9192" width="13.85546875" style="2" bestFit="1" customWidth="1"/>
    <col min="9193" max="9193" width="14.85546875" style="2" bestFit="1" customWidth="1"/>
    <col min="9194" max="9194" width="12.7109375" style="2" bestFit="1" customWidth="1"/>
    <col min="9195" max="9195" width="10.7109375" style="2" customWidth="1"/>
    <col min="9196" max="9196" width="51.28515625" style="2" customWidth="1"/>
    <col min="9197" max="9198" width="11" style="2"/>
    <col min="9199" max="9199" width="12.7109375" style="2" bestFit="1" customWidth="1"/>
    <col min="9200" max="9443" width="11" style="2"/>
    <col min="9444" max="9444" width="4.42578125" style="2" customWidth="1"/>
    <col min="9445" max="9445" width="11.28515625" style="2" customWidth="1"/>
    <col min="9446" max="9446" width="3.140625" style="2" customWidth="1"/>
    <col min="9447" max="9447" width="62.28515625" style="2" customWidth="1"/>
    <col min="9448" max="9448" width="13.85546875" style="2" bestFit="1" customWidth="1"/>
    <col min="9449" max="9449" width="14.85546875" style="2" bestFit="1" customWidth="1"/>
    <col min="9450" max="9450" width="12.7109375" style="2" bestFit="1" customWidth="1"/>
    <col min="9451" max="9451" width="10.7109375" style="2" customWidth="1"/>
    <col min="9452" max="9452" width="51.28515625" style="2" customWidth="1"/>
    <col min="9453" max="9454" width="11" style="2"/>
    <col min="9455" max="9455" width="12.7109375" style="2" bestFit="1" customWidth="1"/>
    <col min="9456" max="9699" width="11" style="2"/>
    <col min="9700" max="9700" width="4.42578125" style="2" customWidth="1"/>
    <col min="9701" max="9701" width="11.28515625" style="2" customWidth="1"/>
    <col min="9702" max="9702" width="3.140625" style="2" customWidth="1"/>
    <col min="9703" max="9703" width="62.28515625" style="2" customWidth="1"/>
    <col min="9704" max="9704" width="13.85546875" style="2" bestFit="1" customWidth="1"/>
    <col min="9705" max="9705" width="14.85546875" style="2" bestFit="1" customWidth="1"/>
    <col min="9706" max="9706" width="12.7109375" style="2" bestFit="1" customWidth="1"/>
    <col min="9707" max="9707" width="10.7109375" style="2" customWidth="1"/>
    <col min="9708" max="9708" width="51.28515625" style="2" customWidth="1"/>
    <col min="9709" max="9710" width="11" style="2"/>
    <col min="9711" max="9711" width="12.7109375" style="2" bestFit="1" customWidth="1"/>
    <col min="9712" max="9955" width="11" style="2"/>
    <col min="9956" max="9956" width="4.42578125" style="2" customWidth="1"/>
    <col min="9957" max="9957" width="11.28515625" style="2" customWidth="1"/>
    <col min="9958" max="9958" width="3.140625" style="2" customWidth="1"/>
    <col min="9959" max="9959" width="62.28515625" style="2" customWidth="1"/>
    <col min="9960" max="9960" width="13.85546875" style="2" bestFit="1" customWidth="1"/>
    <col min="9961" max="9961" width="14.85546875" style="2" bestFit="1" customWidth="1"/>
    <col min="9962" max="9962" width="12.7109375" style="2" bestFit="1" customWidth="1"/>
    <col min="9963" max="9963" width="10.7109375" style="2" customWidth="1"/>
    <col min="9964" max="9964" width="51.28515625" style="2" customWidth="1"/>
    <col min="9965" max="9966" width="11" style="2"/>
    <col min="9967" max="9967" width="12.7109375" style="2" bestFit="1" customWidth="1"/>
    <col min="9968" max="10211" width="11" style="2"/>
    <col min="10212" max="10212" width="4.42578125" style="2" customWidth="1"/>
    <col min="10213" max="10213" width="11.28515625" style="2" customWidth="1"/>
    <col min="10214" max="10214" width="3.140625" style="2" customWidth="1"/>
    <col min="10215" max="10215" width="62.28515625" style="2" customWidth="1"/>
    <col min="10216" max="10216" width="13.85546875" style="2" bestFit="1" customWidth="1"/>
    <col min="10217" max="10217" width="14.85546875" style="2" bestFit="1" customWidth="1"/>
    <col min="10218" max="10218" width="12.7109375" style="2" bestFit="1" customWidth="1"/>
    <col min="10219" max="10219" width="10.7109375" style="2" customWidth="1"/>
    <col min="10220" max="10220" width="51.28515625" style="2" customWidth="1"/>
    <col min="10221" max="10222" width="11" style="2"/>
    <col min="10223" max="10223" width="12.7109375" style="2" bestFit="1" customWidth="1"/>
    <col min="10224" max="10467" width="11" style="2"/>
    <col min="10468" max="10468" width="4.42578125" style="2" customWidth="1"/>
    <col min="10469" max="10469" width="11.28515625" style="2" customWidth="1"/>
    <col min="10470" max="10470" width="3.140625" style="2" customWidth="1"/>
    <col min="10471" max="10471" width="62.28515625" style="2" customWidth="1"/>
    <col min="10472" max="10472" width="13.85546875" style="2" bestFit="1" customWidth="1"/>
    <col min="10473" max="10473" width="14.85546875" style="2" bestFit="1" customWidth="1"/>
    <col min="10474" max="10474" width="12.7109375" style="2" bestFit="1" customWidth="1"/>
    <col min="10475" max="10475" width="10.7109375" style="2" customWidth="1"/>
    <col min="10476" max="10476" width="51.28515625" style="2" customWidth="1"/>
    <col min="10477" max="10478" width="11" style="2"/>
    <col min="10479" max="10479" width="12.7109375" style="2" bestFit="1" customWidth="1"/>
    <col min="10480" max="10723" width="11" style="2"/>
    <col min="10724" max="10724" width="4.42578125" style="2" customWidth="1"/>
    <col min="10725" max="10725" width="11.28515625" style="2" customWidth="1"/>
    <col min="10726" max="10726" width="3.140625" style="2" customWidth="1"/>
    <col min="10727" max="10727" width="62.28515625" style="2" customWidth="1"/>
    <col min="10728" max="10728" width="13.85546875" style="2" bestFit="1" customWidth="1"/>
    <col min="10729" max="10729" width="14.85546875" style="2" bestFit="1" customWidth="1"/>
    <col min="10730" max="10730" width="12.7109375" style="2" bestFit="1" customWidth="1"/>
    <col min="10731" max="10731" width="10.7109375" style="2" customWidth="1"/>
    <col min="10732" max="10732" width="51.28515625" style="2" customWidth="1"/>
    <col min="10733" max="10734" width="11" style="2"/>
    <col min="10735" max="10735" width="12.7109375" style="2" bestFit="1" customWidth="1"/>
    <col min="10736" max="10979" width="11" style="2"/>
    <col min="10980" max="10980" width="4.42578125" style="2" customWidth="1"/>
    <col min="10981" max="10981" width="11.28515625" style="2" customWidth="1"/>
    <col min="10982" max="10982" width="3.140625" style="2" customWidth="1"/>
    <col min="10983" max="10983" width="62.28515625" style="2" customWidth="1"/>
    <col min="10984" max="10984" width="13.85546875" style="2" bestFit="1" customWidth="1"/>
    <col min="10985" max="10985" width="14.85546875" style="2" bestFit="1" customWidth="1"/>
    <col min="10986" max="10986" width="12.7109375" style="2" bestFit="1" customWidth="1"/>
    <col min="10987" max="10987" width="10.7109375" style="2" customWidth="1"/>
    <col min="10988" max="10988" width="51.28515625" style="2" customWidth="1"/>
    <col min="10989" max="10990" width="11" style="2"/>
    <col min="10991" max="10991" width="12.7109375" style="2" bestFit="1" customWidth="1"/>
    <col min="10992" max="11235" width="11" style="2"/>
    <col min="11236" max="11236" width="4.42578125" style="2" customWidth="1"/>
    <col min="11237" max="11237" width="11.28515625" style="2" customWidth="1"/>
    <col min="11238" max="11238" width="3.140625" style="2" customWidth="1"/>
    <col min="11239" max="11239" width="62.28515625" style="2" customWidth="1"/>
    <col min="11240" max="11240" width="13.85546875" style="2" bestFit="1" customWidth="1"/>
    <col min="11241" max="11241" width="14.85546875" style="2" bestFit="1" customWidth="1"/>
    <col min="11242" max="11242" width="12.7109375" style="2" bestFit="1" customWidth="1"/>
    <col min="11243" max="11243" width="10.7109375" style="2" customWidth="1"/>
    <col min="11244" max="11244" width="51.28515625" style="2" customWidth="1"/>
    <col min="11245" max="11246" width="11" style="2"/>
    <col min="11247" max="11247" width="12.7109375" style="2" bestFit="1" customWidth="1"/>
    <col min="11248" max="11491" width="11" style="2"/>
    <col min="11492" max="11492" width="4.42578125" style="2" customWidth="1"/>
    <col min="11493" max="11493" width="11.28515625" style="2" customWidth="1"/>
    <col min="11494" max="11494" width="3.140625" style="2" customWidth="1"/>
    <col min="11495" max="11495" width="62.28515625" style="2" customWidth="1"/>
    <col min="11496" max="11496" width="13.85546875" style="2" bestFit="1" customWidth="1"/>
    <col min="11497" max="11497" width="14.85546875" style="2" bestFit="1" customWidth="1"/>
    <col min="11498" max="11498" width="12.7109375" style="2" bestFit="1" customWidth="1"/>
    <col min="11499" max="11499" width="10.7109375" style="2" customWidth="1"/>
    <col min="11500" max="11500" width="51.28515625" style="2" customWidth="1"/>
    <col min="11501" max="11502" width="11" style="2"/>
    <col min="11503" max="11503" width="12.7109375" style="2" bestFit="1" customWidth="1"/>
    <col min="11504" max="11747" width="11" style="2"/>
    <col min="11748" max="11748" width="4.42578125" style="2" customWidth="1"/>
    <col min="11749" max="11749" width="11.28515625" style="2" customWidth="1"/>
    <col min="11750" max="11750" width="3.140625" style="2" customWidth="1"/>
    <col min="11751" max="11751" width="62.28515625" style="2" customWidth="1"/>
    <col min="11752" max="11752" width="13.85546875" style="2" bestFit="1" customWidth="1"/>
    <col min="11753" max="11753" width="14.85546875" style="2" bestFit="1" customWidth="1"/>
    <col min="11754" max="11754" width="12.7109375" style="2" bestFit="1" customWidth="1"/>
    <col min="11755" max="11755" width="10.7109375" style="2" customWidth="1"/>
    <col min="11756" max="11756" width="51.28515625" style="2" customWidth="1"/>
    <col min="11757" max="11758" width="11" style="2"/>
    <col min="11759" max="11759" width="12.7109375" style="2" bestFit="1" customWidth="1"/>
    <col min="11760" max="12003" width="11" style="2"/>
    <col min="12004" max="12004" width="4.42578125" style="2" customWidth="1"/>
    <col min="12005" max="12005" width="11.28515625" style="2" customWidth="1"/>
    <col min="12006" max="12006" width="3.140625" style="2" customWidth="1"/>
    <col min="12007" max="12007" width="62.28515625" style="2" customWidth="1"/>
    <col min="12008" max="12008" width="13.85546875" style="2" bestFit="1" customWidth="1"/>
    <col min="12009" max="12009" width="14.85546875" style="2" bestFit="1" customWidth="1"/>
    <col min="12010" max="12010" width="12.7109375" style="2" bestFit="1" customWidth="1"/>
    <col min="12011" max="12011" width="10.7109375" style="2" customWidth="1"/>
    <col min="12012" max="12012" width="51.28515625" style="2" customWidth="1"/>
    <col min="12013" max="12014" width="11" style="2"/>
    <col min="12015" max="12015" width="12.7109375" style="2" bestFit="1" customWidth="1"/>
    <col min="12016" max="12259" width="11" style="2"/>
    <col min="12260" max="12260" width="4.42578125" style="2" customWidth="1"/>
    <col min="12261" max="12261" width="11.28515625" style="2" customWidth="1"/>
    <col min="12262" max="12262" width="3.140625" style="2" customWidth="1"/>
    <col min="12263" max="12263" width="62.28515625" style="2" customWidth="1"/>
    <col min="12264" max="12264" width="13.85546875" style="2" bestFit="1" customWidth="1"/>
    <col min="12265" max="12265" width="14.85546875" style="2" bestFit="1" customWidth="1"/>
    <col min="12266" max="12266" width="12.7109375" style="2" bestFit="1" customWidth="1"/>
    <col min="12267" max="12267" width="10.7109375" style="2" customWidth="1"/>
    <col min="12268" max="12268" width="51.28515625" style="2" customWidth="1"/>
    <col min="12269" max="12270" width="11" style="2"/>
    <col min="12271" max="12271" width="12.7109375" style="2" bestFit="1" customWidth="1"/>
    <col min="12272" max="12515" width="11" style="2"/>
    <col min="12516" max="12516" width="4.42578125" style="2" customWidth="1"/>
    <col min="12517" max="12517" width="11.28515625" style="2" customWidth="1"/>
    <col min="12518" max="12518" width="3.140625" style="2" customWidth="1"/>
    <col min="12519" max="12519" width="62.28515625" style="2" customWidth="1"/>
    <col min="12520" max="12520" width="13.85546875" style="2" bestFit="1" customWidth="1"/>
    <col min="12521" max="12521" width="14.85546875" style="2" bestFit="1" customWidth="1"/>
    <col min="12522" max="12522" width="12.7109375" style="2" bestFit="1" customWidth="1"/>
    <col min="12523" max="12523" width="10.7109375" style="2" customWidth="1"/>
    <col min="12524" max="12524" width="51.28515625" style="2" customWidth="1"/>
    <col min="12525" max="12526" width="11" style="2"/>
    <col min="12527" max="12527" width="12.7109375" style="2" bestFit="1" customWidth="1"/>
    <col min="12528" max="12771" width="11" style="2"/>
    <col min="12772" max="12772" width="4.42578125" style="2" customWidth="1"/>
    <col min="12773" max="12773" width="11.28515625" style="2" customWidth="1"/>
    <col min="12774" max="12774" width="3.140625" style="2" customWidth="1"/>
    <col min="12775" max="12775" width="62.28515625" style="2" customWidth="1"/>
    <col min="12776" max="12776" width="13.85546875" style="2" bestFit="1" customWidth="1"/>
    <col min="12777" max="12777" width="14.85546875" style="2" bestFit="1" customWidth="1"/>
    <col min="12778" max="12778" width="12.7109375" style="2" bestFit="1" customWidth="1"/>
    <col min="12779" max="12779" width="10.7109375" style="2" customWidth="1"/>
    <col min="12780" max="12780" width="51.28515625" style="2" customWidth="1"/>
    <col min="12781" max="12782" width="11" style="2"/>
    <col min="12783" max="12783" width="12.7109375" style="2" bestFit="1" customWidth="1"/>
    <col min="12784" max="13027" width="11" style="2"/>
    <col min="13028" max="13028" width="4.42578125" style="2" customWidth="1"/>
    <col min="13029" max="13029" width="11.28515625" style="2" customWidth="1"/>
    <col min="13030" max="13030" width="3.140625" style="2" customWidth="1"/>
    <col min="13031" max="13031" width="62.28515625" style="2" customWidth="1"/>
    <col min="13032" max="13032" width="13.85546875" style="2" bestFit="1" customWidth="1"/>
    <col min="13033" max="13033" width="14.85546875" style="2" bestFit="1" customWidth="1"/>
    <col min="13034" max="13034" width="12.7109375" style="2" bestFit="1" customWidth="1"/>
    <col min="13035" max="13035" width="10.7109375" style="2" customWidth="1"/>
    <col min="13036" max="13036" width="51.28515625" style="2" customWidth="1"/>
    <col min="13037" max="13038" width="11" style="2"/>
    <col min="13039" max="13039" width="12.7109375" style="2" bestFit="1" customWidth="1"/>
    <col min="13040" max="13283" width="11" style="2"/>
    <col min="13284" max="13284" width="4.42578125" style="2" customWidth="1"/>
    <col min="13285" max="13285" width="11.28515625" style="2" customWidth="1"/>
    <col min="13286" max="13286" width="3.140625" style="2" customWidth="1"/>
    <col min="13287" max="13287" width="62.28515625" style="2" customWidth="1"/>
    <col min="13288" max="13288" width="13.85546875" style="2" bestFit="1" customWidth="1"/>
    <col min="13289" max="13289" width="14.85546875" style="2" bestFit="1" customWidth="1"/>
    <col min="13290" max="13290" width="12.7109375" style="2" bestFit="1" customWidth="1"/>
    <col min="13291" max="13291" width="10.7109375" style="2" customWidth="1"/>
    <col min="13292" max="13292" width="51.28515625" style="2" customWidth="1"/>
    <col min="13293" max="13294" width="11" style="2"/>
    <col min="13295" max="13295" width="12.7109375" style="2" bestFit="1" customWidth="1"/>
    <col min="13296" max="13539" width="11" style="2"/>
    <col min="13540" max="13540" width="4.42578125" style="2" customWidth="1"/>
    <col min="13541" max="13541" width="11.28515625" style="2" customWidth="1"/>
    <col min="13542" max="13542" width="3.140625" style="2" customWidth="1"/>
    <col min="13543" max="13543" width="62.28515625" style="2" customWidth="1"/>
    <col min="13544" max="13544" width="13.85546875" style="2" bestFit="1" customWidth="1"/>
    <col min="13545" max="13545" width="14.85546875" style="2" bestFit="1" customWidth="1"/>
    <col min="13546" max="13546" width="12.7109375" style="2" bestFit="1" customWidth="1"/>
    <col min="13547" max="13547" width="10.7109375" style="2" customWidth="1"/>
    <col min="13548" max="13548" width="51.28515625" style="2" customWidth="1"/>
    <col min="13549" max="13550" width="11" style="2"/>
    <col min="13551" max="13551" width="12.7109375" style="2" bestFit="1" customWidth="1"/>
    <col min="13552" max="13795" width="11" style="2"/>
    <col min="13796" max="13796" width="4.42578125" style="2" customWidth="1"/>
    <col min="13797" max="13797" width="11.28515625" style="2" customWidth="1"/>
    <col min="13798" max="13798" width="3.140625" style="2" customWidth="1"/>
    <col min="13799" max="13799" width="62.28515625" style="2" customWidth="1"/>
    <col min="13800" max="13800" width="13.85546875" style="2" bestFit="1" customWidth="1"/>
    <col min="13801" max="13801" width="14.85546875" style="2" bestFit="1" customWidth="1"/>
    <col min="13802" max="13802" width="12.7109375" style="2" bestFit="1" customWidth="1"/>
    <col min="13803" max="13803" width="10.7109375" style="2" customWidth="1"/>
    <col min="13804" max="13804" width="51.28515625" style="2" customWidth="1"/>
    <col min="13805" max="13806" width="11" style="2"/>
    <col min="13807" max="13807" width="12.7109375" style="2" bestFit="1" customWidth="1"/>
    <col min="13808" max="14051" width="11" style="2"/>
    <col min="14052" max="14052" width="4.42578125" style="2" customWidth="1"/>
    <col min="14053" max="14053" width="11.28515625" style="2" customWidth="1"/>
    <col min="14054" max="14054" width="3.140625" style="2" customWidth="1"/>
    <col min="14055" max="14055" width="62.28515625" style="2" customWidth="1"/>
    <col min="14056" max="14056" width="13.85546875" style="2" bestFit="1" customWidth="1"/>
    <col min="14057" max="14057" width="14.85546875" style="2" bestFit="1" customWidth="1"/>
    <col min="14058" max="14058" width="12.7109375" style="2" bestFit="1" customWidth="1"/>
    <col min="14059" max="14059" width="10.7109375" style="2" customWidth="1"/>
    <col min="14060" max="14060" width="51.28515625" style="2" customWidth="1"/>
    <col min="14061" max="14062" width="11" style="2"/>
    <col min="14063" max="14063" width="12.7109375" style="2" bestFit="1" customWidth="1"/>
    <col min="14064" max="14307" width="11" style="2"/>
    <col min="14308" max="14308" width="4.42578125" style="2" customWidth="1"/>
    <col min="14309" max="14309" width="11.28515625" style="2" customWidth="1"/>
    <col min="14310" max="14310" width="3.140625" style="2" customWidth="1"/>
    <col min="14311" max="14311" width="62.28515625" style="2" customWidth="1"/>
    <col min="14312" max="14312" width="13.85546875" style="2" bestFit="1" customWidth="1"/>
    <col min="14313" max="14313" width="14.85546875" style="2" bestFit="1" customWidth="1"/>
    <col min="14314" max="14314" width="12.7109375" style="2" bestFit="1" customWidth="1"/>
    <col min="14315" max="14315" width="10.7109375" style="2" customWidth="1"/>
    <col min="14316" max="14316" width="51.28515625" style="2" customWidth="1"/>
    <col min="14317" max="14318" width="11" style="2"/>
    <col min="14319" max="14319" width="12.7109375" style="2" bestFit="1" customWidth="1"/>
    <col min="14320" max="14563" width="11" style="2"/>
    <col min="14564" max="14564" width="4.42578125" style="2" customWidth="1"/>
    <col min="14565" max="14565" width="11.28515625" style="2" customWidth="1"/>
    <col min="14566" max="14566" width="3.140625" style="2" customWidth="1"/>
    <col min="14567" max="14567" width="62.28515625" style="2" customWidth="1"/>
    <col min="14568" max="14568" width="13.85546875" style="2" bestFit="1" customWidth="1"/>
    <col min="14569" max="14569" width="14.85546875" style="2" bestFit="1" customWidth="1"/>
    <col min="14570" max="14570" width="12.7109375" style="2" bestFit="1" customWidth="1"/>
    <col min="14571" max="14571" width="10.7109375" style="2" customWidth="1"/>
    <col min="14572" max="14572" width="51.28515625" style="2" customWidth="1"/>
    <col min="14573" max="14574" width="11" style="2"/>
    <col min="14575" max="14575" width="12.7109375" style="2" bestFit="1" customWidth="1"/>
    <col min="14576" max="14819" width="11" style="2"/>
    <col min="14820" max="14820" width="4.42578125" style="2" customWidth="1"/>
    <col min="14821" max="14821" width="11.28515625" style="2" customWidth="1"/>
    <col min="14822" max="14822" width="3.140625" style="2" customWidth="1"/>
    <col min="14823" max="14823" width="62.28515625" style="2" customWidth="1"/>
    <col min="14824" max="14824" width="13.85546875" style="2" bestFit="1" customWidth="1"/>
    <col min="14825" max="14825" width="14.85546875" style="2" bestFit="1" customWidth="1"/>
    <col min="14826" max="14826" width="12.7109375" style="2" bestFit="1" customWidth="1"/>
    <col min="14827" max="14827" width="10.7109375" style="2" customWidth="1"/>
    <col min="14828" max="14828" width="51.28515625" style="2" customWidth="1"/>
    <col min="14829" max="14830" width="11" style="2"/>
    <col min="14831" max="14831" width="12.7109375" style="2" bestFit="1" customWidth="1"/>
    <col min="14832" max="15075" width="11" style="2"/>
    <col min="15076" max="15076" width="4.42578125" style="2" customWidth="1"/>
    <col min="15077" max="15077" width="11.28515625" style="2" customWidth="1"/>
    <col min="15078" max="15078" width="3.140625" style="2" customWidth="1"/>
    <col min="15079" max="15079" width="62.28515625" style="2" customWidth="1"/>
    <col min="15080" max="15080" width="13.85546875" style="2" bestFit="1" customWidth="1"/>
    <col min="15081" max="15081" width="14.85546875" style="2" bestFit="1" customWidth="1"/>
    <col min="15082" max="15082" width="12.7109375" style="2" bestFit="1" customWidth="1"/>
    <col min="15083" max="15083" width="10.7109375" style="2" customWidth="1"/>
    <col min="15084" max="15084" width="51.28515625" style="2" customWidth="1"/>
    <col min="15085" max="15086" width="11" style="2"/>
    <col min="15087" max="15087" width="12.7109375" style="2" bestFit="1" customWidth="1"/>
    <col min="15088" max="15331" width="11" style="2"/>
    <col min="15332" max="15332" width="4.42578125" style="2" customWidth="1"/>
    <col min="15333" max="15333" width="11.28515625" style="2" customWidth="1"/>
    <col min="15334" max="15334" width="3.140625" style="2" customWidth="1"/>
    <col min="15335" max="15335" width="62.28515625" style="2" customWidth="1"/>
    <col min="15336" max="15336" width="13.85546875" style="2" bestFit="1" customWidth="1"/>
    <col min="15337" max="15337" width="14.85546875" style="2" bestFit="1" customWidth="1"/>
    <col min="15338" max="15338" width="12.7109375" style="2" bestFit="1" customWidth="1"/>
    <col min="15339" max="15339" width="10.7109375" style="2" customWidth="1"/>
    <col min="15340" max="15340" width="51.28515625" style="2" customWidth="1"/>
    <col min="15341" max="15342" width="11" style="2"/>
    <col min="15343" max="15343" width="12.7109375" style="2" bestFit="1" customWidth="1"/>
    <col min="15344" max="15587" width="11" style="2"/>
    <col min="15588" max="15588" width="4.42578125" style="2" customWidth="1"/>
    <col min="15589" max="15589" width="11.28515625" style="2" customWidth="1"/>
    <col min="15590" max="15590" width="3.140625" style="2" customWidth="1"/>
    <col min="15591" max="15591" width="62.28515625" style="2" customWidth="1"/>
    <col min="15592" max="15592" width="13.85546875" style="2" bestFit="1" customWidth="1"/>
    <col min="15593" max="15593" width="14.85546875" style="2" bestFit="1" customWidth="1"/>
    <col min="15594" max="15594" width="12.7109375" style="2" bestFit="1" customWidth="1"/>
    <col min="15595" max="15595" width="10.7109375" style="2" customWidth="1"/>
    <col min="15596" max="15596" width="51.28515625" style="2" customWidth="1"/>
    <col min="15597" max="15598" width="11" style="2"/>
    <col min="15599" max="15599" width="12.7109375" style="2" bestFit="1" customWidth="1"/>
    <col min="15600" max="15843" width="11" style="2"/>
    <col min="15844" max="15844" width="4.42578125" style="2" customWidth="1"/>
    <col min="15845" max="15845" width="11.28515625" style="2" customWidth="1"/>
    <col min="15846" max="15846" width="3.140625" style="2" customWidth="1"/>
    <col min="15847" max="15847" width="62.28515625" style="2" customWidth="1"/>
    <col min="15848" max="15848" width="13.85546875" style="2" bestFit="1" customWidth="1"/>
    <col min="15849" max="15849" width="14.85546875" style="2" bestFit="1" customWidth="1"/>
    <col min="15850" max="15850" width="12.7109375" style="2" bestFit="1" customWidth="1"/>
    <col min="15851" max="15851" width="10.7109375" style="2" customWidth="1"/>
    <col min="15852" max="15852" width="51.28515625" style="2" customWidth="1"/>
    <col min="15853" max="15854" width="11" style="2"/>
    <col min="15855" max="15855" width="12.7109375" style="2" bestFit="1" customWidth="1"/>
    <col min="15856" max="16099" width="11" style="2"/>
    <col min="16100" max="16100" width="4.42578125" style="2" customWidth="1"/>
    <col min="16101" max="16101" width="11.28515625" style="2" customWidth="1"/>
    <col min="16102" max="16102" width="3.140625" style="2" customWidth="1"/>
    <col min="16103" max="16103" width="62.28515625" style="2" customWidth="1"/>
    <col min="16104" max="16104" width="13.85546875" style="2" bestFit="1" customWidth="1"/>
    <col min="16105" max="16105" width="14.85546875" style="2" bestFit="1" customWidth="1"/>
    <col min="16106" max="16106" width="12.7109375" style="2" bestFit="1" customWidth="1"/>
    <col min="16107" max="16107" width="10.7109375" style="2" customWidth="1"/>
    <col min="16108" max="16108" width="51.28515625" style="2" customWidth="1"/>
    <col min="16109" max="16110" width="11" style="2"/>
    <col min="16111" max="16111" width="12.7109375" style="2" bestFit="1" customWidth="1"/>
    <col min="16112" max="16384" width="11" style="2"/>
  </cols>
  <sheetData>
    <row r="1" spans="1:7" x14ac:dyDescent="0.2">
      <c r="E1" s="308"/>
      <c r="F1" s="308"/>
      <c r="G1" s="308"/>
    </row>
    <row r="2" spans="1:7" x14ac:dyDescent="0.2">
      <c r="D2" s="312" t="s">
        <v>498</v>
      </c>
      <c r="E2" s="312"/>
      <c r="F2" s="312"/>
      <c r="G2" s="312"/>
    </row>
    <row r="3" spans="1:7" x14ac:dyDescent="0.2">
      <c r="D3" s="312" t="s">
        <v>533</v>
      </c>
      <c r="E3" s="312"/>
      <c r="F3" s="312"/>
      <c r="G3" s="312"/>
    </row>
    <row r="4" spans="1:7" x14ac:dyDescent="0.2">
      <c r="D4" s="312" t="s">
        <v>499</v>
      </c>
      <c r="E4" s="312"/>
      <c r="F4" s="312"/>
      <c r="G4" s="312"/>
    </row>
    <row r="6" spans="1:7" x14ac:dyDescent="0.2">
      <c r="A6" s="5"/>
      <c r="B6" s="4"/>
      <c r="C6" s="5"/>
      <c r="D6" s="5"/>
      <c r="E6" s="5"/>
      <c r="F6" s="5"/>
      <c r="G6" s="5"/>
    </row>
    <row r="7" spans="1:7" ht="15.75" x14ac:dyDescent="0.25">
      <c r="A7" s="8"/>
      <c r="B7" s="6" t="s">
        <v>526</v>
      </c>
      <c r="C7" s="7"/>
      <c r="D7" s="8"/>
      <c r="E7" s="9"/>
      <c r="F7" s="9"/>
      <c r="G7" s="9"/>
    </row>
    <row r="8" spans="1:7" x14ac:dyDescent="0.2">
      <c r="A8" s="131"/>
      <c r="B8" s="10"/>
      <c r="C8" s="11"/>
      <c r="D8" s="11"/>
      <c r="E8" s="12"/>
      <c r="F8" s="12"/>
      <c r="G8" s="12"/>
    </row>
    <row r="9" spans="1:7" ht="15" customHeight="1" x14ac:dyDescent="0.2">
      <c r="G9" s="249" t="s">
        <v>198</v>
      </c>
    </row>
    <row r="10" spans="1:7" s="130" customFormat="1" ht="15" customHeight="1" thickBot="1" x14ac:dyDescent="0.25">
      <c r="A10" s="132"/>
      <c r="B10" s="13" t="s">
        <v>199</v>
      </c>
      <c r="C10" s="309" t="s">
        <v>200</v>
      </c>
      <c r="D10" s="310"/>
      <c r="E10" s="278" t="s">
        <v>531</v>
      </c>
      <c r="F10" s="278" t="s">
        <v>201</v>
      </c>
      <c r="G10" s="294" t="s">
        <v>202</v>
      </c>
    </row>
    <row r="11" spans="1:7" ht="15" customHeight="1" x14ac:dyDescent="0.25">
      <c r="A11" s="311"/>
      <c r="B11" s="14" t="s">
        <v>203</v>
      </c>
      <c r="C11" s="15"/>
      <c r="D11" s="16"/>
      <c r="E11" s="279" t="s">
        <v>205</v>
      </c>
      <c r="F11" s="286"/>
      <c r="G11" s="251" t="s">
        <v>496</v>
      </c>
    </row>
    <row r="12" spans="1:7" ht="12.75" customHeight="1" x14ac:dyDescent="0.25">
      <c r="A12" s="311"/>
      <c r="B12" s="17" t="s">
        <v>204</v>
      </c>
      <c r="C12" s="18" t="s">
        <v>0</v>
      </c>
      <c r="D12" s="19"/>
      <c r="E12" s="280" t="s">
        <v>494</v>
      </c>
      <c r="F12" s="280" t="s">
        <v>495</v>
      </c>
      <c r="G12" s="252" t="s">
        <v>497</v>
      </c>
    </row>
    <row r="13" spans="1:7" ht="12.75" customHeight="1" thickBot="1" x14ac:dyDescent="0.3">
      <c r="A13" s="311"/>
      <c r="B13" s="20" t="s">
        <v>206</v>
      </c>
      <c r="C13" s="172"/>
      <c r="D13" s="173"/>
      <c r="E13" s="281"/>
      <c r="F13" s="281"/>
      <c r="G13" s="253" t="s">
        <v>494</v>
      </c>
    </row>
    <row r="14" spans="1:7" ht="13.5" customHeight="1" x14ac:dyDescent="0.2">
      <c r="A14" s="295"/>
      <c r="B14" s="21" t="s">
        <v>207</v>
      </c>
      <c r="C14" s="22"/>
      <c r="D14" s="23" t="s">
        <v>207</v>
      </c>
      <c r="E14" s="254"/>
      <c r="F14" s="254"/>
      <c r="G14" s="255"/>
    </row>
    <row r="15" spans="1:7" ht="13.5" customHeight="1" x14ac:dyDescent="0.25">
      <c r="A15" s="295" t="s">
        <v>528</v>
      </c>
      <c r="B15" s="24"/>
      <c r="C15" s="25" t="s">
        <v>208</v>
      </c>
      <c r="D15" s="26"/>
      <c r="E15" s="254"/>
      <c r="F15" s="254"/>
      <c r="G15" s="255"/>
    </row>
    <row r="16" spans="1:7" ht="13.5" customHeight="1" x14ac:dyDescent="0.2">
      <c r="A16" s="295"/>
      <c r="B16" s="27"/>
      <c r="C16" s="28"/>
      <c r="D16" s="29"/>
      <c r="E16" s="254"/>
      <c r="F16" s="254"/>
      <c r="G16" s="255"/>
    </row>
    <row r="17" spans="1:7" ht="13.5" customHeight="1" x14ac:dyDescent="0.2">
      <c r="A17" s="295" t="s">
        <v>507</v>
      </c>
      <c r="B17" s="30"/>
      <c r="C17" s="31" t="str">
        <f>C51</f>
        <v>Városüzemeltetés</v>
      </c>
      <c r="D17" s="32"/>
      <c r="E17" s="256">
        <f>E102</f>
        <v>7286607192</v>
      </c>
      <c r="F17" s="256">
        <f>F102</f>
        <v>36539752</v>
      </c>
      <c r="G17" s="257">
        <f>G102</f>
        <v>7323146944</v>
      </c>
    </row>
    <row r="18" spans="1:7" ht="13.5" customHeight="1" x14ac:dyDescent="0.2">
      <c r="A18" s="133"/>
      <c r="B18" s="30"/>
      <c r="C18" s="31"/>
      <c r="D18" s="32"/>
      <c r="E18" s="256"/>
      <c r="F18" s="256"/>
      <c r="G18" s="257"/>
    </row>
    <row r="19" spans="1:7" ht="13.5" customHeight="1" x14ac:dyDescent="0.2">
      <c r="A19" s="133" t="s">
        <v>508</v>
      </c>
      <c r="B19" s="30"/>
      <c r="C19" s="31" t="str">
        <f>C104</f>
        <v>Környezetvédelem</v>
      </c>
      <c r="D19" s="32"/>
      <c r="E19" s="256">
        <f>E125</f>
        <v>26027729</v>
      </c>
      <c r="F19" s="256">
        <f>F125</f>
        <v>0</v>
      </c>
      <c r="G19" s="257">
        <f>G125</f>
        <v>26027729</v>
      </c>
    </row>
    <row r="20" spans="1:7" ht="13.5" customHeight="1" x14ac:dyDescent="0.2">
      <c r="A20" s="133"/>
      <c r="B20" s="30"/>
      <c r="C20" s="31"/>
      <c r="D20" s="32"/>
      <c r="E20" s="256"/>
      <c r="F20" s="256"/>
      <c r="G20" s="257"/>
    </row>
    <row r="21" spans="1:7" ht="13.5" customHeight="1" x14ac:dyDescent="0.2">
      <c r="A21" s="133" t="s">
        <v>509</v>
      </c>
      <c r="B21" s="30"/>
      <c r="C21" s="31" t="str">
        <f>C127</f>
        <v>Vagyongazdálkodás</v>
      </c>
      <c r="D21" s="32"/>
      <c r="E21" s="258">
        <f>E150</f>
        <v>2680819780</v>
      </c>
      <c r="F21" s="258">
        <f>F150</f>
        <v>0</v>
      </c>
      <c r="G21" s="259">
        <f>G150</f>
        <v>2680819780</v>
      </c>
    </row>
    <row r="22" spans="1:7" ht="13.5" customHeight="1" x14ac:dyDescent="0.2">
      <c r="A22" s="133"/>
      <c r="B22" s="30"/>
      <c r="C22" s="31"/>
      <c r="D22" s="32"/>
      <c r="E22" s="256"/>
      <c r="F22" s="256"/>
      <c r="G22" s="257"/>
    </row>
    <row r="23" spans="1:7" ht="13.5" customHeight="1" x14ac:dyDescent="0.2">
      <c r="A23" s="133" t="s">
        <v>510</v>
      </c>
      <c r="B23" s="30"/>
      <c r="C23" s="31" t="str">
        <f>C152</f>
        <v>Egészségügy</v>
      </c>
      <c r="D23" s="32"/>
      <c r="E23" s="258">
        <f>E169</f>
        <v>28674195</v>
      </c>
      <c r="F23" s="258">
        <f>F169</f>
        <v>0</v>
      </c>
      <c r="G23" s="259">
        <f>G169</f>
        <v>28674195</v>
      </c>
    </row>
    <row r="24" spans="1:7" ht="13.5" customHeight="1" x14ac:dyDescent="0.2">
      <c r="A24" s="133"/>
      <c r="B24" s="30"/>
      <c r="C24" s="31"/>
      <c r="D24" s="32"/>
      <c r="E24" s="256"/>
      <c r="F24" s="256"/>
      <c r="G24" s="257"/>
    </row>
    <row r="25" spans="1:7" ht="13.5" customHeight="1" x14ac:dyDescent="0.2">
      <c r="A25" s="133" t="s">
        <v>511</v>
      </c>
      <c r="B25" s="30"/>
      <c r="C25" s="31" t="str">
        <f>C171</f>
        <v>Szociális</v>
      </c>
      <c r="D25" s="32"/>
      <c r="E25" s="258">
        <f>E219</f>
        <v>2815154302</v>
      </c>
      <c r="F25" s="258">
        <f>F219</f>
        <v>9000000</v>
      </c>
      <c r="G25" s="259">
        <f>G219</f>
        <v>2824154302</v>
      </c>
    </row>
    <row r="26" spans="1:7" ht="13.5" customHeight="1" x14ac:dyDescent="0.2">
      <c r="A26" s="133"/>
      <c r="B26" s="30"/>
      <c r="C26" s="31"/>
      <c r="D26" s="33"/>
      <c r="E26" s="256"/>
      <c r="F26" s="256"/>
      <c r="G26" s="257"/>
    </row>
    <row r="27" spans="1:7" ht="13.5" customHeight="1" x14ac:dyDescent="0.2">
      <c r="A27" s="133" t="s">
        <v>512</v>
      </c>
      <c r="B27" s="30"/>
      <c r="C27" s="31" t="str">
        <f>C221</f>
        <v>Oktatás</v>
      </c>
      <c r="D27" s="32"/>
      <c r="E27" s="256">
        <f>E249</f>
        <v>671486956</v>
      </c>
      <c r="F27" s="256">
        <f>F249</f>
        <v>0</v>
      </c>
      <c r="G27" s="257">
        <f>G249</f>
        <v>671486956</v>
      </c>
    </row>
    <row r="28" spans="1:7" ht="13.5" customHeight="1" x14ac:dyDescent="0.2">
      <c r="A28" s="133"/>
      <c r="B28" s="30"/>
      <c r="C28" s="31"/>
      <c r="D28" s="32"/>
      <c r="E28" s="256"/>
      <c r="F28" s="256"/>
      <c r="G28" s="257"/>
    </row>
    <row r="29" spans="1:7" ht="13.5" customHeight="1" x14ac:dyDescent="0.2">
      <c r="A29" s="133" t="s">
        <v>513</v>
      </c>
      <c r="B29" s="30"/>
      <c r="C29" s="31" t="str">
        <f>C251</f>
        <v>Kulturális és idegenforgalmi feladatok</v>
      </c>
      <c r="D29" s="32"/>
      <c r="E29" s="258">
        <f>E302</f>
        <v>2597067367</v>
      </c>
      <c r="F29" s="258">
        <f>F302</f>
        <v>-900000</v>
      </c>
      <c r="G29" s="259">
        <f>G302</f>
        <v>2596167367</v>
      </c>
    </row>
    <row r="30" spans="1:7" ht="13.5" customHeight="1" x14ac:dyDescent="0.2">
      <c r="A30" s="133"/>
      <c r="B30" s="30"/>
      <c r="C30" s="31"/>
      <c r="D30" s="32"/>
      <c r="E30" s="256"/>
      <c r="F30" s="256"/>
      <c r="G30" s="257"/>
    </row>
    <row r="31" spans="1:7" ht="13.5" customHeight="1" x14ac:dyDescent="0.2">
      <c r="A31" s="133" t="s">
        <v>514</v>
      </c>
      <c r="B31" s="30"/>
      <c r="C31" s="31" t="str">
        <f>C304</f>
        <v>Sport</v>
      </c>
      <c r="D31" s="32"/>
      <c r="E31" s="258">
        <f>E356</f>
        <v>846164602</v>
      </c>
      <c r="F31" s="258">
        <f>F356</f>
        <v>25000000</v>
      </c>
      <c r="G31" s="259">
        <f>G356</f>
        <v>871164602</v>
      </c>
    </row>
    <row r="32" spans="1:7" ht="13.5" customHeight="1" x14ac:dyDescent="0.2">
      <c r="A32" s="133"/>
      <c r="B32" s="30"/>
      <c r="C32" s="31"/>
      <c r="D32" s="32"/>
      <c r="E32" s="256"/>
      <c r="F32" s="256"/>
      <c r="G32" s="257"/>
    </row>
    <row r="33" spans="1:7" ht="13.5" customHeight="1" x14ac:dyDescent="0.2">
      <c r="A33" s="133" t="s">
        <v>515</v>
      </c>
      <c r="B33" s="30"/>
      <c r="C33" s="31" t="str">
        <f>C358</f>
        <v>Központilag kezelt  feladatok</v>
      </c>
      <c r="D33" s="32"/>
      <c r="E33" s="260">
        <f>E430</f>
        <v>3779064694</v>
      </c>
      <c r="F33" s="260">
        <f>F430</f>
        <v>-40030000</v>
      </c>
      <c r="G33" s="261">
        <f>G430</f>
        <v>3739034694</v>
      </c>
    </row>
    <row r="34" spans="1:7" ht="13.5" customHeight="1" x14ac:dyDescent="0.2">
      <c r="A34" s="133"/>
      <c r="B34" s="30"/>
      <c r="C34" s="31"/>
      <c r="D34" s="32"/>
      <c r="E34" s="256"/>
      <c r="F34" s="256"/>
      <c r="G34" s="257"/>
    </row>
    <row r="35" spans="1:7" ht="13.5" customHeight="1" x14ac:dyDescent="0.2">
      <c r="A35" s="133" t="s">
        <v>516</v>
      </c>
      <c r="B35" s="30"/>
      <c r="C35" s="31" t="str">
        <f>C432</f>
        <v>Tartalékok</v>
      </c>
      <c r="D35" s="32"/>
      <c r="E35" s="260">
        <f>E440</f>
        <v>105271562</v>
      </c>
      <c r="F35" s="260">
        <f>F440</f>
        <v>-4176913</v>
      </c>
      <c r="G35" s="261">
        <f>G440</f>
        <v>101094649</v>
      </c>
    </row>
    <row r="36" spans="1:7" ht="13.5" customHeight="1" x14ac:dyDescent="0.2">
      <c r="A36" s="133"/>
      <c r="B36" s="30"/>
      <c r="C36" s="31"/>
      <c r="D36" s="32"/>
      <c r="E36" s="256"/>
      <c r="F36" s="256"/>
      <c r="G36" s="257"/>
    </row>
    <row r="37" spans="1:7" ht="13.5" customHeight="1" x14ac:dyDescent="0.2">
      <c r="A37" s="133" t="s">
        <v>517</v>
      </c>
      <c r="B37" s="30"/>
      <c r="C37" s="31" t="str">
        <f>C442</f>
        <v>Adósságszolgálat</v>
      </c>
      <c r="D37" s="32"/>
      <c r="E37" s="260">
        <f>E454</f>
        <v>197646727</v>
      </c>
      <c r="F37" s="260">
        <f>F454</f>
        <v>0</v>
      </c>
      <c r="G37" s="261">
        <f>G454</f>
        <v>197646727</v>
      </c>
    </row>
    <row r="38" spans="1:7" ht="13.5" customHeight="1" x14ac:dyDescent="0.2">
      <c r="A38" s="133"/>
      <c r="B38" s="30"/>
      <c r="C38" s="31"/>
      <c r="D38" s="32"/>
      <c r="E38" s="258"/>
      <c r="F38" s="258"/>
      <c r="G38" s="259"/>
    </row>
    <row r="39" spans="1:7" ht="13.5" customHeight="1" x14ac:dyDescent="0.2">
      <c r="A39" s="133" t="s">
        <v>518</v>
      </c>
      <c r="B39" s="30"/>
      <c r="C39" s="31" t="s">
        <v>209</v>
      </c>
      <c r="D39" s="32"/>
      <c r="E39" s="258">
        <f>E467</f>
        <v>85623385</v>
      </c>
      <c r="F39" s="258">
        <f>F467</f>
        <v>0</v>
      </c>
      <c r="G39" s="259">
        <f>G467</f>
        <v>85623385</v>
      </c>
    </row>
    <row r="40" spans="1:7" ht="13.5" customHeight="1" thickBot="1" x14ac:dyDescent="0.25">
      <c r="A40" s="135"/>
      <c r="B40" s="34"/>
      <c r="C40" s="35"/>
      <c r="D40" s="36"/>
      <c r="E40" s="260"/>
      <c r="F40" s="260"/>
      <c r="G40" s="261"/>
    </row>
    <row r="41" spans="1:7" ht="19.5" customHeight="1" thickTop="1" thickBot="1" x14ac:dyDescent="0.25">
      <c r="A41" s="136" t="s">
        <v>519</v>
      </c>
      <c r="B41" s="37"/>
      <c r="C41" s="38" t="s">
        <v>210</v>
      </c>
      <c r="D41" s="39"/>
      <c r="E41" s="262">
        <f>SUM(E16:E40)</f>
        <v>21119608491</v>
      </c>
      <c r="F41" s="262">
        <f>SUM(F16:F40)</f>
        <v>25432839</v>
      </c>
      <c r="G41" s="263">
        <f>SUM(G16:G40)</f>
        <v>21145041330</v>
      </c>
    </row>
    <row r="42" spans="1:7" ht="19.5" customHeight="1" thickBot="1" x14ac:dyDescent="0.25">
      <c r="A42" s="137" t="s">
        <v>520</v>
      </c>
      <c r="B42" s="40"/>
      <c r="C42" s="41"/>
      <c r="D42" s="42" t="s">
        <v>529</v>
      </c>
      <c r="E42" s="264">
        <v>246823628</v>
      </c>
      <c r="F42" s="264"/>
      <c r="G42" s="265">
        <f>SUM(E42:F42)</f>
        <v>246823628</v>
      </c>
    </row>
    <row r="43" spans="1:7" ht="19.5" customHeight="1" thickBot="1" x14ac:dyDescent="0.25">
      <c r="A43" s="137" t="s">
        <v>521</v>
      </c>
      <c r="B43" s="40"/>
      <c r="C43" s="41"/>
      <c r="D43" s="42" t="s">
        <v>211</v>
      </c>
      <c r="E43" s="266">
        <v>12442394</v>
      </c>
      <c r="F43" s="266"/>
      <c r="G43" s="265">
        <f t="shared" ref="G43:G45" si="0">SUM(E43:F43)</f>
        <v>12442394</v>
      </c>
    </row>
    <row r="44" spans="1:7" ht="19.5" customHeight="1" thickBot="1" x14ac:dyDescent="0.25">
      <c r="A44" s="137" t="s">
        <v>522</v>
      </c>
      <c r="B44" s="40"/>
      <c r="C44" s="43"/>
      <c r="D44" s="42" t="s">
        <v>212</v>
      </c>
      <c r="E44" s="264">
        <v>46563653942</v>
      </c>
      <c r="F44" s="264">
        <v>4814501463</v>
      </c>
      <c r="G44" s="265">
        <f t="shared" si="0"/>
        <v>51378155405</v>
      </c>
    </row>
    <row r="45" spans="1:7" ht="19.5" customHeight="1" thickBot="1" x14ac:dyDescent="0.25">
      <c r="A45" s="137" t="s">
        <v>523</v>
      </c>
      <c r="B45" s="40"/>
      <c r="C45" s="43"/>
      <c r="D45" s="42" t="s">
        <v>213</v>
      </c>
      <c r="E45" s="266">
        <v>511116874</v>
      </c>
      <c r="F45" s="266">
        <v>-18770600</v>
      </c>
      <c r="G45" s="265">
        <f t="shared" si="0"/>
        <v>492346274</v>
      </c>
    </row>
    <row r="46" spans="1:7" ht="19.5" customHeight="1" thickBot="1" x14ac:dyDescent="0.25">
      <c r="A46" s="138" t="s">
        <v>524</v>
      </c>
      <c r="B46" s="44"/>
      <c r="C46" s="45" t="s">
        <v>214</v>
      </c>
      <c r="D46" s="46"/>
      <c r="E46" s="267">
        <f>SUM(E41:E45)</f>
        <v>68453645329</v>
      </c>
      <c r="F46" s="267">
        <f>SUM(F41:F45)</f>
        <v>4821163702</v>
      </c>
      <c r="G46" s="268">
        <f>SUM(G41:G45)</f>
        <v>73274809031</v>
      </c>
    </row>
    <row r="47" spans="1:7" x14ac:dyDescent="0.2">
      <c r="A47" s="139">
        <v>20</v>
      </c>
      <c r="B47" s="47"/>
      <c r="C47" s="48" t="s">
        <v>215</v>
      </c>
      <c r="D47" s="142"/>
      <c r="E47" s="222"/>
      <c r="F47" s="222"/>
      <c r="G47" s="223"/>
    </row>
    <row r="48" spans="1:7" x14ac:dyDescent="0.2">
      <c r="A48" s="139">
        <v>21</v>
      </c>
      <c r="B48" s="49"/>
      <c r="C48" s="50"/>
      <c r="D48" s="174" t="s">
        <v>216</v>
      </c>
      <c r="E48" s="224">
        <f>E79+E115+E141+E159+E192+E227+E267+E320+E393+E438+E452+E464+E42+E43+E44+E45</f>
        <v>64877838117</v>
      </c>
      <c r="F48" s="224">
        <f>F79+F115+F141+F159+F192+F227+F267+F320+F393+F438+F452+F464+F42+F43+F44+F45</f>
        <v>4814246192</v>
      </c>
      <c r="G48" s="225">
        <f>G79+G115+G141+G159+G192+G227+G267+G320+G393+G438+G452+G464+G42+G43+G44+G45</f>
        <v>69692084309</v>
      </c>
    </row>
    <row r="49" spans="1:7" ht="13.5" thickBot="1" x14ac:dyDescent="0.25">
      <c r="A49" s="160">
        <v>22</v>
      </c>
      <c r="B49" s="51"/>
      <c r="C49" s="52"/>
      <c r="D49" s="175" t="s">
        <v>217</v>
      </c>
      <c r="E49" s="226">
        <f>E100+E123+E148+E167+E217+E247+E300+E354+E428</f>
        <v>3575807212</v>
      </c>
      <c r="F49" s="226">
        <f>F100+F123+F148+F167+F217+F247+F300+F354+F428</f>
        <v>6917510</v>
      </c>
      <c r="G49" s="227">
        <f>G100+G123+G148+G167+G217+G247+G300+G354+G428</f>
        <v>3582724722</v>
      </c>
    </row>
    <row r="50" spans="1:7" ht="13.5" customHeight="1" x14ac:dyDescent="0.25">
      <c r="A50" s="140"/>
      <c r="B50" s="53"/>
      <c r="C50" s="54"/>
      <c r="D50" s="55"/>
      <c r="E50" s="282"/>
      <c r="F50" s="282"/>
      <c r="G50" s="269"/>
    </row>
    <row r="51" spans="1:7" ht="13.5" customHeight="1" x14ac:dyDescent="0.25">
      <c r="A51" s="140">
        <v>23</v>
      </c>
      <c r="B51" s="53"/>
      <c r="C51" s="54" t="s">
        <v>218</v>
      </c>
      <c r="D51" s="55"/>
      <c r="E51" s="282"/>
      <c r="F51" s="282"/>
      <c r="G51" s="269"/>
    </row>
    <row r="52" spans="1:7" ht="15.75" x14ac:dyDescent="0.25">
      <c r="A52" s="141"/>
      <c r="B52" s="53"/>
      <c r="C52" s="54"/>
      <c r="D52" s="55"/>
      <c r="E52" s="282"/>
      <c r="F52" s="282"/>
      <c r="G52" s="269"/>
    </row>
    <row r="53" spans="1:7" ht="15.75" x14ac:dyDescent="0.25">
      <c r="A53" s="141">
        <v>24</v>
      </c>
      <c r="B53" s="53"/>
      <c r="C53" s="54" t="s">
        <v>219</v>
      </c>
      <c r="D53" s="55"/>
      <c r="E53" s="282"/>
      <c r="F53" s="282"/>
      <c r="G53" s="269"/>
    </row>
    <row r="54" spans="1:7" ht="15" x14ac:dyDescent="0.25">
      <c r="A54" s="141"/>
      <c r="B54" s="53"/>
      <c r="C54" s="56"/>
      <c r="D54" s="57"/>
      <c r="E54" s="282"/>
      <c r="F54" s="282"/>
      <c r="G54" s="269"/>
    </row>
    <row r="55" spans="1:7" ht="15" x14ac:dyDescent="0.25">
      <c r="A55" s="141">
        <v>25</v>
      </c>
      <c r="B55" s="53" t="s">
        <v>220</v>
      </c>
      <c r="C55" s="56"/>
      <c r="D55" s="57"/>
      <c r="E55" s="282"/>
      <c r="F55" s="282"/>
      <c r="G55" s="269"/>
    </row>
    <row r="56" spans="1:7" s="142" customFormat="1" ht="12.75" customHeight="1" x14ac:dyDescent="0.2">
      <c r="A56" s="141">
        <v>26</v>
      </c>
      <c r="B56" s="49" t="s">
        <v>2</v>
      </c>
      <c r="C56" s="58"/>
      <c r="D56" s="176" t="s">
        <v>530</v>
      </c>
      <c r="E56" s="233">
        <v>2289396722</v>
      </c>
      <c r="F56" s="233">
        <v>48692242</v>
      </c>
      <c r="G56" s="270">
        <f>SUM(E56:F56)</f>
        <v>2338088964</v>
      </c>
    </row>
    <row r="57" spans="1:7" s="142" customFormat="1" ht="12.75" customHeight="1" x14ac:dyDescent="0.2">
      <c r="A57" s="141">
        <v>27</v>
      </c>
      <c r="B57" s="59"/>
      <c r="C57" s="60"/>
      <c r="D57" s="177" t="s">
        <v>221</v>
      </c>
      <c r="E57" s="283"/>
      <c r="F57" s="283"/>
      <c r="G57" s="271"/>
    </row>
    <row r="58" spans="1:7" s="142" customFormat="1" ht="12.75" customHeight="1" x14ac:dyDescent="0.2">
      <c r="A58" s="140">
        <v>28</v>
      </c>
      <c r="B58" s="53"/>
      <c r="C58" s="61"/>
      <c r="D58" s="178" t="s">
        <v>222</v>
      </c>
      <c r="E58" s="282"/>
      <c r="F58" s="282"/>
      <c r="G58" s="269"/>
    </row>
    <row r="59" spans="1:7" s="142" customFormat="1" ht="12.75" customHeight="1" x14ac:dyDescent="0.25">
      <c r="A59" s="141">
        <v>29</v>
      </c>
      <c r="B59" s="49" t="s">
        <v>7</v>
      </c>
      <c r="C59" s="161"/>
      <c r="D59" s="179" t="s">
        <v>223</v>
      </c>
      <c r="E59" s="244">
        <f>80000000+7200000</f>
        <v>87200000</v>
      </c>
      <c r="F59" s="244"/>
      <c r="G59" s="270">
        <f t="shared" ref="G59:G68" si="1">SUM(E59:F59)</f>
        <v>87200000</v>
      </c>
    </row>
    <row r="60" spans="1:7" ht="12.75" customHeight="1" x14ac:dyDescent="0.25">
      <c r="A60" s="141">
        <v>30</v>
      </c>
      <c r="B60" s="62" t="s">
        <v>13</v>
      </c>
      <c r="C60" s="162"/>
      <c r="D60" s="179" t="s">
        <v>224</v>
      </c>
      <c r="E60" s="244">
        <f>30000000+2500000</f>
        <v>32500000</v>
      </c>
      <c r="F60" s="244"/>
      <c r="G60" s="270">
        <f t="shared" si="1"/>
        <v>32500000</v>
      </c>
    </row>
    <row r="61" spans="1:7" s="142" customFormat="1" ht="12.75" customHeight="1" x14ac:dyDescent="0.25">
      <c r="A61" s="141">
        <v>31</v>
      </c>
      <c r="B61" s="63" t="s">
        <v>14</v>
      </c>
      <c r="C61" s="163"/>
      <c r="D61" s="180" t="s">
        <v>225</v>
      </c>
      <c r="E61" s="284">
        <f>31200000+13000000</f>
        <v>44200000</v>
      </c>
      <c r="F61" s="284"/>
      <c r="G61" s="270">
        <f t="shared" si="1"/>
        <v>44200000</v>
      </c>
    </row>
    <row r="62" spans="1:7" s="142" customFormat="1" ht="12.75" customHeight="1" x14ac:dyDescent="0.25">
      <c r="A62" s="141">
        <v>32</v>
      </c>
      <c r="B62" s="63" t="s">
        <v>6</v>
      </c>
      <c r="C62" s="163"/>
      <c r="D62" s="180" t="s">
        <v>226</v>
      </c>
      <c r="E62" s="284">
        <f>130000000+55501437</f>
        <v>185501437</v>
      </c>
      <c r="F62" s="284"/>
      <c r="G62" s="270">
        <f t="shared" si="1"/>
        <v>185501437</v>
      </c>
    </row>
    <row r="63" spans="1:7" s="142" customFormat="1" ht="12.75" customHeight="1" x14ac:dyDescent="0.25">
      <c r="A63" s="141">
        <v>33</v>
      </c>
      <c r="B63" s="63" t="s">
        <v>5</v>
      </c>
      <c r="C63" s="163"/>
      <c r="D63" s="180" t="s">
        <v>227</v>
      </c>
      <c r="E63" s="284">
        <f>338584000+22750000</f>
        <v>361334000</v>
      </c>
      <c r="F63" s="284"/>
      <c r="G63" s="270">
        <f t="shared" si="1"/>
        <v>361334000</v>
      </c>
    </row>
    <row r="64" spans="1:7" s="142" customFormat="1" ht="12.75" customHeight="1" x14ac:dyDescent="0.25">
      <c r="A64" s="141">
        <v>34</v>
      </c>
      <c r="B64" s="63" t="s">
        <v>4</v>
      </c>
      <c r="C64" s="163"/>
      <c r="D64" s="180" t="s">
        <v>228</v>
      </c>
      <c r="E64" s="284">
        <v>1075000000</v>
      </c>
      <c r="F64" s="284"/>
      <c r="G64" s="270">
        <f t="shared" si="1"/>
        <v>1075000000</v>
      </c>
    </row>
    <row r="65" spans="1:7" s="142" customFormat="1" ht="12.75" customHeight="1" x14ac:dyDescent="0.25">
      <c r="A65" s="141">
        <v>35</v>
      </c>
      <c r="B65" s="63" t="s">
        <v>9</v>
      </c>
      <c r="C65" s="163"/>
      <c r="D65" s="180" t="s">
        <v>229</v>
      </c>
      <c r="E65" s="284">
        <v>502409000</v>
      </c>
      <c r="F65" s="284"/>
      <c r="G65" s="270">
        <f t="shared" si="1"/>
        <v>502409000</v>
      </c>
    </row>
    <row r="66" spans="1:7" s="142" customFormat="1" ht="30" x14ac:dyDescent="0.25">
      <c r="A66" s="141">
        <v>36</v>
      </c>
      <c r="B66" s="63" t="s">
        <v>10</v>
      </c>
      <c r="C66" s="163"/>
      <c r="D66" s="181" t="s">
        <v>230</v>
      </c>
      <c r="E66" s="284">
        <v>760175000</v>
      </c>
      <c r="F66" s="284"/>
      <c r="G66" s="270">
        <f t="shared" si="1"/>
        <v>760175000</v>
      </c>
    </row>
    <row r="67" spans="1:7" s="142" customFormat="1" ht="15" x14ac:dyDescent="0.25">
      <c r="A67" s="141">
        <v>37</v>
      </c>
      <c r="B67" s="63" t="s">
        <v>11</v>
      </c>
      <c r="C67" s="163"/>
      <c r="D67" s="181" t="s">
        <v>231</v>
      </c>
      <c r="E67" s="284">
        <v>100000000</v>
      </c>
      <c r="F67" s="284"/>
      <c r="G67" s="270">
        <f t="shared" si="1"/>
        <v>100000000</v>
      </c>
    </row>
    <row r="68" spans="1:7" s="142" customFormat="1" ht="15" x14ac:dyDescent="0.25">
      <c r="A68" s="141">
        <v>38</v>
      </c>
      <c r="B68" s="64" t="s">
        <v>8</v>
      </c>
      <c r="C68" s="163"/>
      <c r="D68" s="180" t="s">
        <v>232</v>
      </c>
      <c r="E68" s="284">
        <v>7647927</v>
      </c>
      <c r="F68" s="284"/>
      <c r="G68" s="270">
        <f t="shared" si="1"/>
        <v>7647927</v>
      </c>
    </row>
    <row r="69" spans="1:7" s="142" customFormat="1" ht="30" x14ac:dyDescent="0.25">
      <c r="A69" s="141">
        <v>39</v>
      </c>
      <c r="B69" s="63" t="s">
        <v>12</v>
      </c>
      <c r="C69" s="163"/>
      <c r="D69" s="181" t="s">
        <v>233</v>
      </c>
      <c r="E69" s="284">
        <f>60000000+60000000</f>
        <v>120000000</v>
      </c>
      <c r="F69" s="284"/>
      <c r="G69" s="270">
        <f>SUM(E69:F69)</f>
        <v>120000000</v>
      </c>
    </row>
    <row r="70" spans="1:7" s="142" customFormat="1" ht="30" x14ac:dyDescent="0.25">
      <c r="A70" s="141">
        <v>40</v>
      </c>
      <c r="B70" s="65" t="s">
        <v>488</v>
      </c>
      <c r="C70" s="66"/>
      <c r="D70" s="182" t="s">
        <v>489</v>
      </c>
      <c r="E70" s="283">
        <v>58111600</v>
      </c>
      <c r="F70" s="283"/>
      <c r="G70" s="270">
        <f>SUM(E70:F70)</f>
        <v>58111600</v>
      </c>
    </row>
    <row r="71" spans="1:7" s="142" customFormat="1" ht="12.75" customHeight="1" x14ac:dyDescent="0.2">
      <c r="A71" s="141">
        <v>41</v>
      </c>
      <c r="B71" s="65"/>
      <c r="C71" s="66"/>
      <c r="D71" s="183" t="s">
        <v>234</v>
      </c>
      <c r="E71" s="283"/>
      <c r="F71" s="283"/>
      <c r="G71" s="271"/>
    </row>
    <row r="72" spans="1:7" s="142" customFormat="1" ht="12.75" customHeight="1" x14ac:dyDescent="0.25">
      <c r="A72" s="141">
        <v>42</v>
      </c>
      <c r="B72" s="67" t="s">
        <v>17</v>
      </c>
      <c r="C72" s="161"/>
      <c r="D72" s="179" t="s">
        <v>235</v>
      </c>
      <c r="E72" s="244">
        <v>156017000</v>
      </c>
      <c r="F72" s="244"/>
      <c r="G72" s="270">
        <f t="shared" ref="G72:G77" si="2">SUM(E72:F72)</f>
        <v>156017000</v>
      </c>
    </row>
    <row r="73" spans="1:7" s="142" customFormat="1" ht="12.75" customHeight="1" x14ac:dyDescent="0.25">
      <c r="A73" s="141">
        <v>43</v>
      </c>
      <c r="B73" s="63" t="s">
        <v>18</v>
      </c>
      <c r="C73" s="163"/>
      <c r="D73" s="180" t="s">
        <v>236</v>
      </c>
      <c r="E73" s="284">
        <v>427911000</v>
      </c>
      <c r="F73" s="284"/>
      <c r="G73" s="270">
        <f t="shared" si="2"/>
        <v>427911000</v>
      </c>
    </row>
    <row r="74" spans="1:7" s="142" customFormat="1" ht="12.75" customHeight="1" x14ac:dyDescent="0.25">
      <c r="A74" s="141">
        <v>44</v>
      </c>
      <c r="B74" s="63" t="s">
        <v>19</v>
      </c>
      <c r="C74" s="163"/>
      <c r="D74" s="180" t="s">
        <v>237</v>
      </c>
      <c r="E74" s="284">
        <v>11308000</v>
      </c>
      <c r="F74" s="284"/>
      <c r="G74" s="270">
        <f t="shared" si="2"/>
        <v>11308000</v>
      </c>
    </row>
    <row r="75" spans="1:7" s="142" customFormat="1" ht="12.75" customHeight="1" x14ac:dyDescent="0.25">
      <c r="A75" s="141">
        <v>45</v>
      </c>
      <c r="B75" s="63" t="s">
        <v>20</v>
      </c>
      <c r="C75" s="163"/>
      <c r="D75" s="180" t="s">
        <v>238</v>
      </c>
      <c r="E75" s="284">
        <f>20000000+36219969</f>
        <v>56219969</v>
      </c>
      <c r="F75" s="284">
        <v>-5000000</v>
      </c>
      <c r="G75" s="270">
        <f t="shared" si="2"/>
        <v>51219969</v>
      </c>
    </row>
    <row r="76" spans="1:7" s="142" customFormat="1" ht="12.75" customHeight="1" x14ac:dyDescent="0.25">
      <c r="A76" s="141">
        <v>46</v>
      </c>
      <c r="B76" s="63" t="s">
        <v>22</v>
      </c>
      <c r="C76" s="163"/>
      <c r="D76" s="180" t="s">
        <v>239</v>
      </c>
      <c r="E76" s="284">
        <v>10000000</v>
      </c>
      <c r="F76" s="284"/>
      <c r="G76" s="270">
        <f t="shared" si="2"/>
        <v>10000000</v>
      </c>
    </row>
    <row r="77" spans="1:7" s="142" customFormat="1" ht="12.75" customHeight="1" x14ac:dyDescent="0.25">
      <c r="A77" s="141">
        <v>47</v>
      </c>
      <c r="B77" s="164" t="s">
        <v>30</v>
      </c>
      <c r="C77" s="161"/>
      <c r="D77" s="179" t="s">
        <v>240</v>
      </c>
      <c r="E77" s="244">
        <v>219160000</v>
      </c>
      <c r="F77" s="244"/>
      <c r="G77" s="270">
        <f t="shared" si="2"/>
        <v>219160000</v>
      </c>
    </row>
    <row r="78" spans="1:7" ht="12.75" customHeight="1" thickBot="1" x14ac:dyDescent="0.3">
      <c r="A78" s="141"/>
      <c r="B78" s="63"/>
      <c r="C78" s="68"/>
      <c r="D78" s="179"/>
      <c r="E78" s="244"/>
      <c r="F78" s="244"/>
      <c r="G78" s="272"/>
    </row>
    <row r="79" spans="1:7" s="143" customFormat="1" ht="15" customHeight="1" thickTop="1" thickBot="1" x14ac:dyDescent="0.25">
      <c r="A79" s="141">
        <v>48</v>
      </c>
      <c r="B79" s="69"/>
      <c r="C79" s="70" t="s">
        <v>241</v>
      </c>
      <c r="D79" s="184"/>
      <c r="E79" s="273">
        <f>SUM(E54:E78)</f>
        <v>6504091655</v>
      </c>
      <c r="F79" s="273">
        <f>SUM(F54:F78)</f>
        <v>43692242</v>
      </c>
      <c r="G79" s="274">
        <f>SUM(G54:G78)</f>
        <v>6547783897</v>
      </c>
    </row>
    <row r="80" spans="1:7" s="142" customFormat="1" ht="11.25" customHeight="1" thickTop="1" x14ac:dyDescent="0.25">
      <c r="A80" s="141"/>
      <c r="B80" s="53"/>
      <c r="C80" s="61"/>
      <c r="D80" s="57"/>
      <c r="E80" s="282"/>
      <c r="F80" s="282"/>
      <c r="G80" s="269"/>
    </row>
    <row r="81" spans="1:7" s="142" customFormat="1" ht="18" customHeight="1" x14ac:dyDescent="0.25">
      <c r="A81" s="141">
        <v>49</v>
      </c>
      <c r="B81" s="53"/>
      <c r="C81" s="54" t="s">
        <v>242</v>
      </c>
      <c r="D81" s="57"/>
      <c r="E81" s="282"/>
      <c r="F81" s="282"/>
      <c r="G81" s="269"/>
    </row>
    <row r="82" spans="1:7" s="142" customFormat="1" ht="12.75" customHeight="1" x14ac:dyDescent="0.25">
      <c r="A82" s="141"/>
      <c r="B82" s="53"/>
      <c r="C82" s="61"/>
      <c r="D82" s="57"/>
      <c r="E82" s="282"/>
      <c r="F82" s="282"/>
      <c r="G82" s="269"/>
    </row>
    <row r="83" spans="1:7" s="142" customFormat="1" ht="12.75" customHeight="1" x14ac:dyDescent="0.2">
      <c r="A83" s="141">
        <v>50</v>
      </c>
      <c r="B83" s="71" t="s">
        <v>220</v>
      </c>
      <c r="C83" s="58"/>
      <c r="D83" s="176"/>
      <c r="E83" s="244"/>
      <c r="F83" s="244"/>
      <c r="G83" s="272"/>
    </row>
    <row r="84" spans="1:7" s="142" customFormat="1" ht="12.75" customHeight="1" x14ac:dyDescent="0.25">
      <c r="A84" s="141"/>
      <c r="B84" s="72" t="s">
        <v>3</v>
      </c>
      <c r="C84" s="73"/>
      <c r="D84" s="180" t="s">
        <v>530</v>
      </c>
      <c r="E84" s="284">
        <v>111834580</v>
      </c>
      <c r="F84" s="284">
        <v>-692242</v>
      </c>
      <c r="G84" s="270">
        <f t="shared" ref="G84" si="3">SUM(E84:F84)</f>
        <v>111142338</v>
      </c>
    </row>
    <row r="85" spans="1:7" s="142" customFormat="1" ht="12.75" customHeight="1" x14ac:dyDescent="0.2">
      <c r="A85" s="153">
        <v>51</v>
      </c>
      <c r="B85" s="74"/>
      <c r="C85" s="66"/>
      <c r="D85" s="177" t="s">
        <v>221</v>
      </c>
      <c r="E85" s="283"/>
      <c r="F85" s="283"/>
      <c r="G85" s="271"/>
    </row>
    <row r="86" spans="1:7" s="142" customFormat="1" ht="12.75" customHeight="1" x14ac:dyDescent="0.2">
      <c r="A86" s="153">
        <v>52</v>
      </c>
      <c r="B86" s="75"/>
      <c r="C86" s="61"/>
      <c r="D86" s="178" t="s">
        <v>222</v>
      </c>
      <c r="E86" s="282"/>
      <c r="F86" s="282"/>
      <c r="G86" s="269"/>
    </row>
    <row r="87" spans="1:7" s="142" customFormat="1" ht="12.75" customHeight="1" x14ac:dyDescent="0.25">
      <c r="A87" s="153">
        <v>53</v>
      </c>
      <c r="B87" s="71" t="s">
        <v>1</v>
      </c>
      <c r="C87" s="161"/>
      <c r="D87" s="179" t="s">
        <v>243</v>
      </c>
      <c r="E87" s="244">
        <f>40000000+35278899</f>
        <v>75278899</v>
      </c>
      <c r="F87" s="244"/>
      <c r="G87" s="270">
        <f t="shared" ref="G87" si="4">SUM(E87:F87)</f>
        <v>75278899</v>
      </c>
    </row>
    <row r="88" spans="1:7" s="142" customFormat="1" ht="12.75" customHeight="1" x14ac:dyDescent="0.2">
      <c r="A88" s="153">
        <v>54</v>
      </c>
      <c r="B88" s="74"/>
      <c r="C88" s="66"/>
      <c r="D88" s="183" t="s">
        <v>244</v>
      </c>
      <c r="E88" s="283"/>
      <c r="F88" s="283"/>
      <c r="G88" s="271"/>
    </row>
    <row r="89" spans="1:7" s="142" customFormat="1" ht="12.75" customHeight="1" x14ac:dyDescent="0.25">
      <c r="A89" s="153">
        <v>55</v>
      </c>
      <c r="B89" s="71" t="s">
        <v>15</v>
      </c>
      <c r="C89" s="161"/>
      <c r="D89" s="179" t="s">
        <v>245</v>
      </c>
      <c r="E89" s="244">
        <f>80000000+50000000</f>
        <v>130000000</v>
      </c>
      <c r="F89" s="244"/>
      <c r="G89" s="270">
        <f t="shared" ref="G89:G98" si="5">SUM(E89:F89)</f>
        <v>130000000</v>
      </c>
    </row>
    <row r="90" spans="1:7" s="142" customFormat="1" ht="30" x14ac:dyDescent="0.25">
      <c r="A90" s="140">
        <v>56</v>
      </c>
      <c r="B90" s="71" t="s">
        <v>16</v>
      </c>
      <c r="C90" s="161"/>
      <c r="D90" s="185" t="s">
        <v>246</v>
      </c>
      <c r="E90" s="244">
        <f>85000000+38000000</f>
        <v>123000000</v>
      </c>
      <c r="F90" s="244"/>
      <c r="G90" s="270">
        <f t="shared" si="5"/>
        <v>123000000</v>
      </c>
    </row>
    <row r="91" spans="1:7" s="142" customFormat="1" ht="12.75" customHeight="1" x14ac:dyDescent="0.25">
      <c r="A91" s="140">
        <v>57</v>
      </c>
      <c r="B91" s="71" t="s">
        <v>21</v>
      </c>
      <c r="C91" s="161"/>
      <c r="D91" s="179" t="s">
        <v>238</v>
      </c>
      <c r="E91" s="244">
        <v>5873170</v>
      </c>
      <c r="F91" s="244">
        <v>-5000000</v>
      </c>
      <c r="G91" s="270">
        <f t="shared" si="5"/>
        <v>873170</v>
      </c>
    </row>
    <row r="92" spans="1:7" s="142" customFormat="1" ht="12.75" customHeight="1" x14ac:dyDescent="0.25">
      <c r="A92" s="140">
        <v>58</v>
      </c>
      <c r="B92" s="71" t="s">
        <v>23</v>
      </c>
      <c r="C92" s="161"/>
      <c r="D92" s="179" t="s">
        <v>247</v>
      </c>
      <c r="E92" s="244">
        <v>229032520</v>
      </c>
      <c r="F92" s="244">
        <v>2500000</v>
      </c>
      <c r="G92" s="270">
        <f t="shared" si="5"/>
        <v>231532520</v>
      </c>
    </row>
    <row r="93" spans="1:7" s="142" customFormat="1" ht="30" x14ac:dyDescent="0.25">
      <c r="A93" s="140">
        <v>59</v>
      </c>
      <c r="B93" s="76" t="s">
        <v>24</v>
      </c>
      <c r="C93" s="165"/>
      <c r="D93" s="186" t="s">
        <v>248</v>
      </c>
      <c r="E93" s="244">
        <v>4107180</v>
      </c>
      <c r="F93" s="244"/>
      <c r="G93" s="270">
        <f t="shared" si="5"/>
        <v>4107180</v>
      </c>
    </row>
    <row r="94" spans="1:7" s="142" customFormat="1" ht="12.75" customHeight="1" x14ac:dyDescent="0.25">
      <c r="A94" s="140">
        <v>60</v>
      </c>
      <c r="B94" s="76" t="s">
        <v>25</v>
      </c>
      <c r="C94" s="165"/>
      <c r="D94" s="187" t="s">
        <v>249</v>
      </c>
      <c r="E94" s="244">
        <v>2500000</v>
      </c>
      <c r="F94" s="244">
        <v>-2500000</v>
      </c>
      <c r="G94" s="270">
        <f t="shared" si="5"/>
        <v>0</v>
      </c>
    </row>
    <row r="95" spans="1:7" s="142" customFormat="1" ht="30" x14ac:dyDescent="0.25">
      <c r="A95" s="140">
        <v>61</v>
      </c>
      <c r="B95" s="71" t="s">
        <v>26</v>
      </c>
      <c r="C95" s="161"/>
      <c r="D95" s="185" t="s">
        <v>250</v>
      </c>
      <c r="E95" s="244">
        <v>32065000</v>
      </c>
      <c r="F95" s="244"/>
      <c r="G95" s="270">
        <f t="shared" si="5"/>
        <v>32065000</v>
      </c>
    </row>
    <row r="96" spans="1:7" s="142" customFormat="1" ht="12.75" customHeight="1" x14ac:dyDescent="0.25">
      <c r="A96" s="140">
        <v>62</v>
      </c>
      <c r="B96" s="64" t="s">
        <v>27</v>
      </c>
      <c r="C96" s="73"/>
      <c r="D96" s="180" t="s">
        <v>251</v>
      </c>
      <c r="E96" s="244">
        <v>1460248</v>
      </c>
      <c r="F96" s="244">
        <v>-1460248</v>
      </c>
      <c r="G96" s="270">
        <f t="shared" si="5"/>
        <v>0</v>
      </c>
    </row>
    <row r="97" spans="1:7" s="142" customFormat="1" ht="12.75" customHeight="1" x14ac:dyDescent="0.25">
      <c r="A97" s="140">
        <v>63</v>
      </c>
      <c r="B97" s="71" t="s">
        <v>28</v>
      </c>
      <c r="C97" s="161"/>
      <c r="D97" s="179" t="s">
        <v>252</v>
      </c>
      <c r="E97" s="244">
        <v>13641171</v>
      </c>
      <c r="F97" s="244"/>
      <c r="G97" s="270">
        <f t="shared" si="5"/>
        <v>13641171</v>
      </c>
    </row>
    <row r="98" spans="1:7" s="142" customFormat="1" ht="12.75" customHeight="1" x14ac:dyDescent="0.25">
      <c r="A98" s="140">
        <v>64</v>
      </c>
      <c r="B98" s="71" t="s">
        <v>29</v>
      </c>
      <c r="C98" s="161"/>
      <c r="D98" s="179" t="s">
        <v>253</v>
      </c>
      <c r="E98" s="244">
        <v>53722769</v>
      </c>
      <c r="F98" s="244"/>
      <c r="G98" s="270">
        <f t="shared" si="5"/>
        <v>53722769</v>
      </c>
    </row>
    <row r="99" spans="1:7" ht="12.75" customHeight="1" thickBot="1" x14ac:dyDescent="0.3">
      <c r="A99" s="141"/>
      <c r="B99" s="77"/>
      <c r="C99" s="73"/>
      <c r="D99" s="180"/>
      <c r="E99" s="284"/>
      <c r="F99" s="284"/>
      <c r="G99" s="275"/>
    </row>
    <row r="100" spans="1:7" s="143" customFormat="1" ht="15" customHeight="1" thickTop="1" thickBot="1" x14ac:dyDescent="0.25">
      <c r="A100" s="141">
        <v>65</v>
      </c>
      <c r="B100" s="69"/>
      <c r="C100" s="70" t="s">
        <v>254</v>
      </c>
      <c r="D100" s="184"/>
      <c r="E100" s="273">
        <f>SUM(E82:E99)</f>
        <v>782515537</v>
      </c>
      <c r="F100" s="273">
        <f>SUM(F82:F99)</f>
        <v>-7152490</v>
      </c>
      <c r="G100" s="274">
        <f>SUM(G82:G99)</f>
        <v>775363047</v>
      </c>
    </row>
    <row r="101" spans="1:7" ht="8.25" customHeight="1" thickTop="1" thickBot="1" x14ac:dyDescent="0.3">
      <c r="A101" s="141"/>
      <c r="B101" s="53"/>
      <c r="C101" s="78"/>
      <c r="D101" s="57"/>
      <c r="E101" s="282"/>
      <c r="F101" s="282"/>
      <c r="G101" s="269"/>
    </row>
    <row r="102" spans="1:7" s="144" customFormat="1" ht="15" customHeight="1" thickBot="1" x14ac:dyDescent="0.3">
      <c r="A102" s="160">
        <v>66</v>
      </c>
      <c r="B102" s="79"/>
      <c r="C102" s="80"/>
      <c r="D102" s="188" t="s">
        <v>255</v>
      </c>
      <c r="E102" s="229">
        <f>E79+E100</f>
        <v>7286607192</v>
      </c>
      <c r="F102" s="229">
        <f>F79+F100</f>
        <v>36539752</v>
      </c>
      <c r="G102" s="230">
        <f>G79+G100</f>
        <v>7323146944</v>
      </c>
    </row>
    <row r="103" spans="1:7" s="146" customFormat="1" ht="15" x14ac:dyDescent="0.25">
      <c r="A103" s="145"/>
      <c r="B103" s="75"/>
      <c r="C103" s="81"/>
      <c r="D103" s="189"/>
      <c r="E103" s="231"/>
      <c r="F103" s="231"/>
      <c r="G103" s="232"/>
    </row>
    <row r="104" spans="1:7" s="142" customFormat="1" ht="15.75" x14ac:dyDescent="0.25">
      <c r="A104" s="141">
        <v>67</v>
      </c>
      <c r="B104" s="53"/>
      <c r="C104" s="82" t="s">
        <v>256</v>
      </c>
      <c r="E104" s="222"/>
      <c r="F104" s="222"/>
      <c r="G104" s="223"/>
    </row>
    <row r="105" spans="1:7" x14ac:dyDescent="0.2">
      <c r="A105" s="141"/>
      <c r="B105" s="53"/>
      <c r="C105" s="83"/>
      <c r="D105" s="190"/>
      <c r="E105" s="222"/>
      <c r="F105" s="222"/>
      <c r="G105" s="223"/>
    </row>
    <row r="106" spans="1:7" ht="15.75" x14ac:dyDescent="0.25">
      <c r="A106" s="141">
        <v>68</v>
      </c>
      <c r="B106" s="53"/>
      <c r="C106" s="54" t="s">
        <v>219</v>
      </c>
      <c r="D106" s="190"/>
      <c r="E106" s="222"/>
      <c r="F106" s="222"/>
      <c r="G106" s="223"/>
    </row>
    <row r="107" spans="1:7" x14ac:dyDescent="0.2">
      <c r="A107" s="141"/>
      <c r="B107" s="53"/>
      <c r="C107" s="83"/>
      <c r="D107" s="190"/>
      <c r="E107" s="222"/>
      <c r="F107" s="222"/>
      <c r="G107" s="223"/>
    </row>
    <row r="108" spans="1:7" s="148" customFormat="1" x14ac:dyDescent="0.2">
      <c r="A108" s="147">
        <v>69</v>
      </c>
      <c r="B108" s="67" t="s">
        <v>39</v>
      </c>
      <c r="C108" s="84"/>
      <c r="D108" s="191" t="s">
        <v>257</v>
      </c>
      <c r="E108" s="228">
        <f>300000+150000</f>
        <v>450000</v>
      </c>
      <c r="F108" s="228"/>
      <c r="G108" s="270">
        <f t="shared" ref="G108:G113" si="6">SUM(E108:F108)</f>
        <v>450000</v>
      </c>
    </row>
    <row r="109" spans="1:7" ht="15" x14ac:dyDescent="0.25">
      <c r="A109" s="141">
        <v>70</v>
      </c>
      <c r="B109" s="77" t="s">
        <v>33</v>
      </c>
      <c r="C109" s="68"/>
      <c r="D109" s="179" t="s">
        <v>258</v>
      </c>
      <c r="E109" s="224">
        <v>2000000</v>
      </c>
      <c r="F109" s="224"/>
      <c r="G109" s="270">
        <f t="shared" si="6"/>
        <v>2000000</v>
      </c>
    </row>
    <row r="110" spans="1:7" ht="15" x14ac:dyDescent="0.25">
      <c r="A110" s="141">
        <v>71</v>
      </c>
      <c r="B110" s="77" t="s">
        <v>34</v>
      </c>
      <c r="C110" s="68"/>
      <c r="D110" s="179" t="s">
        <v>259</v>
      </c>
      <c r="E110" s="224">
        <f>3000000+2000000+500000</f>
        <v>5500000</v>
      </c>
      <c r="F110" s="224"/>
      <c r="G110" s="270">
        <f t="shared" si="6"/>
        <v>5500000</v>
      </c>
    </row>
    <row r="111" spans="1:7" ht="15" x14ac:dyDescent="0.25">
      <c r="A111" s="141">
        <v>72</v>
      </c>
      <c r="B111" s="77" t="s">
        <v>37</v>
      </c>
      <c r="C111" s="68"/>
      <c r="D111" s="179" t="s">
        <v>260</v>
      </c>
      <c r="E111" s="224">
        <f>2000000+600000</f>
        <v>2600000</v>
      </c>
      <c r="F111" s="224"/>
      <c r="G111" s="270">
        <f t="shared" si="6"/>
        <v>2600000</v>
      </c>
    </row>
    <row r="112" spans="1:7" ht="15" x14ac:dyDescent="0.25">
      <c r="A112" s="141">
        <v>73</v>
      </c>
      <c r="B112" s="77" t="s">
        <v>31</v>
      </c>
      <c r="C112" s="68"/>
      <c r="D112" s="179" t="s">
        <v>261</v>
      </c>
      <c r="E112" s="224">
        <f>500000+1696729</f>
        <v>2196729</v>
      </c>
      <c r="F112" s="224"/>
      <c r="G112" s="270">
        <f t="shared" si="6"/>
        <v>2196729</v>
      </c>
    </row>
    <row r="113" spans="1:7" ht="15" x14ac:dyDescent="0.25">
      <c r="A113" s="141">
        <v>74</v>
      </c>
      <c r="B113" s="77" t="s">
        <v>36</v>
      </c>
      <c r="C113" s="68"/>
      <c r="D113" s="179" t="s">
        <v>262</v>
      </c>
      <c r="E113" s="224">
        <v>10000000</v>
      </c>
      <c r="F113" s="224"/>
      <c r="G113" s="270">
        <f t="shared" si="6"/>
        <v>10000000</v>
      </c>
    </row>
    <row r="114" spans="1:7" ht="15.75" thickBot="1" x14ac:dyDescent="0.3">
      <c r="A114" s="141"/>
      <c r="B114" s="64"/>
      <c r="C114" s="68"/>
      <c r="D114" s="179"/>
      <c r="E114" s="224"/>
      <c r="F114" s="224"/>
      <c r="G114" s="225"/>
    </row>
    <row r="115" spans="1:7" s="143" customFormat="1" ht="15" customHeight="1" thickTop="1" thickBot="1" x14ac:dyDescent="0.25">
      <c r="A115" s="141">
        <v>75</v>
      </c>
      <c r="B115" s="69"/>
      <c r="C115" s="70" t="s">
        <v>241</v>
      </c>
      <c r="D115" s="184"/>
      <c r="E115" s="273">
        <f>SUM(E106:E114)</f>
        <v>22746729</v>
      </c>
      <c r="F115" s="273">
        <f>SUM(F106:F114)</f>
        <v>0</v>
      </c>
      <c r="G115" s="274">
        <f>SUM(G106:G114)</f>
        <v>22746729</v>
      </c>
    </row>
    <row r="116" spans="1:7" s="142" customFormat="1" ht="18" customHeight="1" thickTop="1" x14ac:dyDescent="0.25">
      <c r="A116" s="141"/>
      <c r="B116" s="53"/>
      <c r="C116" s="54"/>
      <c r="D116" s="57"/>
      <c r="E116" s="282"/>
      <c r="F116" s="282"/>
      <c r="G116" s="269"/>
    </row>
    <row r="117" spans="1:7" s="142" customFormat="1" ht="17.25" customHeight="1" x14ac:dyDescent="0.25">
      <c r="A117" s="141">
        <v>76</v>
      </c>
      <c r="B117" s="53"/>
      <c r="C117" s="54" t="s">
        <v>242</v>
      </c>
      <c r="D117" s="57"/>
      <c r="E117" s="282"/>
      <c r="F117" s="282"/>
      <c r="G117" s="269"/>
    </row>
    <row r="118" spans="1:7" ht="15" x14ac:dyDescent="0.25">
      <c r="A118" s="141"/>
      <c r="B118" s="53"/>
      <c r="C118" s="56"/>
      <c r="D118" s="190"/>
      <c r="E118" s="222"/>
      <c r="F118" s="222"/>
      <c r="G118" s="223"/>
    </row>
    <row r="119" spans="1:7" ht="15" x14ac:dyDescent="0.25">
      <c r="A119" s="141">
        <v>77</v>
      </c>
      <c r="B119" s="49" t="s">
        <v>35</v>
      </c>
      <c r="C119" s="68"/>
      <c r="D119" s="179" t="s">
        <v>263</v>
      </c>
      <c r="E119" s="224">
        <f>200000+800000</f>
        <v>1000000</v>
      </c>
      <c r="F119" s="224"/>
      <c r="G119" s="270">
        <f t="shared" ref="G119:G121" si="7">SUM(E119:F119)</f>
        <v>1000000</v>
      </c>
    </row>
    <row r="120" spans="1:7" ht="15" x14ac:dyDescent="0.25">
      <c r="A120" s="141">
        <v>78</v>
      </c>
      <c r="B120" s="63" t="s">
        <v>38</v>
      </c>
      <c r="C120" s="68"/>
      <c r="D120" s="179" t="s">
        <v>264</v>
      </c>
      <c r="E120" s="224">
        <f>500000+1500000</f>
        <v>2000000</v>
      </c>
      <c r="F120" s="224"/>
      <c r="G120" s="270">
        <f t="shared" si="7"/>
        <v>2000000</v>
      </c>
    </row>
    <row r="121" spans="1:7" ht="15" x14ac:dyDescent="0.25">
      <c r="A121" s="141">
        <v>79</v>
      </c>
      <c r="B121" s="63" t="s">
        <v>32</v>
      </c>
      <c r="C121" s="68"/>
      <c r="D121" s="179" t="s">
        <v>265</v>
      </c>
      <c r="E121" s="224">
        <f>200000+81000</f>
        <v>281000</v>
      </c>
      <c r="F121" s="224"/>
      <c r="G121" s="270">
        <f t="shared" si="7"/>
        <v>281000</v>
      </c>
    </row>
    <row r="122" spans="1:7" ht="15.75" thickBot="1" x14ac:dyDescent="0.3">
      <c r="A122" s="141"/>
      <c r="B122" s="63"/>
      <c r="C122" s="68"/>
      <c r="D122" s="192"/>
      <c r="E122" s="224"/>
      <c r="F122" s="224"/>
      <c r="G122" s="225"/>
    </row>
    <row r="123" spans="1:7" s="143" customFormat="1" ht="15" customHeight="1" thickTop="1" thickBot="1" x14ac:dyDescent="0.25">
      <c r="A123" s="141">
        <v>80</v>
      </c>
      <c r="B123" s="69"/>
      <c r="C123" s="70" t="s">
        <v>254</v>
      </c>
      <c r="D123" s="184"/>
      <c r="E123" s="273">
        <f>SUM(E117:E122)</f>
        <v>3281000</v>
      </c>
      <c r="F123" s="273">
        <f>SUM(F117:F122)</f>
        <v>0</v>
      </c>
      <c r="G123" s="274">
        <f>SUM(G117:G122)</f>
        <v>3281000</v>
      </c>
    </row>
    <row r="124" spans="1:7" ht="14.25" thickTop="1" thickBot="1" x14ac:dyDescent="0.25">
      <c r="A124" s="141"/>
      <c r="B124" s="53"/>
      <c r="C124" s="78"/>
      <c r="D124" s="190"/>
      <c r="E124" s="222"/>
      <c r="F124" s="222"/>
      <c r="G124" s="223"/>
    </row>
    <row r="125" spans="1:7" s="144" customFormat="1" ht="15" customHeight="1" thickBot="1" x14ac:dyDescent="0.3">
      <c r="A125" s="160">
        <v>81</v>
      </c>
      <c r="B125" s="79"/>
      <c r="C125" s="85"/>
      <c r="D125" s="193" t="s">
        <v>266</v>
      </c>
      <c r="E125" s="229">
        <f>E115+E123</f>
        <v>26027729</v>
      </c>
      <c r="F125" s="229">
        <f>F115+F123</f>
        <v>0</v>
      </c>
      <c r="G125" s="230">
        <f>G115+G123</f>
        <v>26027729</v>
      </c>
    </row>
    <row r="126" spans="1:7" s="149" customFormat="1" x14ac:dyDescent="0.2">
      <c r="A126" s="145"/>
      <c r="B126" s="75"/>
      <c r="C126" s="86"/>
      <c r="D126" s="194"/>
      <c r="E126" s="231"/>
      <c r="F126" s="231"/>
      <c r="G126" s="232"/>
    </row>
    <row r="127" spans="1:7" s="142" customFormat="1" ht="15.75" x14ac:dyDescent="0.25">
      <c r="A127" s="141">
        <v>82</v>
      </c>
      <c r="B127" s="53"/>
      <c r="C127" s="82" t="s">
        <v>267</v>
      </c>
      <c r="E127" s="222"/>
      <c r="F127" s="222"/>
      <c r="G127" s="223"/>
    </row>
    <row r="128" spans="1:7" x14ac:dyDescent="0.2">
      <c r="A128" s="141"/>
      <c r="B128" s="53"/>
      <c r="C128" s="83"/>
      <c r="D128" s="195"/>
      <c r="E128" s="222"/>
      <c r="F128" s="222"/>
      <c r="G128" s="223"/>
    </row>
    <row r="129" spans="1:7" ht="15.75" x14ac:dyDescent="0.25">
      <c r="A129" s="141">
        <v>83</v>
      </c>
      <c r="B129" s="53"/>
      <c r="C129" s="54" t="s">
        <v>219</v>
      </c>
      <c r="D129" s="195"/>
      <c r="E129" s="222"/>
      <c r="F129" s="222"/>
      <c r="G129" s="223"/>
    </row>
    <row r="130" spans="1:7" x14ac:dyDescent="0.2">
      <c r="A130" s="141"/>
      <c r="B130" s="53"/>
      <c r="C130" s="83"/>
      <c r="D130" s="195"/>
      <c r="E130" s="222"/>
      <c r="F130" s="222"/>
      <c r="G130" s="223"/>
    </row>
    <row r="131" spans="1:7" s="134" customFormat="1" ht="15" x14ac:dyDescent="0.25">
      <c r="A131" s="157">
        <v>84</v>
      </c>
      <c r="B131" s="158" t="s">
        <v>40</v>
      </c>
      <c r="C131" s="159"/>
      <c r="D131" s="196" t="s">
        <v>268</v>
      </c>
      <c r="E131" s="233">
        <f>2500000+500000</f>
        <v>3000000</v>
      </c>
      <c r="F131" s="233"/>
      <c r="G131" s="270">
        <f t="shared" ref="G131" si="8">SUM(E131:F131)</f>
        <v>3000000</v>
      </c>
    </row>
    <row r="132" spans="1:7" x14ac:dyDescent="0.2">
      <c r="A132" s="141">
        <v>85</v>
      </c>
      <c r="B132" s="59"/>
      <c r="C132" s="66"/>
      <c r="D132" s="183" t="s">
        <v>269</v>
      </c>
      <c r="E132" s="234"/>
      <c r="F132" s="234"/>
      <c r="G132" s="235"/>
    </row>
    <row r="133" spans="1:7" s="134" customFormat="1" ht="15" x14ac:dyDescent="0.25">
      <c r="A133" s="157">
        <v>86</v>
      </c>
      <c r="B133" s="287" t="s">
        <v>45</v>
      </c>
      <c r="C133" s="159"/>
      <c r="D133" s="196" t="s">
        <v>270</v>
      </c>
      <c r="E133" s="233">
        <v>1839133511</v>
      </c>
      <c r="F133" s="233"/>
      <c r="G133" s="270">
        <f t="shared" ref="G133:G139" si="9">SUM(E133:F133)</f>
        <v>1839133511</v>
      </c>
    </row>
    <row r="134" spans="1:7" s="134" customFormat="1" ht="15" x14ac:dyDescent="0.25">
      <c r="A134" s="157">
        <v>87</v>
      </c>
      <c r="B134" s="76" t="s">
        <v>46</v>
      </c>
      <c r="C134" s="159"/>
      <c r="D134" s="187" t="s">
        <v>271</v>
      </c>
      <c r="E134" s="233">
        <f>20000000+2079995</f>
        <v>22079995</v>
      </c>
      <c r="F134" s="233"/>
      <c r="G134" s="270">
        <f t="shared" si="9"/>
        <v>22079995</v>
      </c>
    </row>
    <row r="135" spans="1:7" s="134" customFormat="1" ht="15" x14ac:dyDescent="0.25">
      <c r="A135" s="157">
        <v>88</v>
      </c>
      <c r="B135" s="76" t="s">
        <v>42</v>
      </c>
      <c r="C135" s="159"/>
      <c r="D135" s="196" t="s">
        <v>272</v>
      </c>
      <c r="E135" s="233">
        <v>277560000</v>
      </c>
      <c r="F135" s="233"/>
      <c r="G135" s="270">
        <f t="shared" si="9"/>
        <v>277560000</v>
      </c>
    </row>
    <row r="136" spans="1:7" s="134" customFormat="1" ht="15" x14ac:dyDescent="0.25">
      <c r="A136" s="157">
        <v>89</v>
      </c>
      <c r="B136" s="76" t="s">
        <v>43</v>
      </c>
      <c r="C136" s="159"/>
      <c r="D136" s="196" t="s">
        <v>273</v>
      </c>
      <c r="E136" s="233">
        <v>20334000</v>
      </c>
      <c r="F136" s="233"/>
      <c r="G136" s="270">
        <f t="shared" si="9"/>
        <v>20334000</v>
      </c>
    </row>
    <row r="137" spans="1:7" s="134" customFormat="1" ht="15" x14ac:dyDescent="0.25">
      <c r="A137" s="157">
        <v>90</v>
      </c>
      <c r="B137" s="76" t="s">
        <v>44</v>
      </c>
      <c r="C137" s="159"/>
      <c r="D137" s="196" t="s">
        <v>274</v>
      </c>
      <c r="E137" s="233">
        <v>441653405</v>
      </c>
      <c r="F137" s="233"/>
      <c r="G137" s="270">
        <f t="shared" si="9"/>
        <v>441653405</v>
      </c>
    </row>
    <row r="138" spans="1:7" s="134" customFormat="1" ht="15" x14ac:dyDescent="0.25">
      <c r="A138" s="157">
        <v>91</v>
      </c>
      <c r="B138" s="76" t="s">
        <v>41</v>
      </c>
      <c r="C138" s="159"/>
      <c r="D138" s="196" t="s">
        <v>275</v>
      </c>
      <c r="E138" s="233">
        <f>3000000+2281303</f>
        <v>5281303</v>
      </c>
      <c r="F138" s="233"/>
      <c r="G138" s="270">
        <f t="shared" si="9"/>
        <v>5281303</v>
      </c>
    </row>
    <row r="139" spans="1:7" s="134" customFormat="1" ht="30" x14ac:dyDescent="0.25">
      <c r="A139" s="157">
        <v>92</v>
      </c>
      <c r="B139" s="76" t="s">
        <v>47</v>
      </c>
      <c r="C139" s="165"/>
      <c r="D139" s="186" t="s">
        <v>276</v>
      </c>
      <c r="E139" s="288">
        <v>22741974</v>
      </c>
      <c r="F139" s="288"/>
      <c r="G139" s="270">
        <f t="shared" si="9"/>
        <v>22741974</v>
      </c>
    </row>
    <row r="140" spans="1:7" ht="13.5" thickBot="1" x14ac:dyDescent="0.25">
      <c r="A140" s="141"/>
      <c r="B140" s="53"/>
      <c r="C140" s="87"/>
      <c r="D140" s="190"/>
      <c r="E140" s="222"/>
      <c r="F140" s="222"/>
      <c r="G140" s="223"/>
    </row>
    <row r="141" spans="1:7" s="143" customFormat="1" ht="15" customHeight="1" thickTop="1" thickBot="1" x14ac:dyDescent="0.25">
      <c r="A141" s="141">
        <v>93</v>
      </c>
      <c r="B141" s="69"/>
      <c r="C141" s="70" t="s">
        <v>241</v>
      </c>
      <c r="D141" s="184"/>
      <c r="E141" s="273">
        <f>SUM(E130:E140)</f>
        <v>2631784188</v>
      </c>
      <c r="F141" s="273">
        <f>SUM(F130:F140)</f>
        <v>0</v>
      </c>
      <c r="G141" s="274">
        <f>SUM(G130:G140)</f>
        <v>2631784188</v>
      </c>
    </row>
    <row r="142" spans="1:7" s="143" customFormat="1" ht="15" customHeight="1" thickTop="1" x14ac:dyDescent="0.2">
      <c r="A142" s="141"/>
      <c r="B142" s="88"/>
      <c r="C142" s="78"/>
      <c r="D142" s="55"/>
      <c r="E142" s="276"/>
      <c r="F142" s="276"/>
      <c r="G142" s="277"/>
    </row>
    <row r="143" spans="1:7" s="142" customFormat="1" ht="17.25" customHeight="1" x14ac:dyDescent="0.25">
      <c r="A143" s="141">
        <v>94</v>
      </c>
      <c r="B143" s="53"/>
      <c r="C143" s="54" t="s">
        <v>242</v>
      </c>
      <c r="D143" s="57"/>
      <c r="E143" s="282"/>
      <c r="F143" s="282"/>
      <c r="G143" s="269"/>
    </row>
    <row r="144" spans="1:7" ht="15" x14ac:dyDescent="0.25">
      <c r="A144" s="141"/>
      <c r="B144" s="53"/>
      <c r="C144" s="56"/>
      <c r="D144" s="190"/>
      <c r="E144" s="222"/>
      <c r="F144" s="222"/>
      <c r="G144" s="223"/>
    </row>
    <row r="145" spans="1:7" s="134" customFormat="1" x14ac:dyDescent="0.2">
      <c r="A145" s="157">
        <v>95</v>
      </c>
      <c r="B145" s="158" t="s">
        <v>49</v>
      </c>
      <c r="C145" s="289"/>
      <c r="D145" s="290" t="s">
        <v>277</v>
      </c>
      <c r="E145" s="233">
        <v>24035592</v>
      </c>
      <c r="F145" s="233"/>
      <c r="G145" s="270">
        <f t="shared" ref="G145:G146" si="10">SUM(E145:F145)</f>
        <v>24035592</v>
      </c>
    </row>
    <row r="146" spans="1:7" s="134" customFormat="1" x14ac:dyDescent="0.2">
      <c r="A146" s="157">
        <v>96</v>
      </c>
      <c r="B146" s="158" t="s">
        <v>48</v>
      </c>
      <c r="C146" s="289"/>
      <c r="D146" s="290" t="s">
        <v>278</v>
      </c>
      <c r="E146" s="233">
        <v>25000000</v>
      </c>
      <c r="F146" s="233"/>
      <c r="G146" s="270">
        <f t="shared" si="10"/>
        <v>25000000</v>
      </c>
    </row>
    <row r="147" spans="1:7" ht="15.75" thickBot="1" x14ac:dyDescent="0.3">
      <c r="A147" s="141"/>
      <c r="B147" s="77"/>
      <c r="C147" s="68"/>
      <c r="D147" s="192"/>
      <c r="E147" s="224"/>
      <c r="F147" s="224"/>
      <c r="G147" s="225"/>
    </row>
    <row r="148" spans="1:7" s="143" customFormat="1" ht="15" customHeight="1" thickTop="1" thickBot="1" x14ac:dyDescent="0.25">
      <c r="A148" s="141">
        <v>97</v>
      </c>
      <c r="B148" s="69"/>
      <c r="C148" s="70" t="s">
        <v>254</v>
      </c>
      <c r="D148" s="184"/>
      <c r="E148" s="273">
        <f>SUM(E143:E147)</f>
        <v>49035592</v>
      </c>
      <c r="F148" s="273">
        <f>SUM(F143:F147)</f>
        <v>0</v>
      </c>
      <c r="G148" s="274">
        <f>SUM(G143:G147)</f>
        <v>49035592</v>
      </c>
    </row>
    <row r="149" spans="1:7" ht="14.25" thickTop="1" thickBot="1" x14ac:dyDescent="0.25">
      <c r="A149" s="141"/>
      <c r="B149" s="53"/>
      <c r="C149" s="78"/>
      <c r="D149" s="190"/>
      <c r="E149" s="222"/>
      <c r="F149" s="222"/>
      <c r="G149" s="223"/>
    </row>
    <row r="150" spans="1:7" s="144" customFormat="1" ht="15" customHeight="1" thickBot="1" x14ac:dyDescent="0.3">
      <c r="A150" s="139">
        <v>98</v>
      </c>
      <c r="B150" s="79"/>
      <c r="C150" s="85"/>
      <c r="D150" s="193" t="s">
        <v>279</v>
      </c>
      <c r="E150" s="229">
        <f>E141+E148</f>
        <v>2680819780</v>
      </c>
      <c r="F150" s="229">
        <f>F141+F148</f>
        <v>0</v>
      </c>
      <c r="G150" s="230">
        <f>G141+G148</f>
        <v>2680819780</v>
      </c>
    </row>
    <row r="151" spans="1:7" s="149" customFormat="1" x14ac:dyDescent="0.2">
      <c r="A151" s="145"/>
      <c r="B151" s="75"/>
      <c r="C151" s="86"/>
      <c r="D151" s="194"/>
      <c r="E151" s="231"/>
      <c r="F151" s="231"/>
      <c r="G151" s="232"/>
    </row>
    <row r="152" spans="1:7" ht="15.75" x14ac:dyDescent="0.25">
      <c r="A152" s="141">
        <v>99</v>
      </c>
      <c r="B152" s="53"/>
      <c r="C152" s="82" t="s">
        <v>280</v>
      </c>
      <c r="D152" s="142"/>
      <c r="E152" s="222"/>
      <c r="F152" s="222"/>
      <c r="G152" s="223"/>
    </row>
    <row r="153" spans="1:7" x14ac:dyDescent="0.2">
      <c r="A153" s="141"/>
      <c r="B153" s="53"/>
      <c r="C153" s="83"/>
      <c r="D153" s="195"/>
      <c r="E153" s="222"/>
      <c r="F153" s="222"/>
      <c r="G153" s="223"/>
    </row>
    <row r="154" spans="1:7" ht="15.75" x14ac:dyDescent="0.25">
      <c r="A154" s="141">
        <v>100</v>
      </c>
      <c r="B154" s="90"/>
      <c r="C154" s="54" t="s">
        <v>219</v>
      </c>
      <c r="D154" s="197"/>
      <c r="E154" s="222"/>
      <c r="F154" s="222"/>
      <c r="G154" s="223"/>
    </row>
    <row r="155" spans="1:7" x14ac:dyDescent="0.2">
      <c r="A155" s="141"/>
      <c r="B155" s="90"/>
      <c r="C155" s="91"/>
      <c r="D155" s="197"/>
      <c r="E155" s="222"/>
      <c r="F155" s="222"/>
      <c r="G155" s="223"/>
    </row>
    <row r="156" spans="1:7" x14ac:dyDescent="0.2">
      <c r="A156" s="141">
        <v>101</v>
      </c>
      <c r="B156" s="92" t="s">
        <v>50</v>
      </c>
      <c r="C156" s="93"/>
      <c r="D156" s="198" t="s">
        <v>281</v>
      </c>
      <c r="E156" s="224">
        <f>11932687+6469866+212952-39990</f>
        <v>18575515</v>
      </c>
      <c r="F156" s="224"/>
      <c r="G156" s="270">
        <f t="shared" ref="G156:G157" si="11">SUM(E156:F156)</f>
        <v>18575515</v>
      </c>
    </row>
    <row r="157" spans="1:7" x14ac:dyDescent="0.2">
      <c r="A157" s="141">
        <v>102</v>
      </c>
      <c r="B157" s="64" t="s">
        <v>53</v>
      </c>
      <c r="C157" s="94"/>
      <c r="D157" s="199" t="s">
        <v>282</v>
      </c>
      <c r="E157" s="236">
        <v>3420000</v>
      </c>
      <c r="F157" s="236"/>
      <c r="G157" s="270">
        <f t="shared" si="11"/>
        <v>3420000</v>
      </c>
    </row>
    <row r="158" spans="1:7" ht="13.5" thickBot="1" x14ac:dyDescent="0.25">
      <c r="A158" s="141"/>
      <c r="B158" s="90"/>
      <c r="C158" s="91"/>
      <c r="D158" s="200"/>
      <c r="E158" s="222"/>
      <c r="F158" s="222"/>
      <c r="G158" s="223"/>
    </row>
    <row r="159" spans="1:7" s="143" customFormat="1" ht="15" customHeight="1" thickTop="1" thickBot="1" x14ac:dyDescent="0.25">
      <c r="A159" s="141">
        <v>103</v>
      </c>
      <c r="B159" s="69"/>
      <c r="C159" s="70" t="s">
        <v>241</v>
      </c>
      <c r="D159" s="184"/>
      <c r="E159" s="273">
        <f>SUM(E154:E158)</f>
        <v>21995515</v>
      </c>
      <c r="F159" s="273">
        <f>SUM(F154:F158)</f>
        <v>0</v>
      </c>
      <c r="G159" s="274">
        <f>SUM(G154:G158)</f>
        <v>21995515</v>
      </c>
    </row>
    <row r="160" spans="1:7" ht="16.5" thickTop="1" x14ac:dyDescent="0.25">
      <c r="A160" s="141"/>
      <c r="B160" s="53"/>
      <c r="C160" s="54"/>
      <c r="D160" s="190"/>
      <c r="E160" s="222"/>
      <c r="F160" s="222"/>
      <c r="G160" s="223"/>
    </row>
    <row r="161" spans="1:7" ht="15.75" x14ac:dyDescent="0.25">
      <c r="A161" s="141">
        <v>104</v>
      </c>
      <c r="B161" s="53"/>
      <c r="C161" s="54" t="s">
        <v>242</v>
      </c>
      <c r="D161" s="190"/>
      <c r="E161" s="222"/>
      <c r="F161" s="222"/>
      <c r="G161" s="223"/>
    </row>
    <row r="162" spans="1:7" x14ac:dyDescent="0.2">
      <c r="A162" s="141"/>
      <c r="B162" s="53"/>
      <c r="C162" s="87"/>
      <c r="D162" s="190"/>
      <c r="E162" s="222"/>
      <c r="F162" s="222"/>
      <c r="G162" s="223"/>
    </row>
    <row r="163" spans="1:7" x14ac:dyDescent="0.2">
      <c r="A163" s="141">
        <v>105</v>
      </c>
      <c r="B163" s="49" t="s">
        <v>51</v>
      </c>
      <c r="C163" s="50"/>
      <c r="D163" s="174" t="s">
        <v>283</v>
      </c>
      <c r="E163" s="224">
        <v>1500000</v>
      </c>
      <c r="F163" s="224"/>
      <c r="G163" s="270">
        <f t="shared" ref="G163:G165" si="12">SUM(E163:F163)</f>
        <v>1500000</v>
      </c>
    </row>
    <row r="164" spans="1:7" ht="25.5" x14ac:dyDescent="0.2">
      <c r="A164" s="141">
        <v>106</v>
      </c>
      <c r="B164" s="49" t="s">
        <v>52</v>
      </c>
      <c r="C164" s="50"/>
      <c r="D164" s="201" t="s">
        <v>284</v>
      </c>
      <c r="E164" s="224">
        <f>1500000+1500000</f>
        <v>3000000</v>
      </c>
      <c r="F164" s="224"/>
      <c r="G164" s="270">
        <f t="shared" si="12"/>
        <v>3000000</v>
      </c>
    </row>
    <row r="165" spans="1:7" x14ac:dyDescent="0.2">
      <c r="A165" s="141">
        <v>107</v>
      </c>
      <c r="B165" s="92" t="s">
        <v>54</v>
      </c>
      <c r="C165" s="93"/>
      <c r="D165" s="198" t="s">
        <v>285</v>
      </c>
      <c r="E165" s="224">
        <v>2178680</v>
      </c>
      <c r="F165" s="224"/>
      <c r="G165" s="270">
        <f t="shared" si="12"/>
        <v>2178680</v>
      </c>
    </row>
    <row r="166" spans="1:7" ht="13.5" thickBot="1" x14ac:dyDescent="0.25">
      <c r="A166" s="141"/>
      <c r="B166" s="95"/>
      <c r="C166" s="96"/>
      <c r="D166" s="202"/>
      <c r="E166" s="236"/>
      <c r="F166" s="236"/>
      <c r="G166" s="237"/>
    </row>
    <row r="167" spans="1:7" s="143" customFormat="1" ht="15" customHeight="1" thickTop="1" thickBot="1" x14ac:dyDescent="0.25">
      <c r="A167" s="141">
        <v>108</v>
      </c>
      <c r="B167" s="69"/>
      <c r="C167" s="70" t="s">
        <v>254</v>
      </c>
      <c r="D167" s="184"/>
      <c r="E167" s="273">
        <f>SUM(E162:E166)</f>
        <v>6678680</v>
      </c>
      <c r="F167" s="273">
        <f>SUM(F162:F166)</f>
        <v>0</v>
      </c>
      <c r="G167" s="274">
        <f>SUM(G162:G166)</f>
        <v>6678680</v>
      </c>
    </row>
    <row r="168" spans="1:7" ht="14.25" thickTop="1" thickBot="1" x14ac:dyDescent="0.25">
      <c r="A168" s="141"/>
      <c r="B168" s="53"/>
      <c r="C168" s="97"/>
      <c r="D168" s="203"/>
      <c r="E168" s="234"/>
      <c r="F168" s="234"/>
      <c r="G168" s="235"/>
    </row>
    <row r="169" spans="1:7" s="144" customFormat="1" ht="15" customHeight="1" thickBot="1" x14ac:dyDescent="0.3">
      <c r="A169" s="139">
        <v>109</v>
      </c>
      <c r="B169" s="79"/>
      <c r="C169" s="85"/>
      <c r="D169" s="193" t="s">
        <v>286</v>
      </c>
      <c r="E169" s="229">
        <f>E159+E167</f>
        <v>28674195</v>
      </c>
      <c r="F169" s="229">
        <f>F159+F167</f>
        <v>0</v>
      </c>
      <c r="G169" s="230">
        <f>G159+G167</f>
        <v>28674195</v>
      </c>
    </row>
    <row r="170" spans="1:7" s="150" customFormat="1" ht="15" customHeight="1" x14ac:dyDescent="0.2">
      <c r="A170" s="141"/>
      <c r="B170" s="88"/>
      <c r="C170" s="98"/>
      <c r="D170" s="204"/>
      <c r="E170" s="238"/>
      <c r="F170" s="238"/>
      <c r="G170" s="239"/>
    </row>
    <row r="171" spans="1:7" s="151" customFormat="1" ht="15" customHeight="1" x14ac:dyDescent="0.25">
      <c r="A171" s="141">
        <v>110</v>
      </c>
      <c r="B171" s="99"/>
      <c r="C171" s="82" t="s">
        <v>287</v>
      </c>
      <c r="E171" s="222"/>
      <c r="F171" s="222"/>
      <c r="G171" s="223"/>
    </row>
    <row r="172" spans="1:7" x14ac:dyDescent="0.2">
      <c r="A172" s="141"/>
      <c r="B172" s="53"/>
      <c r="C172" s="83"/>
      <c r="D172" s="195"/>
      <c r="E172" s="222"/>
      <c r="F172" s="222"/>
      <c r="G172" s="223"/>
    </row>
    <row r="173" spans="1:7" ht="15.75" x14ac:dyDescent="0.25">
      <c r="A173" s="141">
        <v>111</v>
      </c>
      <c r="B173" s="53"/>
      <c r="C173" s="54" t="s">
        <v>219</v>
      </c>
      <c r="D173" s="195"/>
      <c r="E173" s="222"/>
      <c r="F173" s="222"/>
      <c r="G173" s="223"/>
    </row>
    <row r="174" spans="1:7" x14ac:dyDescent="0.2">
      <c r="A174" s="141"/>
      <c r="B174" s="53"/>
      <c r="C174" s="100"/>
      <c r="D174" s="152"/>
      <c r="E174" s="222"/>
      <c r="F174" s="222"/>
      <c r="G174" s="223"/>
    </row>
    <row r="175" spans="1:7" ht="12.75" customHeight="1" x14ac:dyDescent="0.2">
      <c r="A175" s="141">
        <v>112</v>
      </c>
      <c r="B175" s="53"/>
      <c r="C175" s="100"/>
      <c r="D175" s="205" t="s">
        <v>288</v>
      </c>
      <c r="E175" s="222"/>
      <c r="F175" s="222"/>
      <c r="G175" s="223"/>
    </row>
    <row r="176" spans="1:7" ht="12.75" customHeight="1" x14ac:dyDescent="0.2">
      <c r="A176" s="141">
        <v>113</v>
      </c>
      <c r="B176" s="92" t="s">
        <v>56</v>
      </c>
      <c r="C176" s="93"/>
      <c r="D176" s="206" t="s">
        <v>289</v>
      </c>
      <c r="E176" s="224">
        <v>108792</v>
      </c>
      <c r="F176" s="224"/>
      <c r="G176" s="270">
        <f t="shared" ref="G176" si="13">SUM(E176:F176)</f>
        <v>108792</v>
      </c>
    </row>
    <row r="177" spans="1:7" ht="12.75" customHeight="1" x14ac:dyDescent="0.2">
      <c r="A177" s="141">
        <v>114</v>
      </c>
      <c r="B177" s="53"/>
      <c r="C177" s="100"/>
      <c r="D177" s="152" t="s">
        <v>290</v>
      </c>
      <c r="E177" s="222"/>
      <c r="F177" s="222"/>
      <c r="G177" s="223"/>
    </row>
    <row r="178" spans="1:7" s="142" customFormat="1" ht="12.75" customHeight="1" x14ac:dyDescent="0.2">
      <c r="A178" s="141">
        <v>115</v>
      </c>
      <c r="B178" s="49" t="s">
        <v>57</v>
      </c>
      <c r="C178" s="101"/>
      <c r="D178" s="174" t="s">
        <v>291</v>
      </c>
      <c r="E178" s="224">
        <f>10000000+20000</f>
        <v>10020000</v>
      </c>
      <c r="F178" s="224"/>
      <c r="G178" s="270">
        <f t="shared" ref="G178" si="14">SUM(E178:F178)</f>
        <v>10020000</v>
      </c>
    </row>
    <row r="179" spans="1:7" ht="12.75" customHeight="1" x14ac:dyDescent="0.2">
      <c r="A179" s="141">
        <v>116</v>
      </c>
      <c r="B179" s="59"/>
      <c r="C179" s="102"/>
      <c r="D179" s="207" t="s">
        <v>292</v>
      </c>
      <c r="E179" s="234"/>
      <c r="F179" s="234"/>
      <c r="G179" s="235"/>
    </row>
    <row r="180" spans="1:7" ht="25.5" x14ac:dyDescent="0.2">
      <c r="A180" s="141">
        <v>117</v>
      </c>
      <c r="B180" s="49" t="s">
        <v>61</v>
      </c>
      <c r="C180" s="50"/>
      <c r="D180" s="208" t="s">
        <v>293</v>
      </c>
      <c r="E180" s="224">
        <v>18061020</v>
      </c>
      <c r="F180" s="224">
        <v>9000000</v>
      </c>
      <c r="G180" s="270">
        <f t="shared" ref="G180:G181" si="15">SUM(E180:F180)</f>
        <v>27061020</v>
      </c>
    </row>
    <row r="181" spans="1:7" ht="25.5" customHeight="1" x14ac:dyDescent="0.2">
      <c r="A181" s="140">
        <v>118</v>
      </c>
      <c r="B181" s="77" t="s">
        <v>490</v>
      </c>
      <c r="C181" s="96"/>
      <c r="D181" s="209" t="s">
        <v>491</v>
      </c>
      <c r="E181" s="236">
        <v>26446500</v>
      </c>
      <c r="F181" s="236"/>
      <c r="G181" s="270">
        <f t="shared" si="15"/>
        <v>26446500</v>
      </c>
    </row>
    <row r="182" spans="1:7" ht="12.75" customHeight="1" x14ac:dyDescent="0.2">
      <c r="A182" s="140">
        <v>119</v>
      </c>
      <c r="B182" s="59"/>
      <c r="C182" s="102"/>
      <c r="D182" s="207" t="s">
        <v>294</v>
      </c>
      <c r="E182" s="234"/>
      <c r="F182" s="234"/>
      <c r="G182" s="235"/>
    </row>
    <row r="183" spans="1:7" ht="12.75" customHeight="1" x14ac:dyDescent="0.2">
      <c r="A183" s="140">
        <v>120</v>
      </c>
      <c r="B183" s="49" t="s">
        <v>65</v>
      </c>
      <c r="C183" s="50"/>
      <c r="D183" s="192" t="s">
        <v>295</v>
      </c>
      <c r="E183" s="224">
        <v>2000000</v>
      </c>
      <c r="F183" s="224"/>
      <c r="G183" s="270">
        <f t="shared" ref="G183:G184" si="16">SUM(E183:F183)</f>
        <v>2000000</v>
      </c>
    </row>
    <row r="184" spans="1:7" ht="12.75" customHeight="1" x14ac:dyDescent="0.2">
      <c r="A184" s="140">
        <v>121</v>
      </c>
      <c r="B184" s="49" t="s">
        <v>66</v>
      </c>
      <c r="C184" s="50"/>
      <c r="D184" s="192" t="s">
        <v>296</v>
      </c>
      <c r="E184" s="224">
        <f>30000000+9000000</f>
        <v>39000000</v>
      </c>
      <c r="F184" s="224"/>
      <c r="G184" s="270">
        <f t="shared" si="16"/>
        <v>39000000</v>
      </c>
    </row>
    <row r="185" spans="1:7" s="152" customFormat="1" ht="12.75" customHeight="1" x14ac:dyDescent="0.2">
      <c r="A185" s="140">
        <v>122</v>
      </c>
      <c r="B185" s="59"/>
      <c r="C185" s="102"/>
      <c r="D185" s="207" t="s">
        <v>297</v>
      </c>
      <c r="E185" s="234"/>
      <c r="F185" s="234"/>
      <c r="G185" s="235"/>
    </row>
    <row r="186" spans="1:7" ht="12.75" customHeight="1" x14ac:dyDescent="0.2">
      <c r="A186" s="140">
        <v>123</v>
      </c>
      <c r="B186" s="49" t="s">
        <v>71</v>
      </c>
      <c r="C186" s="50"/>
      <c r="D186" s="192" t="s">
        <v>298</v>
      </c>
      <c r="E186" s="233">
        <v>10771673</v>
      </c>
      <c r="F186" s="233"/>
      <c r="G186" s="270">
        <f t="shared" ref="G186" si="17">SUM(E186:F186)</f>
        <v>10771673</v>
      </c>
    </row>
    <row r="187" spans="1:7" s="142" customFormat="1" ht="12.75" customHeight="1" x14ac:dyDescent="0.2">
      <c r="A187" s="140">
        <v>124</v>
      </c>
      <c r="B187" s="77" t="s">
        <v>75</v>
      </c>
      <c r="C187" s="103"/>
      <c r="D187" s="210" t="s">
        <v>299</v>
      </c>
      <c r="E187" s="236">
        <f>25878662-25878662</f>
        <v>0</v>
      </c>
      <c r="F187" s="236"/>
      <c r="G187" s="237"/>
    </row>
    <row r="188" spans="1:7" ht="12.75" customHeight="1" x14ac:dyDescent="0.2">
      <c r="A188" s="140">
        <v>125</v>
      </c>
      <c r="B188" s="49" t="s">
        <v>58</v>
      </c>
      <c r="C188" s="50"/>
      <c r="D188" s="192" t="s">
        <v>300</v>
      </c>
      <c r="E188" s="224">
        <v>11000000</v>
      </c>
      <c r="F188" s="224"/>
      <c r="G188" s="270">
        <f t="shared" ref="G188:G190" si="18">SUM(E188:F188)</f>
        <v>11000000</v>
      </c>
    </row>
    <row r="189" spans="1:7" ht="25.5" x14ac:dyDescent="0.2">
      <c r="A189" s="140">
        <v>126</v>
      </c>
      <c r="B189" s="77" t="s">
        <v>73</v>
      </c>
      <c r="C189" s="96"/>
      <c r="D189" s="209" t="s">
        <v>301</v>
      </c>
      <c r="E189" s="224">
        <v>2114334316</v>
      </c>
      <c r="F189" s="224"/>
      <c r="G189" s="270">
        <f t="shared" si="18"/>
        <v>2114334316</v>
      </c>
    </row>
    <row r="190" spans="1:7" ht="12.75" customHeight="1" x14ac:dyDescent="0.2">
      <c r="A190" s="140">
        <v>127</v>
      </c>
      <c r="B190" s="77" t="s">
        <v>74</v>
      </c>
      <c r="C190" s="96"/>
      <c r="D190" s="202" t="s">
        <v>302</v>
      </c>
      <c r="E190" s="224">
        <v>1258000</v>
      </c>
      <c r="F190" s="224"/>
      <c r="G190" s="270">
        <f t="shared" si="18"/>
        <v>1258000</v>
      </c>
    </row>
    <row r="191" spans="1:7" ht="13.5" thickBot="1" x14ac:dyDescent="0.25">
      <c r="A191" s="141"/>
      <c r="B191" s="49"/>
      <c r="C191" s="50"/>
      <c r="D191" s="192"/>
      <c r="E191" s="224"/>
      <c r="F191" s="224"/>
      <c r="G191" s="225"/>
    </row>
    <row r="192" spans="1:7" s="143" customFormat="1" ht="15" customHeight="1" thickTop="1" thickBot="1" x14ac:dyDescent="0.25">
      <c r="A192" s="141">
        <v>128</v>
      </c>
      <c r="B192" s="69"/>
      <c r="C192" s="70" t="s">
        <v>241</v>
      </c>
      <c r="D192" s="184"/>
      <c r="E192" s="273">
        <f>SUM(E173:E191)</f>
        <v>2233000301</v>
      </c>
      <c r="F192" s="273">
        <f>SUM(F173:F191)</f>
        <v>9000000</v>
      </c>
      <c r="G192" s="274">
        <f>SUM(G173:G191)</f>
        <v>2242000301</v>
      </c>
    </row>
    <row r="193" spans="1:7" ht="13.5" thickTop="1" x14ac:dyDescent="0.2">
      <c r="A193" s="141"/>
      <c r="B193" s="104"/>
      <c r="C193" s="100"/>
      <c r="D193" s="152"/>
      <c r="E193" s="222"/>
      <c r="F193" s="222"/>
      <c r="G193" s="223"/>
    </row>
    <row r="194" spans="1:7" s="155" customFormat="1" x14ac:dyDescent="0.2">
      <c r="A194" s="141">
        <v>129</v>
      </c>
      <c r="B194" s="105"/>
      <c r="C194" s="106" t="s">
        <v>242</v>
      </c>
      <c r="D194" s="211"/>
      <c r="E194" s="285"/>
      <c r="F194" s="285"/>
      <c r="G194" s="250"/>
    </row>
    <row r="195" spans="1:7" s="155" customFormat="1" x14ac:dyDescent="0.2">
      <c r="A195" s="154"/>
      <c r="B195" s="105"/>
      <c r="C195" s="106"/>
      <c r="D195" s="211"/>
      <c r="E195" s="285"/>
      <c r="F195" s="285"/>
      <c r="G195" s="250"/>
    </row>
    <row r="196" spans="1:7" s="155" customFormat="1" x14ac:dyDescent="0.2">
      <c r="A196" s="141">
        <v>130</v>
      </c>
      <c r="B196" s="105"/>
      <c r="C196" s="106"/>
      <c r="D196" s="212" t="s">
        <v>288</v>
      </c>
      <c r="E196" s="285"/>
      <c r="F196" s="285"/>
      <c r="G196" s="250"/>
    </row>
    <row r="197" spans="1:7" x14ac:dyDescent="0.2">
      <c r="A197" s="141">
        <v>131</v>
      </c>
      <c r="B197" s="107" t="s">
        <v>55</v>
      </c>
      <c r="C197" s="101"/>
      <c r="D197" s="174" t="s">
        <v>303</v>
      </c>
      <c r="E197" s="224">
        <f>70000000+7182000</f>
        <v>77182000</v>
      </c>
      <c r="F197" s="224"/>
      <c r="G197" s="270">
        <f t="shared" ref="G197" si="19">SUM(E197:F197)</f>
        <v>77182000</v>
      </c>
    </row>
    <row r="198" spans="1:7" x14ac:dyDescent="0.2">
      <c r="A198" s="141">
        <v>132</v>
      </c>
      <c r="B198" s="108"/>
      <c r="C198" s="97"/>
      <c r="D198" s="207" t="s">
        <v>292</v>
      </c>
      <c r="E198" s="234"/>
      <c r="F198" s="234"/>
      <c r="G198" s="235"/>
    </row>
    <row r="199" spans="1:7" x14ac:dyDescent="0.2">
      <c r="A199" s="141">
        <v>133</v>
      </c>
      <c r="B199" s="109" t="s">
        <v>59</v>
      </c>
      <c r="C199" s="50"/>
      <c r="D199" s="192" t="s">
        <v>304</v>
      </c>
      <c r="E199" s="224">
        <v>5902744</v>
      </c>
      <c r="F199" s="224"/>
      <c r="G199" s="270">
        <f t="shared" ref="G199:G202" si="20">SUM(E199:F199)</f>
        <v>5902744</v>
      </c>
    </row>
    <row r="200" spans="1:7" x14ac:dyDescent="0.2">
      <c r="A200" s="141">
        <v>134</v>
      </c>
      <c r="B200" s="166" t="s">
        <v>60</v>
      </c>
      <c r="C200" s="96"/>
      <c r="D200" s="210" t="s">
        <v>305</v>
      </c>
      <c r="E200" s="236">
        <v>10552870</v>
      </c>
      <c r="F200" s="236"/>
      <c r="G200" s="270">
        <f t="shared" si="20"/>
        <v>10552870</v>
      </c>
    </row>
    <row r="201" spans="1:7" x14ac:dyDescent="0.2">
      <c r="A201" s="141">
        <v>135</v>
      </c>
      <c r="B201" s="109" t="s">
        <v>62</v>
      </c>
      <c r="C201" s="50"/>
      <c r="D201" s="192" t="s">
        <v>306</v>
      </c>
      <c r="E201" s="224">
        <v>5000000</v>
      </c>
      <c r="F201" s="224"/>
      <c r="G201" s="270">
        <f t="shared" si="20"/>
        <v>5000000</v>
      </c>
    </row>
    <row r="202" spans="1:7" x14ac:dyDescent="0.2">
      <c r="A202" s="141">
        <v>136</v>
      </c>
      <c r="B202" s="109" t="s">
        <v>63</v>
      </c>
      <c r="C202" s="50"/>
      <c r="D202" s="192" t="s">
        <v>307</v>
      </c>
      <c r="E202" s="224">
        <v>4500000</v>
      </c>
      <c r="F202" s="224"/>
      <c r="G202" s="270">
        <f t="shared" si="20"/>
        <v>4500000</v>
      </c>
    </row>
    <row r="203" spans="1:7" x14ac:dyDescent="0.2">
      <c r="A203" s="306">
        <v>137</v>
      </c>
      <c r="B203" s="108"/>
      <c r="C203" s="97"/>
      <c r="D203" s="213" t="s">
        <v>308</v>
      </c>
      <c r="E203" s="234"/>
      <c r="F203" s="234"/>
      <c r="G203" s="235"/>
    </row>
    <row r="204" spans="1:7" x14ac:dyDescent="0.2">
      <c r="A204" s="307"/>
      <c r="B204" s="104"/>
      <c r="C204" s="100"/>
      <c r="D204" s="152" t="s">
        <v>309</v>
      </c>
      <c r="E204" s="222"/>
      <c r="F204" s="222"/>
      <c r="G204" s="223"/>
    </row>
    <row r="205" spans="1:7" x14ac:dyDescent="0.2">
      <c r="A205" s="141">
        <v>138</v>
      </c>
      <c r="B205" s="109" t="s">
        <v>64</v>
      </c>
      <c r="C205" s="101"/>
      <c r="D205" s="174" t="s">
        <v>310</v>
      </c>
      <c r="E205" s="224">
        <v>25000000</v>
      </c>
      <c r="F205" s="224"/>
      <c r="G205" s="270">
        <f t="shared" ref="G205" si="21">SUM(E205:F205)</f>
        <v>25000000</v>
      </c>
    </row>
    <row r="206" spans="1:7" x14ac:dyDescent="0.2">
      <c r="A206" s="141">
        <v>139</v>
      </c>
      <c r="B206" s="104"/>
      <c r="C206" s="100"/>
      <c r="D206" s="110" t="s">
        <v>311</v>
      </c>
      <c r="E206" s="222"/>
      <c r="F206" s="222"/>
      <c r="G206" s="223"/>
    </row>
    <row r="207" spans="1:7" x14ac:dyDescent="0.2">
      <c r="A207" s="141">
        <v>140</v>
      </c>
      <c r="B207" s="109" t="s">
        <v>70</v>
      </c>
      <c r="C207" s="50"/>
      <c r="D207" s="192" t="s">
        <v>312</v>
      </c>
      <c r="E207" s="224">
        <f>3000000+200000</f>
        <v>3200000</v>
      </c>
      <c r="F207" s="224"/>
      <c r="G207" s="270">
        <f t="shared" ref="G207" si="22">SUM(E207:F207)</f>
        <v>3200000</v>
      </c>
    </row>
    <row r="208" spans="1:7" x14ac:dyDescent="0.2">
      <c r="A208" s="141">
        <v>141</v>
      </c>
      <c r="B208" s="108"/>
      <c r="C208" s="97"/>
      <c r="D208" s="207" t="s">
        <v>297</v>
      </c>
      <c r="E208" s="234"/>
      <c r="F208" s="234"/>
      <c r="G208" s="235"/>
    </row>
    <row r="209" spans="1:7" x14ac:dyDescent="0.2">
      <c r="A209" s="141">
        <v>142</v>
      </c>
      <c r="B209" s="109" t="s">
        <v>72</v>
      </c>
      <c r="C209" s="50"/>
      <c r="D209" s="192" t="s">
        <v>313</v>
      </c>
      <c r="E209" s="224">
        <f>4500000+315000</f>
        <v>4815000</v>
      </c>
      <c r="F209" s="224"/>
      <c r="G209" s="270">
        <f t="shared" ref="G209:G215" si="23">SUM(E209:F209)</f>
        <v>4815000</v>
      </c>
    </row>
    <row r="210" spans="1:7" ht="25.5" x14ac:dyDescent="0.2">
      <c r="A210" s="141">
        <v>143</v>
      </c>
      <c r="B210" s="166" t="s">
        <v>76</v>
      </c>
      <c r="C210" s="96"/>
      <c r="D210" s="214" t="s">
        <v>314</v>
      </c>
      <c r="E210" s="236">
        <v>3000000</v>
      </c>
      <c r="F210" s="236"/>
      <c r="G210" s="270">
        <f t="shared" si="23"/>
        <v>3000000</v>
      </c>
    </row>
    <row r="211" spans="1:7" x14ac:dyDescent="0.2">
      <c r="A211" s="141">
        <v>144</v>
      </c>
      <c r="B211" s="109" t="s">
        <v>78</v>
      </c>
      <c r="C211" s="50"/>
      <c r="D211" s="174" t="s">
        <v>315</v>
      </c>
      <c r="E211" s="224">
        <f>370000000+30000000</f>
        <v>400000000</v>
      </c>
      <c r="F211" s="224"/>
      <c r="G211" s="270">
        <f t="shared" si="23"/>
        <v>400000000</v>
      </c>
    </row>
    <row r="212" spans="1:7" x14ac:dyDescent="0.2">
      <c r="A212" s="141">
        <v>145</v>
      </c>
      <c r="B212" s="109" t="s">
        <v>67</v>
      </c>
      <c r="C212" s="50"/>
      <c r="D212" s="174" t="s">
        <v>316</v>
      </c>
      <c r="E212" s="224">
        <f>3660000+23887</f>
        <v>3683887</v>
      </c>
      <c r="F212" s="224"/>
      <c r="G212" s="270">
        <f t="shared" si="23"/>
        <v>3683887</v>
      </c>
    </row>
    <row r="213" spans="1:7" x14ac:dyDescent="0.2">
      <c r="A213" s="141">
        <v>146</v>
      </c>
      <c r="B213" s="109" t="s">
        <v>68</v>
      </c>
      <c r="C213" s="50"/>
      <c r="D213" s="192" t="s">
        <v>317</v>
      </c>
      <c r="E213" s="224">
        <f>900000+109500</f>
        <v>1009500</v>
      </c>
      <c r="F213" s="224"/>
      <c r="G213" s="270">
        <f t="shared" si="23"/>
        <v>1009500</v>
      </c>
    </row>
    <row r="214" spans="1:7" x14ac:dyDescent="0.2">
      <c r="A214" s="141">
        <v>147</v>
      </c>
      <c r="B214" s="109" t="s">
        <v>69</v>
      </c>
      <c r="C214" s="50"/>
      <c r="D214" s="192" t="s">
        <v>318</v>
      </c>
      <c r="E214" s="224">
        <v>38000000</v>
      </c>
      <c r="F214" s="224"/>
      <c r="G214" s="270">
        <f t="shared" si="23"/>
        <v>38000000</v>
      </c>
    </row>
    <row r="215" spans="1:7" x14ac:dyDescent="0.2">
      <c r="A215" s="141">
        <v>148</v>
      </c>
      <c r="B215" s="167" t="s">
        <v>77</v>
      </c>
      <c r="C215" s="93"/>
      <c r="D215" s="206" t="s">
        <v>319</v>
      </c>
      <c r="E215" s="224">
        <v>308000</v>
      </c>
      <c r="F215" s="224"/>
      <c r="G215" s="270">
        <f t="shared" si="23"/>
        <v>308000</v>
      </c>
    </row>
    <row r="216" spans="1:7" ht="13.5" thickBot="1" x14ac:dyDescent="0.25">
      <c r="A216" s="141"/>
      <c r="B216" s="67"/>
      <c r="C216" s="50"/>
      <c r="D216" s="192"/>
      <c r="E216" s="224"/>
      <c r="F216" s="224"/>
      <c r="G216" s="225"/>
    </row>
    <row r="217" spans="1:7" s="143" customFormat="1" ht="15" customHeight="1" thickTop="1" thickBot="1" x14ac:dyDescent="0.25">
      <c r="A217" s="141">
        <v>149</v>
      </c>
      <c r="B217" s="69"/>
      <c r="C217" s="70" t="s">
        <v>254</v>
      </c>
      <c r="D217" s="184"/>
      <c r="E217" s="273">
        <f>SUM(E193:E216)</f>
        <v>582154001</v>
      </c>
      <c r="F217" s="273">
        <f>SUM(F193:F216)</f>
        <v>0</v>
      </c>
      <c r="G217" s="274">
        <f>SUM(G193:G216)</f>
        <v>582154001</v>
      </c>
    </row>
    <row r="218" spans="1:7" ht="14.25" thickTop="1" thickBot="1" x14ac:dyDescent="0.25">
      <c r="A218" s="141"/>
      <c r="B218" s="111"/>
      <c r="C218" s="97"/>
      <c r="D218" s="203"/>
      <c r="E218" s="234"/>
      <c r="F218" s="234"/>
      <c r="G218" s="235"/>
    </row>
    <row r="219" spans="1:7" s="144" customFormat="1" ht="15" customHeight="1" thickBot="1" x14ac:dyDescent="0.3">
      <c r="A219" s="139">
        <v>150</v>
      </c>
      <c r="B219" s="79"/>
      <c r="C219" s="85"/>
      <c r="D219" s="193" t="s">
        <v>320</v>
      </c>
      <c r="E219" s="229">
        <f>E192+E217</f>
        <v>2815154302</v>
      </c>
      <c r="F219" s="229">
        <f>F192+F217</f>
        <v>9000000</v>
      </c>
      <c r="G219" s="230">
        <f>G192+G217</f>
        <v>2824154302</v>
      </c>
    </row>
    <row r="220" spans="1:7" s="144" customFormat="1" ht="15" customHeight="1" x14ac:dyDescent="0.25">
      <c r="A220" s="139"/>
      <c r="B220" s="112"/>
      <c r="C220" s="113"/>
      <c r="D220" s="215"/>
      <c r="E220" s="240"/>
      <c r="F220" s="240"/>
      <c r="G220" s="241"/>
    </row>
    <row r="221" spans="1:7" s="142" customFormat="1" ht="15.75" x14ac:dyDescent="0.25">
      <c r="A221" s="141">
        <v>151</v>
      </c>
      <c r="B221" s="53"/>
      <c r="C221" s="82" t="s">
        <v>321</v>
      </c>
      <c r="E221" s="222"/>
      <c r="F221" s="222"/>
      <c r="G221" s="223"/>
    </row>
    <row r="222" spans="1:7" s="142" customFormat="1" ht="15.75" x14ac:dyDescent="0.25">
      <c r="A222" s="141"/>
      <c r="B222" s="53"/>
      <c r="C222" s="82"/>
      <c r="D222" s="190"/>
      <c r="E222" s="222"/>
      <c r="F222" s="222"/>
      <c r="G222" s="223"/>
    </row>
    <row r="223" spans="1:7" s="142" customFormat="1" ht="15.75" x14ac:dyDescent="0.25">
      <c r="A223" s="141">
        <v>152</v>
      </c>
      <c r="B223" s="53"/>
      <c r="C223" s="54" t="s">
        <v>219</v>
      </c>
      <c r="D223" s="190"/>
      <c r="E223" s="222"/>
      <c r="F223" s="222"/>
      <c r="G223" s="223"/>
    </row>
    <row r="224" spans="1:7" x14ac:dyDescent="0.2">
      <c r="A224" s="141"/>
      <c r="B224" s="114"/>
      <c r="C224" s="87"/>
      <c r="D224" s="212"/>
      <c r="E224" s="222"/>
      <c r="F224" s="222"/>
      <c r="G224" s="223"/>
    </row>
    <row r="225" spans="1:7" s="134" customFormat="1" x14ac:dyDescent="0.2">
      <c r="A225" s="157">
        <v>153</v>
      </c>
      <c r="B225" s="287" t="s">
        <v>80</v>
      </c>
      <c r="C225" s="289"/>
      <c r="D225" s="291" t="s">
        <v>481</v>
      </c>
      <c r="E225" s="233">
        <v>69663273</v>
      </c>
      <c r="F225" s="233"/>
      <c r="G225" s="270">
        <f t="shared" ref="G225" si="24">SUM(E225:F225)</f>
        <v>69663273</v>
      </c>
    </row>
    <row r="226" spans="1:7" s="142" customFormat="1" ht="12.75" customHeight="1" thickBot="1" x14ac:dyDescent="0.3">
      <c r="A226" s="141"/>
      <c r="B226" s="49"/>
      <c r="C226" s="82"/>
      <c r="D226" s="190"/>
      <c r="E226" s="222"/>
      <c r="F226" s="222"/>
      <c r="G226" s="223"/>
    </row>
    <row r="227" spans="1:7" s="143" customFormat="1" ht="15" customHeight="1" thickTop="1" thickBot="1" x14ac:dyDescent="0.25">
      <c r="A227" s="141">
        <v>154</v>
      </c>
      <c r="B227" s="69"/>
      <c r="C227" s="70" t="s">
        <v>241</v>
      </c>
      <c r="D227" s="184"/>
      <c r="E227" s="273">
        <f>SUM(E224:E226)</f>
        <v>69663273</v>
      </c>
      <c r="F227" s="273">
        <f>SUM(F224:F226)</f>
        <v>0</v>
      </c>
      <c r="G227" s="274">
        <f>SUM(G224:G226)</f>
        <v>69663273</v>
      </c>
    </row>
    <row r="228" spans="1:7" ht="16.5" thickTop="1" x14ac:dyDescent="0.25">
      <c r="A228" s="141"/>
      <c r="B228" s="53"/>
      <c r="C228" s="54"/>
      <c r="D228" s="190"/>
      <c r="E228" s="222"/>
      <c r="F228" s="222"/>
      <c r="G228" s="223"/>
    </row>
    <row r="229" spans="1:7" ht="15.75" x14ac:dyDescent="0.25">
      <c r="A229" s="141">
        <v>155</v>
      </c>
      <c r="B229" s="53"/>
      <c r="C229" s="54" t="s">
        <v>242</v>
      </c>
      <c r="D229" s="190"/>
      <c r="E229" s="222"/>
      <c r="F229" s="222"/>
      <c r="G229" s="223"/>
    </row>
    <row r="230" spans="1:7" s="142" customFormat="1" ht="17.25" customHeight="1" x14ac:dyDescent="0.2">
      <c r="A230" s="141"/>
      <c r="B230" s="53"/>
      <c r="C230" s="115"/>
      <c r="D230" s="212"/>
      <c r="E230" s="222"/>
      <c r="F230" s="222"/>
      <c r="G230" s="223"/>
    </row>
    <row r="231" spans="1:7" x14ac:dyDescent="0.2">
      <c r="A231" s="141">
        <v>156</v>
      </c>
      <c r="B231" s="53"/>
      <c r="C231" s="87"/>
      <c r="D231" s="212" t="s">
        <v>322</v>
      </c>
      <c r="E231" s="222"/>
      <c r="F231" s="222"/>
      <c r="G231" s="223"/>
    </row>
    <row r="232" spans="1:7" x14ac:dyDescent="0.2">
      <c r="A232" s="141">
        <v>157</v>
      </c>
      <c r="B232" s="53"/>
      <c r="C232" s="87"/>
      <c r="D232" s="190" t="s">
        <v>323</v>
      </c>
      <c r="E232" s="222"/>
      <c r="F232" s="222"/>
      <c r="G232" s="223"/>
    </row>
    <row r="233" spans="1:7" x14ac:dyDescent="0.2">
      <c r="A233" s="141">
        <v>158</v>
      </c>
      <c r="B233" s="49" t="s">
        <v>82</v>
      </c>
      <c r="C233" s="89"/>
      <c r="D233" s="192" t="s">
        <v>324</v>
      </c>
      <c r="E233" s="224">
        <v>4500000</v>
      </c>
      <c r="F233" s="224"/>
      <c r="G233" s="270">
        <f t="shared" ref="G233:G236" si="25">SUM(E233:F233)</f>
        <v>4500000</v>
      </c>
    </row>
    <row r="234" spans="1:7" x14ac:dyDescent="0.2">
      <c r="A234" s="141">
        <v>159</v>
      </c>
      <c r="B234" s="77" t="s">
        <v>83</v>
      </c>
      <c r="C234" s="89"/>
      <c r="D234" s="192" t="s">
        <v>325</v>
      </c>
      <c r="E234" s="224">
        <v>1500000</v>
      </c>
      <c r="F234" s="224"/>
      <c r="G234" s="270">
        <f t="shared" si="25"/>
        <v>1500000</v>
      </c>
    </row>
    <row r="235" spans="1:7" x14ac:dyDescent="0.2">
      <c r="A235" s="141">
        <v>160</v>
      </c>
      <c r="B235" s="77" t="s">
        <v>84</v>
      </c>
      <c r="C235" s="89"/>
      <c r="D235" s="192" t="s">
        <v>326</v>
      </c>
      <c r="E235" s="224">
        <v>7000000</v>
      </c>
      <c r="F235" s="224"/>
      <c r="G235" s="270">
        <f t="shared" si="25"/>
        <v>7000000</v>
      </c>
    </row>
    <row r="236" spans="1:7" x14ac:dyDescent="0.2">
      <c r="A236" s="141">
        <v>161</v>
      </c>
      <c r="B236" s="77" t="s">
        <v>81</v>
      </c>
      <c r="C236" s="168"/>
      <c r="D236" s="202" t="s">
        <v>327</v>
      </c>
      <c r="E236" s="236">
        <f>11000000+22283683</f>
        <v>33283683</v>
      </c>
      <c r="F236" s="236"/>
      <c r="G236" s="270">
        <f t="shared" si="25"/>
        <v>33283683</v>
      </c>
    </row>
    <row r="237" spans="1:7" x14ac:dyDescent="0.2">
      <c r="A237" s="141">
        <v>162</v>
      </c>
      <c r="B237" s="59"/>
      <c r="C237" s="116"/>
      <c r="D237" s="213" t="s">
        <v>328</v>
      </c>
      <c r="E237" s="234"/>
      <c r="F237" s="234"/>
      <c r="G237" s="235"/>
    </row>
    <row r="238" spans="1:7" ht="25.5" x14ac:dyDescent="0.2">
      <c r="A238" s="141">
        <v>163</v>
      </c>
      <c r="B238" s="49" t="s">
        <v>88</v>
      </c>
      <c r="C238" s="87"/>
      <c r="D238" s="216" t="s">
        <v>329</v>
      </c>
      <c r="E238" s="222">
        <v>8000000</v>
      </c>
      <c r="F238" s="222"/>
      <c r="G238" s="270">
        <f t="shared" ref="G238:G245" si="26">SUM(E238:F238)</f>
        <v>8000000</v>
      </c>
    </row>
    <row r="239" spans="1:7" x14ac:dyDescent="0.2">
      <c r="A239" s="141">
        <v>164</v>
      </c>
      <c r="B239" s="77" t="s">
        <v>79</v>
      </c>
      <c r="C239" s="116"/>
      <c r="D239" s="203" t="s">
        <v>330</v>
      </c>
      <c r="E239" s="234">
        <f>2000000+240000</f>
        <v>2240000</v>
      </c>
      <c r="F239" s="234"/>
      <c r="G239" s="270">
        <f t="shared" si="26"/>
        <v>2240000</v>
      </c>
    </row>
    <row r="240" spans="1:7" x14ac:dyDescent="0.2">
      <c r="A240" s="141">
        <v>165</v>
      </c>
      <c r="B240" s="63" t="s">
        <v>85</v>
      </c>
      <c r="C240" s="116"/>
      <c r="D240" s="203" t="s">
        <v>331</v>
      </c>
      <c r="E240" s="234">
        <v>2100000</v>
      </c>
      <c r="F240" s="234"/>
      <c r="G240" s="270">
        <f t="shared" si="26"/>
        <v>2100000</v>
      </c>
    </row>
    <row r="241" spans="1:7" x14ac:dyDescent="0.2">
      <c r="A241" s="141">
        <v>166</v>
      </c>
      <c r="B241" s="63" t="s">
        <v>87</v>
      </c>
      <c r="C241" s="116"/>
      <c r="D241" s="203" t="s">
        <v>332</v>
      </c>
      <c r="E241" s="234">
        <v>3200000</v>
      </c>
      <c r="F241" s="234"/>
      <c r="G241" s="270">
        <f t="shared" si="26"/>
        <v>3200000</v>
      </c>
    </row>
    <row r="242" spans="1:7" ht="25.5" x14ac:dyDescent="0.2">
      <c r="A242" s="141">
        <v>167</v>
      </c>
      <c r="B242" s="76" t="s">
        <v>86</v>
      </c>
      <c r="C242" s="169"/>
      <c r="D242" s="217" t="s">
        <v>333</v>
      </c>
      <c r="E242" s="234">
        <v>540000000</v>
      </c>
      <c r="F242" s="234">
        <v>-27000000</v>
      </c>
      <c r="G242" s="270">
        <f t="shared" si="26"/>
        <v>513000000</v>
      </c>
    </row>
    <row r="243" spans="1:7" x14ac:dyDescent="0.2">
      <c r="A243" s="141">
        <v>168</v>
      </c>
      <c r="B243" s="292" t="s">
        <v>501</v>
      </c>
      <c r="C243" s="169"/>
      <c r="D243" s="217" t="s">
        <v>504</v>
      </c>
      <c r="E243" s="234"/>
      <c r="F243" s="234">
        <v>9000000</v>
      </c>
      <c r="G243" s="270">
        <f t="shared" si="26"/>
        <v>9000000</v>
      </c>
    </row>
    <row r="244" spans="1:7" x14ac:dyDescent="0.2">
      <c r="A244" s="141">
        <v>169</v>
      </c>
      <c r="B244" s="76" t="s">
        <v>502</v>
      </c>
      <c r="C244" s="169"/>
      <c r="D244" s="217" t="s">
        <v>505</v>
      </c>
      <c r="E244" s="234"/>
      <c r="F244" s="234">
        <v>9000000</v>
      </c>
      <c r="G244" s="270">
        <f t="shared" si="26"/>
        <v>9000000</v>
      </c>
    </row>
    <row r="245" spans="1:7" x14ac:dyDescent="0.2">
      <c r="A245" s="141">
        <v>170</v>
      </c>
      <c r="B245" s="76" t="s">
        <v>503</v>
      </c>
      <c r="C245" s="169"/>
      <c r="D245" s="217" t="s">
        <v>506</v>
      </c>
      <c r="E245" s="234"/>
      <c r="F245" s="234">
        <v>9000000</v>
      </c>
      <c r="G245" s="270">
        <f t="shared" si="26"/>
        <v>9000000</v>
      </c>
    </row>
    <row r="246" spans="1:7" ht="13.5" thickBot="1" x14ac:dyDescent="0.25">
      <c r="A246" s="141"/>
      <c r="B246" s="77"/>
      <c r="C246" s="116"/>
      <c r="D246" s="203"/>
      <c r="E246" s="234"/>
      <c r="F246" s="234"/>
      <c r="G246" s="235"/>
    </row>
    <row r="247" spans="1:7" s="143" customFormat="1" ht="15" customHeight="1" thickTop="1" thickBot="1" x14ac:dyDescent="0.25">
      <c r="A247" s="141">
        <v>171</v>
      </c>
      <c r="B247" s="69"/>
      <c r="C247" s="70" t="s">
        <v>254</v>
      </c>
      <c r="D247" s="184"/>
      <c r="E247" s="273">
        <f>SUM(E230:E246)</f>
        <v>601823683</v>
      </c>
      <c r="F247" s="273">
        <f>SUM(F230:F246)</f>
        <v>0</v>
      </c>
      <c r="G247" s="274">
        <f>SUM(G230:G246)</f>
        <v>601823683</v>
      </c>
    </row>
    <row r="248" spans="1:7" ht="10.5" customHeight="1" thickTop="1" thickBot="1" x14ac:dyDescent="0.25">
      <c r="A248" s="141"/>
      <c r="B248" s="59"/>
      <c r="C248" s="97"/>
      <c r="D248" s="218"/>
      <c r="E248" s="234"/>
      <c r="F248" s="234"/>
      <c r="G248" s="235"/>
    </row>
    <row r="249" spans="1:7" s="144" customFormat="1" ht="15" customHeight="1" thickBot="1" x14ac:dyDescent="0.3">
      <c r="A249" s="160">
        <v>172</v>
      </c>
      <c r="B249" s="79"/>
      <c r="C249" s="117"/>
      <c r="D249" s="193" t="s">
        <v>334</v>
      </c>
      <c r="E249" s="229">
        <f>E227+E247</f>
        <v>671486956</v>
      </c>
      <c r="F249" s="229">
        <f>F227+F247</f>
        <v>0</v>
      </c>
      <c r="G249" s="230">
        <f>G227+G247</f>
        <v>671486956</v>
      </c>
    </row>
    <row r="250" spans="1:7" s="156" customFormat="1" ht="15" customHeight="1" x14ac:dyDescent="0.25">
      <c r="A250" s="145"/>
      <c r="B250" s="118"/>
      <c r="C250" s="82"/>
      <c r="D250" s="142"/>
      <c r="E250" s="222"/>
      <c r="F250" s="222"/>
      <c r="G250" s="223"/>
    </row>
    <row r="251" spans="1:7" s="142" customFormat="1" ht="15.75" x14ac:dyDescent="0.25">
      <c r="A251" s="141">
        <v>173</v>
      </c>
      <c r="B251" s="53"/>
      <c r="C251" s="82" t="s">
        <v>335</v>
      </c>
      <c r="E251" s="222"/>
      <c r="F251" s="222"/>
      <c r="G251" s="223"/>
    </row>
    <row r="252" spans="1:7" ht="15.75" x14ac:dyDescent="0.25">
      <c r="A252" s="141"/>
      <c r="B252" s="53"/>
      <c r="C252" s="119"/>
      <c r="D252" s="190"/>
      <c r="E252" s="222"/>
      <c r="F252" s="222"/>
      <c r="G252" s="223"/>
    </row>
    <row r="253" spans="1:7" ht="15" x14ac:dyDescent="0.25">
      <c r="A253" s="141">
        <v>174</v>
      </c>
      <c r="B253" s="53"/>
      <c r="C253" s="120" t="s">
        <v>336</v>
      </c>
      <c r="D253" s="190"/>
      <c r="E253" s="222"/>
      <c r="F253" s="222"/>
      <c r="G253" s="223"/>
    </row>
    <row r="254" spans="1:7" ht="15.75" x14ac:dyDescent="0.25">
      <c r="A254" s="141"/>
      <c r="B254" s="53"/>
      <c r="C254" s="119"/>
      <c r="D254" s="190"/>
      <c r="E254" s="222"/>
      <c r="F254" s="222"/>
      <c r="G254" s="223"/>
    </row>
    <row r="255" spans="1:7" s="142" customFormat="1" ht="15.75" x14ac:dyDescent="0.25">
      <c r="A255" s="141">
        <v>175</v>
      </c>
      <c r="B255" s="53"/>
      <c r="C255" s="54" t="s">
        <v>219</v>
      </c>
      <c r="D255" s="190"/>
      <c r="E255" s="222"/>
      <c r="F255" s="222"/>
      <c r="G255" s="223"/>
    </row>
    <row r="256" spans="1:7" ht="15.75" x14ac:dyDescent="0.25">
      <c r="A256" s="141"/>
      <c r="B256" s="53"/>
      <c r="C256" s="119"/>
      <c r="D256" s="190"/>
      <c r="E256" s="222"/>
      <c r="F256" s="222"/>
      <c r="G256" s="223"/>
    </row>
    <row r="257" spans="1:7" s="142" customFormat="1" ht="17.25" customHeight="1" x14ac:dyDescent="0.2">
      <c r="A257" s="141">
        <v>176</v>
      </c>
      <c r="B257" s="53"/>
      <c r="C257" s="100"/>
      <c r="D257" s="205" t="s">
        <v>337</v>
      </c>
      <c r="E257" s="222"/>
      <c r="F257" s="222"/>
      <c r="G257" s="223"/>
    </row>
    <row r="258" spans="1:7" x14ac:dyDescent="0.2">
      <c r="A258" s="141">
        <v>177</v>
      </c>
      <c r="B258" s="49" t="s">
        <v>90</v>
      </c>
      <c r="C258" s="50"/>
      <c r="D258" s="198" t="s">
        <v>338</v>
      </c>
      <c r="E258" s="224">
        <f>18000000+1160000</f>
        <v>19160000</v>
      </c>
      <c r="F258" s="224"/>
      <c r="G258" s="270">
        <f t="shared" ref="G258" si="27">SUM(E258:F258)</f>
        <v>19160000</v>
      </c>
    </row>
    <row r="259" spans="1:7" s="142" customFormat="1" ht="17.25" customHeight="1" x14ac:dyDescent="0.2">
      <c r="A259" s="141">
        <v>178</v>
      </c>
      <c r="B259" s="59"/>
      <c r="C259" s="100"/>
      <c r="D259" s="205" t="s">
        <v>339</v>
      </c>
      <c r="E259" s="222"/>
      <c r="F259" s="222"/>
      <c r="G259" s="223"/>
    </row>
    <row r="260" spans="1:7" x14ac:dyDescent="0.2">
      <c r="A260" s="141">
        <v>179</v>
      </c>
      <c r="B260" s="49" t="s">
        <v>95</v>
      </c>
      <c r="C260" s="50"/>
      <c r="D260" s="198" t="s">
        <v>340</v>
      </c>
      <c r="E260" s="224">
        <f>82253000+574640+3600000</f>
        <v>86427640</v>
      </c>
      <c r="F260" s="224"/>
      <c r="G260" s="270">
        <f t="shared" ref="G260:G265" si="28">SUM(E260:F260)</f>
        <v>86427640</v>
      </c>
    </row>
    <row r="261" spans="1:7" x14ac:dyDescent="0.2">
      <c r="A261" s="141">
        <v>180</v>
      </c>
      <c r="B261" s="95" t="s">
        <v>96</v>
      </c>
      <c r="C261" s="50"/>
      <c r="D261" s="198" t="s">
        <v>341</v>
      </c>
      <c r="E261" s="224">
        <v>36000000</v>
      </c>
      <c r="F261" s="224"/>
      <c r="G261" s="270">
        <f t="shared" si="28"/>
        <v>36000000</v>
      </c>
    </row>
    <row r="262" spans="1:7" x14ac:dyDescent="0.2">
      <c r="A262" s="141">
        <v>181</v>
      </c>
      <c r="B262" s="95" t="s">
        <v>97</v>
      </c>
      <c r="C262" s="50"/>
      <c r="D262" s="198" t="s">
        <v>342</v>
      </c>
      <c r="E262" s="224">
        <f>1018236000+18891290</f>
        <v>1037127290</v>
      </c>
      <c r="F262" s="224"/>
      <c r="G262" s="270">
        <f t="shared" si="28"/>
        <v>1037127290</v>
      </c>
    </row>
    <row r="263" spans="1:7" x14ac:dyDescent="0.2">
      <c r="A263" s="141">
        <v>182</v>
      </c>
      <c r="B263" s="95" t="s">
        <v>98</v>
      </c>
      <c r="C263" s="50"/>
      <c r="D263" s="198" t="s">
        <v>343</v>
      </c>
      <c r="E263" s="224">
        <f>93263000+1867580</f>
        <v>95130580</v>
      </c>
      <c r="F263" s="224"/>
      <c r="G263" s="270">
        <f t="shared" si="28"/>
        <v>95130580</v>
      </c>
    </row>
    <row r="264" spans="1:7" x14ac:dyDescent="0.2">
      <c r="A264" s="141">
        <v>183</v>
      </c>
      <c r="B264" s="95" t="s">
        <v>99</v>
      </c>
      <c r="C264" s="50"/>
      <c r="D264" s="198" t="s">
        <v>344</v>
      </c>
      <c r="E264" s="224">
        <f>354532000+6823850</f>
        <v>361355850</v>
      </c>
      <c r="F264" s="224"/>
      <c r="G264" s="270">
        <f t="shared" si="28"/>
        <v>361355850</v>
      </c>
    </row>
    <row r="265" spans="1:7" x14ac:dyDescent="0.2">
      <c r="A265" s="141">
        <v>184</v>
      </c>
      <c r="B265" s="63" t="s">
        <v>100</v>
      </c>
      <c r="C265" s="101"/>
      <c r="D265" s="198" t="s">
        <v>345</v>
      </c>
      <c r="E265" s="224">
        <f>255425000+5099930</f>
        <v>260524930</v>
      </c>
      <c r="F265" s="224"/>
      <c r="G265" s="270">
        <f t="shared" si="28"/>
        <v>260524930</v>
      </c>
    </row>
    <row r="266" spans="1:7" ht="13.5" thickBot="1" x14ac:dyDescent="0.25">
      <c r="A266" s="141"/>
      <c r="B266" s="67"/>
      <c r="C266" s="101"/>
      <c r="D266" s="192"/>
      <c r="E266" s="224"/>
      <c r="F266" s="224"/>
      <c r="G266" s="225"/>
    </row>
    <row r="267" spans="1:7" s="143" customFormat="1" ht="15" customHeight="1" thickTop="1" thickBot="1" x14ac:dyDescent="0.25">
      <c r="A267" s="141">
        <v>185</v>
      </c>
      <c r="B267" s="69"/>
      <c r="C267" s="70" t="s">
        <v>241</v>
      </c>
      <c r="D267" s="184"/>
      <c r="E267" s="273">
        <f>SUM(E256:E266)</f>
        <v>1895726290</v>
      </c>
      <c r="F267" s="273">
        <f>SUM(F256:F266)</f>
        <v>0</v>
      </c>
      <c r="G267" s="274">
        <f>SUM(G256:G266)</f>
        <v>1895726290</v>
      </c>
    </row>
    <row r="268" spans="1:7" ht="13.5" thickTop="1" x14ac:dyDescent="0.2">
      <c r="A268" s="141"/>
      <c r="B268" s="121"/>
      <c r="C268" s="122"/>
      <c r="D268" s="219"/>
      <c r="E268" s="242"/>
      <c r="F268" s="242"/>
      <c r="G268" s="243"/>
    </row>
    <row r="269" spans="1:7" ht="15.75" x14ac:dyDescent="0.25">
      <c r="A269" s="141">
        <v>186</v>
      </c>
      <c r="B269" s="53"/>
      <c r="C269" s="54" t="s">
        <v>242</v>
      </c>
      <c r="D269" s="190"/>
      <c r="E269" s="222"/>
      <c r="F269" s="222"/>
      <c r="G269" s="223"/>
    </row>
    <row r="270" spans="1:7" ht="15.75" x14ac:dyDescent="0.25">
      <c r="A270" s="141"/>
      <c r="B270" s="53"/>
      <c r="C270" s="54"/>
      <c r="D270" s="190"/>
      <c r="E270" s="222"/>
      <c r="F270" s="222"/>
      <c r="G270" s="223"/>
    </row>
    <row r="271" spans="1:7" s="142" customFormat="1" ht="17.25" customHeight="1" x14ac:dyDescent="0.2">
      <c r="A271" s="141">
        <v>187</v>
      </c>
      <c r="B271" s="53"/>
      <c r="C271" s="100"/>
      <c r="D271" s="152" t="s">
        <v>337</v>
      </c>
      <c r="E271" s="222"/>
      <c r="F271" s="222"/>
      <c r="G271" s="223"/>
    </row>
    <row r="272" spans="1:7" ht="25.5" x14ac:dyDescent="0.2">
      <c r="A272" s="141">
        <v>188</v>
      </c>
      <c r="B272" s="49" t="s">
        <v>89</v>
      </c>
      <c r="C272" s="50"/>
      <c r="D272" s="201" t="s">
        <v>346</v>
      </c>
      <c r="E272" s="224">
        <f>81903000+215490</f>
        <v>82118490</v>
      </c>
      <c r="F272" s="224"/>
      <c r="G272" s="270">
        <f t="shared" ref="G272:G274" si="29">SUM(E272:F272)</f>
        <v>82118490</v>
      </c>
    </row>
    <row r="273" spans="1:7" x14ac:dyDescent="0.2">
      <c r="A273" s="141">
        <v>189</v>
      </c>
      <c r="B273" s="49" t="s">
        <v>92</v>
      </c>
      <c r="C273" s="50"/>
      <c r="D273" s="174" t="s">
        <v>347</v>
      </c>
      <c r="E273" s="224">
        <f>35000000+20450000</f>
        <v>55450000</v>
      </c>
      <c r="F273" s="224"/>
      <c r="G273" s="270">
        <f t="shared" si="29"/>
        <v>55450000</v>
      </c>
    </row>
    <row r="274" spans="1:7" x14ac:dyDescent="0.2">
      <c r="A274" s="141">
        <v>190</v>
      </c>
      <c r="B274" s="49" t="s">
        <v>93</v>
      </c>
      <c r="C274" s="50"/>
      <c r="D274" s="174" t="s">
        <v>348</v>
      </c>
      <c r="E274" s="224">
        <f>7000000+457500</f>
        <v>7457500</v>
      </c>
      <c r="F274" s="224"/>
      <c r="G274" s="270">
        <f t="shared" si="29"/>
        <v>7457500</v>
      </c>
    </row>
    <row r="275" spans="1:7" x14ac:dyDescent="0.2">
      <c r="A275" s="141">
        <v>191</v>
      </c>
      <c r="B275" s="59"/>
      <c r="C275" s="97"/>
      <c r="D275" s="207" t="s">
        <v>339</v>
      </c>
      <c r="E275" s="234"/>
      <c r="F275" s="234"/>
      <c r="G275" s="235"/>
    </row>
    <row r="276" spans="1:7" x14ac:dyDescent="0.2">
      <c r="A276" s="141">
        <v>192</v>
      </c>
      <c r="B276" s="49" t="s">
        <v>94</v>
      </c>
      <c r="C276" s="50"/>
      <c r="D276" s="174" t="s">
        <v>349</v>
      </c>
      <c r="E276" s="224">
        <f>283000000+30000000</f>
        <v>313000000</v>
      </c>
      <c r="F276" s="224"/>
      <c r="G276" s="270">
        <f t="shared" ref="G276:G279" si="30">SUM(E276:F276)</f>
        <v>313000000</v>
      </c>
    </row>
    <row r="277" spans="1:7" x14ac:dyDescent="0.2">
      <c r="A277" s="141">
        <v>193</v>
      </c>
      <c r="B277" s="77" t="s">
        <v>101</v>
      </c>
      <c r="C277" s="96"/>
      <c r="D277" s="210" t="s">
        <v>350</v>
      </c>
      <c r="E277" s="236">
        <f>72424000+1292940+500+9999500-9000000+2027398+11685000</f>
        <v>88429338</v>
      </c>
      <c r="F277" s="236"/>
      <c r="G277" s="270">
        <f t="shared" si="30"/>
        <v>88429338</v>
      </c>
    </row>
    <row r="278" spans="1:7" x14ac:dyDescent="0.2">
      <c r="A278" s="141">
        <v>194</v>
      </c>
      <c r="B278" s="77" t="s">
        <v>492</v>
      </c>
      <c r="C278" s="96"/>
      <c r="D278" s="210" t="s">
        <v>493</v>
      </c>
      <c r="E278" s="236">
        <v>34879000</v>
      </c>
      <c r="F278" s="236"/>
      <c r="G278" s="270">
        <f t="shared" si="30"/>
        <v>34879000</v>
      </c>
    </row>
    <row r="279" spans="1:7" x14ac:dyDescent="0.2">
      <c r="A279" s="141">
        <v>195</v>
      </c>
      <c r="B279" s="77" t="s">
        <v>102</v>
      </c>
      <c r="C279" s="96"/>
      <c r="D279" s="210" t="s">
        <v>351</v>
      </c>
      <c r="E279" s="236">
        <v>3000000</v>
      </c>
      <c r="F279" s="236"/>
      <c r="G279" s="270">
        <f t="shared" si="30"/>
        <v>3000000</v>
      </c>
    </row>
    <row r="280" spans="1:7" x14ac:dyDescent="0.2">
      <c r="A280" s="141">
        <v>196</v>
      </c>
      <c r="B280" s="59"/>
      <c r="C280" s="97"/>
      <c r="D280" s="207" t="s">
        <v>482</v>
      </c>
      <c r="E280" s="234"/>
      <c r="F280" s="234"/>
      <c r="G280" s="235"/>
    </row>
    <row r="281" spans="1:7" x14ac:dyDescent="0.2">
      <c r="A281" s="141">
        <v>197</v>
      </c>
      <c r="B281" s="114" t="s">
        <v>105</v>
      </c>
      <c r="C281" s="83"/>
      <c r="D281" s="142" t="s">
        <v>483</v>
      </c>
      <c r="E281" s="222">
        <v>1481900</v>
      </c>
      <c r="F281" s="222"/>
      <c r="G281" s="270">
        <f t="shared" ref="G281" si="31">SUM(E281:F281)</f>
        <v>1481900</v>
      </c>
    </row>
    <row r="282" spans="1:7" x14ac:dyDescent="0.2">
      <c r="A282" s="141">
        <v>198</v>
      </c>
      <c r="B282" s="59"/>
      <c r="C282" s="97"/>
      <c r="D282" s="207" t="s">
        <v>352</v>
      </c>
      <c r="E282" s="234"/>
      <c r="F282" s="234"/>
      <c r="G282" s="235"/>
    </row>
    <row r="283" spans="1:7" x14ac:dyDescent="0.2">
      <c r="A283" s="141">
        <v>199</v>
      </c>
      <c r="B283" s="67" t="s">
        <v>106</v>
      </c>
      <c r="C283" s="50"/>
      <c r="D283" s="174" t="s">
        <v>353</v>
      </c>
      <c r="E283" s="224">
        <v>700000</v>
      </c>
      <c r="F283" s="224"/>
      <c r="G283" s="270">
        <f t="shared" ref="G283:G286" si="32">SUM(E283:F283)</f>
        <v>700000</v>
      </c>
    </row>
    <row r="284" spans="1:7" x14ac:dyDescent="0.2">
      <c r="A284" s="141">
        <v>200</v>
      </c>
      <c r="B284" s="63" t="s">
        <v>104</v>
      </c>
      <c r="C284" s="50"/>
      <c r="D284" s="174" t="s">
        <v>354</v>
      </c>
      <c r="E284" s="224">
        <v>2000000</v>
      </c>
      <c r="F284" s="224"/>
      <c r="G284" s="270">
        <f t="shared" si="32"/>
        <v>2000000</v>
      </c>
    </row>
    <row r="285" spans="1:7" x14ac:dyDescent="0.2">
      <c r="A285" s="141">
        <v>201</v>
      </c>
      <c r="B285" s="63" t="s">
        <v>116</v>
      </c>
      <c r="C285" s="96"/>
      <c r="D285" s="210" t="s">
        <v>355</v>
      </c>
      <c r="E285" s="236">
        <f>12000000+1562560+1770675</f>
        <v>15333235</v>
      </c>
      <c r="F285" s="236"/>
      <c r="G285" s="270">
        <f t="shared" si="32"/>
        <v>15333235</v>
      </c>
    </row>
    <row r="286" spans="1:7" x14ac:dyDescent="0.2">
      <c r="A286" s="141">
        <v>202</v>
      </c>
      <c r="B286" s="67" t="s">
        <v>107</v>
      </c>
      <c r="C286" s="50"/>
      <c r="D286" s="174" t="s">
        <v>356</v>
      </c>
      <c r="E286" s="244">
        <v>1800000</v>
      </c>
      <c r="F286" s="244"/>
      <c r="G286" s="270">
        <f t="shared" si="32"/>
        <v>1800000</v>
      </c>
    </row>
    <row r="287" spans="1:7" x14ac:dyDescent="0.2">
      <c r="A287" s="141">
        <v>203</v>
      </c>
      <c r="B287" s="65" t="s">
        <v>109</v>
      </c>
      <c r="C287" s="96"/>
      <c r="D287" s="210" t="s">
        <v>357</v>
      </c>
      <c r="E287" s="236"/>
      <c r="F287" s="236"/>
      <c r="G287" s="237"/>
    </row>
    <row r="288" spans="1:7" ht="25.5" x14ac:dyDescent="0.2">
      <c r="A288" s="141">
        <v>204</v>
      </c>
      <c r="B288" s="63" t="s">
        <v>103</v>
      </c>
      <c r="C288" s="96"/>
      <c r="D288" s="214" t="s">
        <v>358</v>
      </c>
      <c r="E288" s="236">
        <v>1000000</v>
      </c>
      <c r="F288" s="236"/>
      <c r="G288" s="270">
        <f t="shared" ref="G288:G294" si="33">SUM(E288:F288)</f>
        <v>1000000</v>
      </c>
    </row>
    <row r="289" spans="1:7" x14ac:dyDescent="0.2">
      <c r="A289" s="141">
        <v>205</v>
      </c>
      <c r="B289" s="67" t="s">
        <v>91</v>
      </c>
      <c r="C289" s="50"/>
      <c r="D289" s="174" t="s">
        <v>359</v>
      </c>
      <c r="E289" s="224">
        <f>4000000+3205331-1770675</f>
        <v>5434656</v>
      </c>
      <c r="F289" s="224"/>
      <c r="G289" s="270">
        <f t="shared" si="33"/>
        <v>5434656</v>
      </c>
    </row>
    <row r="290" spans="1:7" s="142" customFormat="1" ht="12.75" customHeight="1" x14ac:dyDescent="0.2">
      <c r="A290" s="141">
        <v>206</v>
      </c>
      <c r="B290" s="77" t="s">
        <v>111</v>
      </c>
      <c r="C290" s="103"/>
      <c r="D290" s="210" t="s">
        <v>360</v>
      </c>
      <c r="E290" s="236">
        <f>10200000+3400000</f>
        <v>13600000</v>
      </c>
      <c r="F290" s="236"/>
      <c r="G290" s="270">
        <f t="shared" si="33"/>
        <v>13600000</v>
      </c>
    </row>
    <row r="291" spans="1:7" x14ac:dyDescent="0.2">
      <c r="A291" s="141">
        <v>207</v>
      </c>
      <c r="B291" s="49" t="s">
        <v>117</v>
      </c>
      <c r="C291" s="50"/>
      <c r="D291" s="174" t="s">
        <v>361</v>
      </c>
      <c r="E291" s="224">
        <f>500000+1000000</f>
        <v>1500000</v>
      </c>
      <c r="F291" s="224"/>
      <c r="G291" s="270">
        <f t="shared" si="33"/>
        <v>1500000</v>
      </c>
    </row>
    <row r="292" spans="1:7" ht="25.5" x14ac:dyDescent="0.2">
      <c r="A292" s="141">
        <v>208</v>
      </c>
      <c r="B292" s="49" t="s">
        <v>110</v>
      </c>
      <c r="C292" s="50"/>
      <c r="D292" s="201" t="s">
        <v>532</v>
      </c>
      <c r="E292" s="224">
        <v>2250000</v>
      </c>
      <c r="F292" s="224">
        <v>-900000</v>
      </c>
      <c r="G292" s="270">
        <f t="shared" si="33"/>
        <v>1350000</v>
      </c>
    </row>
    <row r="293" spans="1:7" x14ac:dyDescent="0.2">
      <c r="A293" s="141">
        <v>209</v>
      </c>
      <c r="B293" s="123" t="s">
        <v>108</v>
      </c>
      <c r="C293" s="94"/>
      <c r="D293" s="199" t="s">
        <v>362</v>
      </c>
      <c r="E293" s="224">
        <v>25210000</v>
      </c>
      <c r="F293" s="224"/>
      <c r="G293" s="270">
        <f t="shared" si="33"/>
        <v>25210000</v>
      </c>
    </row>
    <row r="294" spans="1:7" x14ac:dyDescent="0.2">
      <c r="A294" s="141">
        <v>210</v>
      </c>
      <c r="B294" s="77" t="s">
        <v>114</v>
      </c>
      <c r="C294" s="96"/>
      <c r="D294" s="214" t="s">
        <v>363</v>
      </c>
      <c r="E294" s="236">
        <v>2000000</v>
      </c>
      <c r="F294" s="236"/>
      <c r="G294" s="270">
        <f t="shared" si="33"/>
        <v>2000000</v>
      </c>
    </row>
    <row r="295" spans="1:7" x14ac:dyDescent="0.2">
      <c r="A295" s="141">
        <v>211</v>
      </c>
      <c r="B295" s="65"/>
      <c r="C295" s="97"/>
      <c r="D295" s="207" t="s">
        <v>364</v>
      </c>
      <c r="E295" s="234"/>
      <c r="F295" s="234"/>
      <c r="G295" s="235"/>
    </row>
    <row r="296" spans="1:7" x14ac:dyDescent="0.2">
      <c r="A296" s="141">
        <v>212</v>
      </c>
      <c r="B296" s="67" t="s">
        <v>115</v>
      </c>
      <c r="C296" s="50"/>
      <c r="D296" s="174" t="s">
        <v>365</v>
      </c>
      <c r="E296" s="224">
        <v>1765000</v>
      </c>
      <c r="F296" s="224"/>
      <c r="G296" s="270">
        <f t="shared" ref="G296:G298" si="34">SUM(E296:F296)</f>
        <v>1765000</v>
      </c>
    </row>
    <row r="297" spans="1:7" x14ac:dyDescent="0.2">
      <c r="A297" s="141">
        <v>213</v>
      </c>
      <c r="B297" s="63" t="s">
        <v>112</v>
      </c>
      <c r="C297" s="50"/>
      <c r="D297" s="174" t="s">
        <v>366</v>
      </c>
      <c r="E297" s="224">
        <f>6000000+3287786</f>
        <v>9287786</v>
      </c>
      <c r="F297" s="224"/>
      <c r="G297" s="270">
        <f t="shared" si="34"/>
        <v>9287786</v>
      </c>
    </row>
    <row r="298" spans="1:7" x14ac:dyDescent="0.2">
      <c r="A298" s="141">
        <v>214</v>
      </c>
      <c r="B298" s="63" t="s">
        <v>113</v>
      </c>
      <c r="C298" s="50"/>
      <c r="D298" s="174" t="s">
        <v>367</v>
      </c>
      <c r="E298" s="224">
        <f>40000000+352017+10815557-14000000-3523402</f>
        <v>33644172</v>
      </c>
      <c r="F298" s="224"/>
      <c r="G298" s="270">
        <f t="shared" si="34"/>
        <v>33644172</v>
      </c>
    </row>
    <row r="299" spans="1:7" ht="13.5" thickBot="1" x14ac:dyDescent="0.25">
      <c r="A299" s="141"/>
      <c r="B299" s="53"/>
      <c r="C299" s="101"/>
      <c r="D299" s="192"/>
      <c r="E299" s="224"/>
      <c r="F299" s="224"/>
      <c r="G299" s="225"/>
    </row>
    <row r="300" spans="1:7" s="143" customFormat="1" ht="15" customHeight="1" thickTop="1" thickBot="1" x14ac:dyDescent="0.25">
      <c r="A300" s="141">
        <v>215</v>
      </c>
      <c r="B300" s="69"/>
      <c r="C300" s="70" t="s">
        <v>254</v>
      </c>
      <c r="D300" s="184"/>
      <c r="E300" s="273">
        <f>SUM(E270:E299)</f>
        <v>701341077</v>
      </c>
      <c r="F300" s="273">
        <f>SUM(F270:F299)</f>
        <v>-900000</v>
      </c>
      <c r="G300" s="274">
        <f>SUM(G270:G299)</f>
        <v>700441077</v>
      </c>
    </row>
    <row r="301" spans="1:7" ht="14.25" thickTop="1" thickBot="1" x14ac:dyDescent="0.25">
      <c r="A301" s="141"/>
      <c r="B301" s="53"/>
      <c r="C301" s="83"/>
      <c r="D301" s="142"/>
      <c r="E301" s="222"/>
      <c r="F301" s="222"/>
      <c r="G301" s="223"/>
    </row>
    <row r="302" spans="1:7" s="144" customFormat="1" ht="15" customHeight="1" thickBot="1" x14ac:dyDescent="0.3">
      <c r="A302" s="139">
        <v>216</v>
      </c>
      <c r="B302" s="79"/>
      <c r="C302" s="85"/>
      <c r="D302" s="193" t="s">
        <v>368</v>
      </c>
      <c r="E302" s="229">
        <f>E267+E300</f>
        <v>2597067367</v>
      </c>
      <c r="F302" s="229">
        <f>F267+F300</f>
        <v>-900000</v>
      </c>
      <c r="G302" s="230">
        <f>G267+G300</f>
        <v>2596167367</v>
      </c>
    </row>
    <row r="303" spans="1:7" s="149" customFormat="1" x14ac:dyDescent="0.2">
      <c r="A303" s="145"/>
      <c r="B303" s="75"/>
      <c r="C303" s="86"/>
      <c r="D303" s="204"/>
      <c r="E303" s="231"/>
      <c r="F303" s="231"/>
      <c r="G303" s="232"/>
    </row>
    <row r="304" spans="1:7" s="142" customFormat="1" ht="13.5" customHeight="1" x14ac:dyDescent="0.25">
      <c r="A304" s="141">
        <v>217</v>
      </c>
      <c r="B304" s="53"/>
      <c r="C304" s="82" t="s">
        <v>369</v>
      </c>
      <c r="E304" s="222"/>
      <c r="F304" s="222"/>
      <c r="G304" s="223"/>
    </row>
    <row r="305" spans="1:7" ht="15.75" x14ac:dyDescent="0.25">
      <c r="A305" s="141">
        <v>218</v>
      </c>
      <c r="B305" s="53"/>
      <c r="C305" s="54" t="s">
        <v>219</v>
      </c>
      <c r="D305" s="195"/>
      <c r="E305" s="222"/>
      <c r="F305" s="222"/>
      <c r="G305" s="223"/>
    </row>
    <row r="306" spans="1:7" s="142" customFormat="1" ht="17.25" customHeight="1" x14ac:dyDescent="0.2">
      <c r="A306" s="141"/>
      <c r="B306" s="53"/>
      <c r="C306" s="100"/>
      <c r="D306" s="152"/>
      <c r="E306" s="222"/>
      <c r="F306" s="222"/>
      <c r="G306" s="223"/>
    </row>
    <row r="307" spans="1:7" s="142" customFormat="1" x14ac:dyDescent="0.2">
      <c r="A307" s="141">
        <v>219</v>
      </c>
      <c r="B307" s="114"/>
      <c r="C307" s="83"/>
      <c r="D307" s="152" t="s">
        <v>370</v>
      </c>
      <c r="E307" s="222"/>
      <c r="F307" s="222"/>
      <c r="G307" s="223"/>
    </row>
    <row r="308" spans="1:7" s="142" customFormat="1" ht="12.75" customHeight="1" x14ac:dyDescent="0.2">
      <c r="A308" s="141">
        <v>220</v>
      </c>
      <c r="B308" s="114"/>
      <c r="C308" s="83"/>
      <c r="D308" s="152" t="s">
        <v>371</v>
      </c>
      <c r="E308" s="222"/>
      <c r="F308" s="222"/>
      <c r="G308" s="223"/>
    </row>
    <row r="309" spans="1:7" s="142" customFormat="1" ht="12.75" customHeight="1" x14ac:dyDescent="0.2">
      <c r="A309" s="141">
        <v>221</v>
      </c>
      <c r="B309" s="62" t="s">
        <v>138</v>
      </c>
      <c r="C309" s="50"/>
      <c r="D309" s="174" t="s">
        <v>372</v>
      </c>
      <c r="E309" s="224">
        <f>104517000+1580260+5300000</f>
        <v>111397260</v>
      </c>
      <c r="F309" s="224"/>
      <c r="G309" s="270">
        <f t="shared" ref="G309:G314" si="35">SUM(E309:F309)</f>
        <v>111397260</v>
      </c>
    </row>
    <row r="310" spans="1:7" s="142" customFormat="1" ht="12.75" customHeight="1" x14ac:dyDescent="0.2">
      <c r="A310" s="141">
        <v>222</v>
      </c>
      <c r="B310" s="62" t="s">
        <v>136</v>
      </c>
      <c r="C310" s="50"/>
      <c r="D310" s="174" t="s">
        <v>373</v>
      </c>
      <c r="E310" s="224">
        <v>21000000</v>
      </c>
      <c r="F310" s="224"/>
      <c r="G310" s="270">
        <f t="shared" si="35"/>
        <v>21000000</v>
      </c>
    </row>
    <row r="311" spans="1:7" s="142" customFormat="1" ht="12.75" customHeight="1" x14ac:dyDescent="0.2">
      <c r="A311" s="141">
        <v>223</v>
      </c>
      <c r="B311" s="62" t="s">
        <v>132</v>
      </c>
      <c r="C311" s="50"/>
      <c r="D311" s="174" t="s">
        <v>374</v>
      </c>
      <c r="E311" s="224">
        <v>25287320</v>
      </c>
      <c r="F311" s="224"/>
      <c r="G311" s="270">
        <f t="shared" si="35"/>
        <v>25287320</v>
      </c>
    </row>
    <row r="312" spans="1:7" s="142" customFormat="1" ht="12.75" customHeight="1" x14ac:dyDescent="0.2">
      <c r="A312" s="141">
        <v>224</v>
      </c>
      <c r="B312" s="62" t="s">
        <v>139</v>
      </c>
      <c r="C312" s="50"/>
      <c r="D312" s="174" t="s">
        <v>375</v>
      </c>
      <c r="E312" s="224">
        <f>75155000+1867580</f>
        <v>77022580</v>
      </c>
      <c r="F312" s="224"/>
      <c r="G312" s="270">
        <f t="shared" si="35"/>
        <v>77022580</v>
      </c>
    </row>
    <row r="313" spans="1:7" s="142" customFormat="1" ht="12.75" customHeight="1" x14ac:dyDescent="0.2">
      <c r="A313" s="141">
        <v>225</v>
      </c>
      <c r="B313" s="95" t="s">
        <v>135</v>
      </c>
      <c r="C313" s="96"/>
      <c r="D313" s="210" t="s">
        <v>376</v>
      </c>
      <c r="E313" s="236">
        <v>18507000</v>
      </c>
      <c r="F313" s="236"/>
      <c r="G313" s="270">
        <f t="shared" si="35"/>
        <v>18507000</v>
      </c>
    </row>
    <row r="314" spans="1:7" s="142" customFormat="1" ht="12.75" customHeight="1" x14ac:dyDescent="0.2">
      <c r="A314" s="141">
        <v>226</v>
      </c>
      <c r="B314" s="114" t="s">
        <v>137</v>
      </c>
      <c r="C314" s="83"/>
      <c r="D314" s="142" t="s">
        <v>377</v>
      </c>
      <c r="E314" s="222">
        <v>5736000</v>
      </c>
      <c r="F314" s="222"/>
      <c r="G314" s="270">
        <f t="shared" si="35"/>
        <v>5736000</v>
      </c>
    </row>
    <row r="315" spans="1:7" s="142" customFormat="1" ht="12.75" customHeight="1" x14ac:dyDescent="0.2">
      <c r="A315" s="141">
        <v>227</v>
      </c>
      <c r="B315" s="124"/>
      <c r="C315" s="97"/>
      <c r="D315" s="207" t="s">
        <v>378</v>
      </c>
      <c r="E315" s="234"/>
      <c r="F315" s="234"/>
      <c r="G315" s="235"/>
    </row>
    <row r="316" spans="1:7" s="142" customFormat="1" ht="12.75" customHeight="1" x14ac:dyDescent="0.2">
      <c r="A316" s="141">
        <v>228</v>
      </c>
      <c r="B316" s="62" t="s">
        <v>133</v>
      </c>
      <c r="C316" s="50"/>
      <c r="D316" s="174" t="s">
        <v>379</v>
      </c>
      <c r="E316" s="224">
        <v>199257000</v>
      </c>
      <c r="F316" s="224"/>
      <c r="G316" s="270">
        <f t="shared" ref="G316" si="36">SUM(E316:F316)</f>
        <v>199257000</v>
      </c>
    </row>
    <row r="317" spans="1:7" s="142" customFormat="1" ht="12.75" customHeight="1" x14ac:dyDescent="0.2">
      <c r="A317" s="141">
        <v>229</v>
      </c>
      <c r="B317" s="124"/>
      <c r="C317" s="97"/>
      <c r="D317" s="207" t="s">
        <v>322</v>
      </c>
      <c r="E317" s="234"/>
      <c r="F317" s="234"/>
      <c r="G317" s="235"/>
    </row>
    <row r="318" spans="1:7" s="142" customFormat="1" ht="12.75" customHeight="1" x14ac:dyDescent="0.2">
      <c r="A318" s="141">
        <v>230</v>
      </c>
      <c r="B318" s="62" t="s">
        <v>131</v>
      </c>
      <c r="C318" s="50"/>
      <c r="D318" s="192" t="s">
        <v>380</v>
      </c>
      <c r="E318" s="224">
        <f>8000000+2500000</f>
        <v>10500000</v>
      </c>
      <c r="F318" s="224"/>
      <c r="G318" s="270">
        <f t="shared" ref="G318" si="37">SUM(E318:F318)</f>
        <v>10500000</v>
      </c>
    </row>
    <row r="319" spans="1:7" s="142" customFormat="1" ht="13.5" thickBot="1" x14ac:dyDescent="0.25">
      <c r="A319" s="141"/>
      <c r="B319" s="62"/>
      <c r="C319" s="50"/>
      <c r="D319" s="192"/>
      <c r="E319" s="224"/>
      <c r="F319" s="224"/>
      <c r="G319" s="225"/>
    </row>
    <row r="320" spans="1:7" s="143" customFormat="1" ht="15" customHeight="1" thickTop="1" thickBot="1" x14ac:dyDescent="0.25">
      <c r="A320" s="153">
        <v>231</v>
      </c>
      <c r="B320" s="69"/>
      <c r="C320" s="70" t="s">
        <v>241</v>
      </c>
      <c r="D320" s="184"/>
      <c r="E320" s="273">
        <f>SUM(E305:E319)</f>
        <v>468707160</v>
      </c>
      <c r="F320" s="273">
        <f>SUM(F305:F319)</f>
        <v>0</v>
      </c>
      <c r="G320" s="274">
        <f>SUM(G305:G319)</f>
        <v>468707160</v>
      </c>
    </row>
    <row r="321" spans="1:7" ht="13.5" thickTop="1" x14ac:dyDescent="0.2">
      <c r="A321" s="141"/>
      <c r="B321" s="121"/>
      <c r="C321" s="122"/>
      <c r="D321" s="219"/>
      <c r="E321" s="242"/>
      <c r="F321" s="242"/>
      <c r="G321" s="243"/>
    </row>
    <row r="322" spans="1:7" ht="15.75" x14ac:dyDescent="0.25">
      <c r="A322" s="141">
        <v>232</v>
      </c>
      <c r="B322" s="53"/>
      <c r="C322" s="54" t="s">
        <v>242</v>
      </c>
      <c r="D322" s="190"/>
      <c r="E322" s="222"/>
      <c r="F322" s="222"/>
      <c r="G322" s="223"/>
    </row>
    <row r="323" spans="1:7" s="142" customFormat="1" ht="12.75" customHeight="1" x14ac:dyDescent="0.2">
      <c r="A323" s="141"/>
      <c r="B323" s="53"/>
      <c r="C323" s="100"/>
      <c r="D323" s="152"/>
      <c r="E323" s="222"/>
      <c r="F323" s="222"/>
      <c r="G323" s="223"/>
    </row>
    <row r="324" spans="1:7" s="142" customFormat="1" ht="12.75" customHeight="1" x14ac:dyDescent="0.2">
      <c r="A324" s="141">
        <v>233</v>
      </c>
      <c r="B324" s="49" t="s">
        <v>141</v>
      </c>
      <c r="C324" s="101"/>
      <c r="D324" s="174" t="s">
        <v>381</v>
      </c>
      <c r="E324" s="224">
        <v>34508220</v>
      </c>
      <c r="F324" s="224"/>
      <c r="G324" s="270">
        <f t="shared" ref="G324" si="38">SUM(E324:F324)</f>
        <v>34508220</v>
      </c>
    </row>
    <row r="325" spans="1:7" s="142" customFormat="1" ht="12.75" customHeight="1" x14ac:dyDescent="0.2">
      <c r="A325" s="141">
        <v>234</v>
      </c>
      <c r="B325" s="124"/>
      <c r="C325" s="102"/>
      <c r="D325" s="207" t="s">
        <v>337</v>
      </c>
      <c r="E325" s="234"/>
      <c r="F325" s="234"/>
      <c r="G325" s="235"/>
    </row>
    <row r="326" spans="1:7" s="142" customFormat="1" ht="12.75" customHeight="1" x14ac:dyDescent="0.2">
      <c r="A326" s="141">
        <v>235</v>
      </c>
      <c r="B326" s="67" t="s">
        <v>125</v>
      </c>
      <c r="C326" s="101"/>
      <c r="D326" s="174" t="s">
        <v>382</v>
      </c>
      <c r="E326" s="224">
        <v>1500000</v>
      </c>
      <c r="F326" s="224"/>
      <c r="G326" s="270">
        <f t="shared" ref="G326:G331" si="39">SUM(E326:F326)</f>
        <v>1500000</v>
      </c>
    </row>
    <row r="327" spans="1:7" s="142" customFormat="1" ht="12.75" customHeight="1" x14ac:dyDescent="0.2">
      <c r="A327" s="141">
        <v>236</v>
      </c>
      <c r="B327" s="67" t="s">
        <v>127</v>
      </c>
      <c r="C327" s="101"/>
      <c r="D327" s="174" t="s">
        <v>383</v>
      </c>
      <c r="E327" s="224">
        <v>2000000</v>
      </c>
      <c r="F327" s="224"/>
      <c r="G327" s="270">
        <f t="shared" si="39"/>
        <v>2000000</v>
      </c>
    </row>
    <row r="328" spans="1:7" s="142" customFormat="1" ht="12.75" customHeight="1" x14ac:dyDescent="0.2">
      <c r="A328" s="141">
        <v>237</v>
      </c>
      <c r="B328" s="67" t="s">
        <v>128</v>
      </c>
      <c r="C328" s="101"/>
      <c r="D328" s="174" t="s">
        <v>384</v>
      </c>
      <c r="E328" s="224">
        <f>6200000+100000</f>
        <v>6300000</v>
      </c>
      <c r="F328" s="224"/>
      <c r="G328" s="270">
        <f t="shared" si="39"/>
        <v>6300000</v>
      </c>
    </row>
    <row r="329" spans="1:7" s="142" customFormat="1" ht="25.5" x14ac:dyDescent="0.2">
      <c r="A329" s="141">
        <v>238</v>
      </c>
      <c r="B329" s="67" t="s">
        <v>129</v>
      </c>
      <c r="C329" s="101"/>
      <c r="D329" s="201" t="s">
        <v>385</v>
      </c>
      <c r="E329" s="224">
        <v>3811781</v>
      </c>
      <c r="F329" s="224"/>
      <c r="G329" s="270">
        <f t="shared" si="39"/>
        <v>3811781</v>
      </c>
    </row>
    <row r="330" spans="1:7" s="142" customFormat="1" ht="12.75" customHeight="1" x14ac:dyDescent="0.2">
      <c r="A330" s="141">
        <v>239</v>
      </c>
      <c r="B330" s="77" t="s">
        <v>146</v>
      </c>
      <c r="C330" s="103"/>
      <c r="D330" s="210" t="s">
        <v>386</v>
      </c>
      <c r="E330" s="236">
        <v>8000000</v>
      </c>
      <c r="F330" s="236"/>
      <c r="G330" s="270">
        <f t="shared" si="39"/>
        <v>8000000</v>
      </c>
    </row>
    <row r="331" spans="1:7" s="142" customFormat="1" ht="12.75" customHeight="1" x14ac:dyDescent="0.2">
      <c r="A331" s="141">
        <v>240</v>
      </c>
      <c r="B331" s="77" t="s">
        <v>147</v>
      </c>
      <c r="C331" s="103"/>
      <c r="D331" s="210" t="s">
        <v>387</v>
      </c>
      <c r="E331" s="236">
        <v>7000000</v>
      </c>
      <c r="F331" s="236"/>
      <c r="G331" s="270">
        <f t="shared" si="39"/>
        <v>7000000</v>
      </c>
    </row>
    <row r="332" spans="1:7" ht="12.75" customHeight="1" x14ac:dyDescent="0.2">
      <c r="A332" s="306">
        <v>241</v>
      </c>
      <c r="B332" s="53"/>
      <c r="C332" s="100"/>
      <c r="D332" s="207" t="s">
        <v>388</v>
      </c>
      <c r="E332" s="222"/>
      <c r="F332" s="222"/>
      <c r="G332" s="223"/>
    </row>
    <row r="333" spans="1:7" ht="12.75" customHeight="1" x14ac:dyDescent="0.2">
      <c r="A333" s="307"/>
      <c r="B333" s="53"/>
      <c r="C333" s="100"/>
      <c r="D333" s="152" t="s">
        <v>389</v>
      </c>
      <c r="E333" s="222"/>
      <c r="F333" s="222"/>
      <c r="G333" s="223"/>
    </row>
    <row r="334" spans="1:7" ht="12.75" customHeight="1" x14ac:dyDescent="0.2">
      <c r="A334" s="141">
        <v>242</v>
      </c>
      <c r="B334" s="49" t="s">
        <v>122</v>
      </c>
      <c r="C334" s="50"/>
      <c r="D334" s="174" t="s">
        <v>390</v>
      </c>
      <c r="E334" s="224">
        <v>47300000</v>
      </c>
      <c r="F334" s="224"/>
      <c r="G334" s="270">
        <f t="shared" ref="G334" si="40">SUM(E334:F334)</f>
        <v>47300000</v>
      </c>
    </row>
    <row r="335" spans="1:7" ht="12.75" customHeight="1" x14ac:dyDescent="0.2">
      <c r="A335" s="141">
        <v>243</v>
      </c>
      <c r="B335" s="59"/>
      <c r="C335" s="97"/>
      <c r="D335" s="207" t="s">
        <v>391</v>
      </c>
      <c r="E335" s="234"/>
      <c r="F335" s="234"/>
      <c r="G335" s="235"/>
    </row>
    <row r="336" spans="1:7" ht="12.75" customHeight="1" x14ac:dyDescent="0.2">
      <c r="A336" s="141">
        <v>244</v>
      </c>
      <c r="B336" s="49" t="s">
        <v>118</v>
      </c>
      <c r="C336" s="50"/>
      <c r="D336" s="174" t="s">
        <v>392</v>
      </c>
      <c r="E336" s="224">
        <f>84000000+36000000</f>
        <v>120000000</v>
      </c>
      <c r="F336" s="224"/>
      <c r="G336" s="270">
        <f t="shared" ref="G336:G340" si="41">SUM(E336:F336)</f>
        <v>120000000</v>
      </c>
    </row>
    <row r="337" spans="1:7" ht="12.75" customHeight="1" x14ac:dyDescent="0.2">
      <c r="A337" s="141">
        <v>245</v>
      </c>
      <c r="B337" s="77" t="s">
        <v>121</v>
      </c>
      <c r="C337" s="96"/>
      <c r="D337" s="210" t="s">
        <v>393</v>
      </c>
      <c r="E337" s="236">
        <f>50000000+5000000</f>
        <v>55000000</v>
      </c>
      <c r="F337" s="236"/>
      <c r="G337" s="270">
        <f t="shared" si="41"/>
        <v>55000000</v>
      </c>
    </row>
    <row r="338" spans="1:7" ht="12.75" customHeight="1" x14ac:dyDescent="0.2">
      <c r="A338" s="141">
        <v>246</v>
      </c>
      <c r="B338" s="77" t="s">
        <v>119</v>
      </c>
      <c r="C338" s="96"/>
      <c r="D338" s="210" t="s">
        <v>394</v>
      </c>
      <c r="E338" s="236">
        <v>12000000</v>
      </c>
      <c r="F338" s="236"/>
      <c r="G338" s="270">
        <f t="shared" si="41"/>
        <v>12000000</v>
      </c>
    </row>
    <row r="339" spans="1:7" ht="12.75" customHeight="1" x14ac:dyDescent="0.2">
      <c r="A339" s="141">
        <v>247</v>
      </c>
      <c r="B339" s="77" t="s">
        <v>123</v>
      </c>
      <c r="C339" s="96"/>
      <c r="D339" s="210" t="s">
        <v>395</v>
      </c>
      <c r="E339" s="236">
        <v>14000000</v>
      </c>
      <c r="F339" s="236">
        <v>7000000</v>
      </c>
      <c r="G339" s="270">
        <f t="shared" si="41"/>
        <v>21000000</v>
      </c>
    </row>
    <row r="340" spans="1:7" ht="12.75" customHeight="1" x14ac:dyDescent="0.2">
      <c r="A340" s="141">
        <v>248</v>
      </c>
      <c r="B340" s="77" t="s">
        <v>120</v>
      </c>
      <c r="C340" s="96"/>
      <c r="D340" s="210" t="s">
        <v>396</v>
      </c>
      <c r="E340" s="236">
        <v>1000000</v>
      </c>
      <c r="F340" s="236"/>
      <c r="G340" s="270">
        <f t="shared" si="41"/>
        <v>1000000</v>
      </c>
    </row>
    <row r="341" spans="1:7" s="142" customFormat="1" ht="12.75" customHeight="1" x14ac:dyDescent="0.2">
      <c r="A341" s="141">
        <v>249</v>
      </c>
      <c r="B341" s="59"/>
      <c r="C341" s="102"/>
      <c r="D341" s="207" t="s">
        <v>328</v>
      </c>
      <c r="E341" s="234"/>
      <c r="F341" s="234"/>
      <c r="G341" s="235"/>
    </row>
    <row r="342" spans="1:7" s="142" customFormat="1" ht="12.75" customHeight="1" x14ac:dyDescent="0.2">
      <c r="A342" s="141">
        <v>250</v>
      </c>
      <c r="B342" s="49" t="s">
        <v>124</v>
      </c>
      <c r="C342" s="50"/>
      <c r="D342" s="174" t="s">
        <v>397</v>
      </c>
      <c r="E342" s="224">
        <v>7551325</v>
      </c>
      <c r="F342" s="224"/>
      <c r="G342" s="270">
        <f t="shared" ref="G342:G352" si="42">SUM(E342:F342)</f>
        <v>7551325</v>
      </c>
    </row>
    <row r="343" spans="1:7" s="142" customFormat="1" ht="12.75" customHeight="1" x14ac:dyDescent="0.2">
      <c r="A343" s="141">
        <v>251</v>
      </c>
      <c r="B343" s="77" t="s">
        <v>142</v>
      </c>
      <c r="C343" s="96"/>
      <c r="D343" s="210" t="s">
        <v>398</v>
      </c>
      <c r="E343" s="236">
        <v>5500000</v>
      </c>
      <c r="F343" s="236"/>
      <c r="G343" s="270">
        <f t="shared" si="42"/>
        <v>5500000</v>
      </c>
    </row>
    <row r="344" spans="1:7" s="142" customFormat="1" ht="12.75" customHeight="1" x14ac:dyDescent="0.2">
      <c r="A344" s="141">
        <v>252</v>
      </c>
      <c r="B344" s="77" t="s">
        <v>148</v>
      </c>
      <c r="C344" s="96"/>
      <c r="D344" s="210" t="s">
        <v>399</v>
      </c>
      <c r="E344" s="236">
        <v>7000000</v>
      </c>
      <c r="F344" s="236"/>
      <c r="G344" s="270">
        <f t="shared" si="42"/>
        <v>7000000</v>
      </c>
    </row>
    <row r="345" spans="1:7" s="142" customFormat="1" ht="12.75" customHeight="1" x14ac:dyDescent="0.2">
      <c r="A345" s="141">
        <v>253</v>
      </c>
      <c r="B345" s="77" t="s">
        <v>145</v>
      </c>
      <c r="C345" s="96"/>
      <c r="D345" s="210" t="s">
        <v>400</v>
      </c>
      <c r="E345" s="236">
        <v>30150000</v>
      </c>
      <c r="F345" s="236"/>
      <c r="G345" s="270">
        <f t="shared" si="42"/>
        <v>30150000</v>
      </c>
    </row>
    <row r="346" spans="1:7" s="142" customFormat="1" ht="12.75" customHeight="1" x14ac:dyDescent="0.2">
      <c r="A346" s="141">
        <v>254</v>
      </c>
      <c r="B346" s="77" t="s">
        <v>130</v>
      </c>
      <c r="C346" s="96"/>
      <c r="D346" s="210" t="s">
        <v>401</v>
      </c>
      <c r="E346" s="236">
        <v>5330000</v>
      </c>
      <c r="F346" s="236"/>
      <c r="G346" s="270">
        <f t="shared" si="42"/>
        <v>5330000</v>
      </c>
    </row>
    <row r="347" spans="1:7" s="142" customFormat="1" ht="12.75" customHeight="1" x14ac:dyDescent="0.2">
      <c r="A347" s="141">
        <v>255</v>
      </c>
      <c r="B347" s="77" t="s">
        <v>126</v>
      </c>
      <c r="C347" s="96"/>
      <c r="D347" s="210" t="s">
        <v>402</v>
      </c>
      <c r="E347" s="236">
        <v>1120000</v>
      </c>
      <c r="F347" s="236"/>
      <c r="G347" s="270">
        <f t="shared" si="42"/>
        <v>1120000</v>
      </c>
    </row>
    <row r="348" spans="1:7" s="142" customFormat="1" ht="12.75" customHeight="1" x14ac:dyDescent="0.2">
      <c r="A348" s="141">
        <v>256</v>
      </c>
      <c r="B348" s="77" t="s">
        <v>134</v>
      </c>
      <c r="C348" s="96"/>
      <c r="D348" s="210" t="s">
        <v>403</v>
      </c>
      <c r="E348" s="236">
        <v>936125</v>
      </c>
      <c r="F348" s="236"/>
      <c r="G348" s="270">
        <f t="shared" si="42"/>
        <v>936125</v>
      </c>
    </row>
    <row r="349" spans="1:7" s="142" customFormat="1" ht="25.5" x14ac:dyDescent="0.2">
      <c r="A349" s="141">
        <v>257</v>
      </c>
      <c r="B349" s="64" t="s">
        <v>140</v>
      </c>
      <c r="C349" s="94"/>
      <c r="D349" s="220" t="s">
        <v>404</v>
      </c>
      <c r="E349" s="236">
        <v>1000000</v>
      </c>
      <c r="F349" s="236"/>
      <c r="G349" s="270">
        <f t="shared" si="42"/>
        <v>1000000</v>
      </c>
    </row>
    <row r="350" spans="1:7" s="142" customFormat="1" ht="12.75" customHeight="1" x14ac:dyDescent="0.2">
      <c r="A350" s="141">
        <v>258</v>
      </c>
      <c r="B350" s="77" t="s">
        <v>143</v>
      </c>
      <c r="C350" s="96"/>
      <c r="D350" s="210" t="s">
        <v>405</v>
      </c>
      <c r="E350" s="236">
        <v>5000000</v>
      </c>
      <c r="F350" s="236"/>
      <c r="G350" s="270">
        <f t="shared" si="42"/>
        <v>5000000</v>
      </c>
    </row>
    <row r="351" spans="1:7" s="142" customFormat="1" ht="12.75" customHeight="1" x14ac:dyDescent="0.2">
      <c r="A351" s="141">
        <v>259</v>
      </c>
      <c r="B351" s="64" t="s">
        <v>144</v>
      </c>
      <c r="C351" s="94"/>
      <c r="D351" s="199" t="s">
        <v>406</v>
      </c>
      <c r="E351" s="236">
        <v>1449991</v>
      </c>
      <c r="F351" s="236"/>
      <c r="G351" s="270">
        <f t="shared" si="42"/>
        <v>1449991</v>
      </c>
    </row>
    <row r="352" spans="1:7" s="142" customFormat="1" ht="12.75" customHeight="1" x14ac:dyDescent="0.2">
      <c r="A352" s="141">
        <v>260</v>
      </c>
      <c r="B352" s="292" t="s">
        <v>525</v>
      </c>
      <c r="C352" s="94"/>
      <c r="D352" s="199" t="s">
        <v>500</v>
      </c>
      <c r="E352" s="236"/>
      <c r="F352" s="236">
        <v>18000000</v>
      </c>
      <c r="G352" s="270">
        <f t="shared" si="42"/>
        <v>18000000</v>
      </c>
    </row>
    <row r="353" spans="1:7" s="142" customFormat="1" ht="12.75" customHeight="1" thickBot="1" x14ac:dyDescent="0.25">
      <c r="A353" s="141"/>
      <c r="B353" s="77"/>
      <c r="C353" s="96"/>
      <c r="D353" s="210"/>
      <c r="E353" s="236"/>
      <c r="F353" s="236"/>
      <c r="G353" s="237"/>
    </row>
    <row r="354" spans="1:7" s="143" customFormat="1" ht="15" customHeight="1" thickTop="1" thickBot="1" x14ac:dyDescent="0.25">
      <c r="A354" s="141">
        <v>261</v>
      </c>
      <c r="B354" s="69"/>
      <c r="C354" s="70" t="s">
        <v>254</v>
      </c>
      <c r="D354" s="184"/>
      <c r="E354" s="273">
        <f>SUM(E323:E353)</f>
        <v>377457442</v>
      </c>
      <c r="F354" s="273">
        <f>SUM(F323:F353)</f>
        <v>25000000</v>
      </c>
      <c r="G354" s="274">
        <f>SUM(G323:G353)</f>
        <v>402457442</v>
      </c>
    </row>
    <row r="355" spans="1:7" s="142" customFormat="1" ht="14.25" thickTop="1" thickBot="1" x14ac:dyDescent="0.25">
      <c r="A355" s="141"/>
      <c r="B355" s="53"/>
      <c r="C355" s="97"/>
      <c r="D355" s="203"/>
      <c r="E355" s="234"/>
      <c r="F355" s="234"/>
      <c r="G355" s="235"/>
    </row>
    <row r="356" spans="1:7" s="144" customFormat="1" ht="15" customHeight="1" thickBot="1" x14ac:dyDescent="0.3">
      <c r="A356" s="160">
        <v>262</v>
      </c>
      <c r="B356" s="79"/>
      <c r="C356" s="85"/>
      <c r="D356" s="193" t="s">
        <v>407</v>
      </c>
      <c r="E356" s="229">
        <f>E320+E354</f>
        <v>846164602</v>
      </c>
      <c r="F356" s="229">
        <f>F320+F354</f>
        <v>25000000</v>
      </c>
      <c r="G356" s="230">
        <f>G320+G354</f>
        <v>871164602</v>
      </c>
    </row>
    <row r="357" spans="1:7" s="149" customFormat="1" ht="12" customHeight="1" x14ac:dyDescent="0.2">
      <c r="A357" s="145"/>
      <c r="B357" s="75"/>
      <c r="C357" s="86"/>
      <c r="D357" s="194"/>
      <c r="E357" s="231"/>
      <c r="F357" s="231"/>
      <c r="G357" s="232"/>
    </row>
    <row r="358" spans="1:7" ht="15.75" x14ac:dyDescent="0.25">
      <c r="A358" s="141">
        <v>263</v>
      </c>
      <c r="B358" s="53"/>
      <c r="C358" s="119" t="s">
        <v>408</v>
      </c>
      <c r="D358" s="195"/>
      <c r="E358" s="222"/>
      <c r="F358" s="222"/>
      <c r="G358" s="223"/>
    </row>
    <row r="359" spans="1:7" ht="15.75" x14ac:dyDescent="0.25">
      <c r="A359" s="141"/>
      <c r="B359" s="53"/>
      <c r="C359" s="54"/>
      <c r="D359" s="195"/>
      <c r="E359" s="222"/>
      <c r="F359" s="222"/>
      <c r="G359" s="223"/>
    </row>
    <row r="360" spans="1:7" ht="15.75" x14ac:dyDescent="0.25">
      <c r="A360" s="141">
        <v>264</v>
      </c>
      <c r="B360" s="53"/>
      <c r="C360" s="119" t="s">
        <v>219</v>
      </c>
      <c r="D360" s="195"/>
      <c r="E360" s="222"/>
      <c r="F360" s="222"/>
      <c r="G360" s="223"/>
    </row>
    <row r="361" spans="1:7" ht="15.75" x14ac:dyDescent="0.25">
      <c r="A361" s="141"/>
      <c r="B361" s="53"/>
      <c r="C361" s="119"/>
      <c r="D361" s="195"/>
      <c r="E361" s="222"/>
      <c r="F361" s="222"/>
      <c r="G361" s="223"/>
    </row>
    <row r="362" spans="1:7" x14ac:dyDescent="0.2">
      <c r="A362" s="141">
        <v>265</v>
      </c>
      <c r="B362" s="125"/>
      <c r="C362" s="100"/>
      <c r="D362" s="152" t="s">
        <v>409</v>
      </c>
      <c r="E362" s="222"/>
      <c r="F362" s="222"/>
      <c r="G362" s="223"/>
    </row>
    <row r="363" spans="1:7" x14ac:dyDescent="0.2">
      <c r="A363" s="141">
        <v>266</v>
      </c>
      <c r="B363" s="126" t="s">
        <v>150</v>
      </c>
      <c r="C363" s="50"/>
      <c r="D363" s="192" t="s">
        <v>410</v>
      </c>
      <c r="E363" s="224">
        <v>1080000</v>
      </c>
      <c r="F363" s="224"/>
      <c r="G363" s="270">
        <f t="shared" ref="G363:G371" si="43">SUM(E363:F363)</f>
        <v>1080000</v>
      </c>
    </row>
    <row r="364" spans="1:7" x14ac:dyDescent="0.2">
      <c r="A364" s="141">
        <v>267</v>
      </c>
      <c r="B364" s="127" t="s">
        <v>151</v>
      </c>
      <c r="C364" s="50"/>
      <c r="D364" s="192" t="s">
        <v>411</v>
      </c>
      <c r="E364" s="224">
        <v>1080000</v>
      </c>
      <c r="F364" s="224"/>
      <c r="G364" s="270">
        <f t="shared" si="43"/>
        <v>1080000</v>
      </c>
    </row>
    <row r="365" spans="1:7" x14ac:dyDescent="0.2">
      <c r="A365" s="141">
        <v>268</v>
      </c>
      <c r="B365" s="127" t="s">
        <v>152</v>
      </c>
      <c r="C365" s="50"/>
      <c r="D365" s="192" t="s">
        <v>412</v>
      </c>
      <c r="E365" s="224">
        <v>1080000</v>
      </c>
      <c r="F365" s="224"/>
      <c r="G365" s="270">
        <f t="shared" si="43"/>
        <v>1080000</v>
      </c>
    </row>
    <row r="366" spans="1:7" x14ac:dyDescent="0.2">
      <c r="A366" s="141">
        <v>269</v>
      </c>
      <c r="B366" s="127" t="s">
        <v>153</v>
      </c>
      <c r="C366" s="50"/>
      <c r="D366" s="192" t="s">
        <v>413</v>
      </c>
      <c r="E366" s="224">
        <v>1080000</v>
      </c>
      <c r="F366" s="224"/>
      <c r="G366" s="270">
        <f t="shared" si="43"/>
        <v>1080000</v>
      </c>
    </row>
    <row r="367" spans="1:7" x14ac:dyDescent="0.2">
      <c r="A367" s="141">
        <v>270</v>
      </c>
      <c r="B367" s="127" t="s">
        <v>158</v>
      </c>
      <c r="C367" s="50"/>
      <c r="D367" s="192" t="s">
        <v>414</v>
      </c>
      <c r="E367" s="224">
        <v>1080000</v>
      </c>
      <c r="F367" s="224"/>
      <c r="G367" s="270">
        <f t="shared" si="43"/>
        <v>1080000</v>
      </c>
    </row>
    <row r="368" spans="1:7" x14ac:dyDescent="0.2">
      <c r="A368" s="141">
        <v>271</v>
      </c>
      <c r="B368" s="127" t="s">
        <v>154</v>
      </c>
      <c r="C368" s="50"/>
      <c r="D368" s="192" t="s">
        <v>415</v>
      </c>
      <c r="E368" s="224">
        <v>1080000</v>
      </c>
      <c r="F368" s="224"/>
      <c r="G368" s="270">
        <f t="shared" si="43"/>
        <v>1080000</v>
      </c>
    </row>
    <row r="369" spans="1:7" x14ac:dyDescent="0.2">
      <c r="A369" s="141">
        <v>272</v>
      </c>
      <c r="B369" s="127" t="s">
        <v>155</v>
      </c>
      <c r="C369" s="50"/>
      <c r="D369" s="192" t="s">
        <v>416</v>
      </c>
      <c r="E369" s="224">
        <v>1080000</v>
      </c>
      <c r="F369" s="224"/>
      <c r="G369" s="270">
        <f t="shared" si="43"/>
        <v>1080000</v>
      </c>
    </row>
    <row r="370" spans="1:7" x14ac:dyDescent="0.2">
      <c r="A370" s="141">
        <v>273</v>
      </c>
      <c r="B370" s="127" t="s">
        <v>156</v>
      </c>
      <c r="C370" s="50"/>
      <c r="D370" s="192" t="s">
        <v>417</v>
      </c>
      <c r="E370" s="224">
        <v>1080000</v>
      </c>
      <c r="F370" s="224"/>
      <c r="G370" s="270">
        <f t="shared" si="43"/>
        <v>1080000</v>
      </c>
    </row>
    <row r="371" spans="1:7" x14ac:dyDescent="0.2">
      <c r="A371" s="141">
        <v>274</v>
      </c>
      <c r="B371" s="127" t="s">
        <v>157</v>
      </c>
      <c r="C371" s="96"/>
      <c r="D371" s="202" t="s">
        <v>418</v>
      </c>
      <c r="E371" s="236">
        <v>1080000</v>
      </c>
      <c r="F371" s="236"/>
      <c r="G371" s="270">
        <f t="shared" si="43"/>
        <v>1080000</v>
      </c>
    </row>
    <row r="372" spans="1:7" x14ac:dyDescent="0.2">
      <c r="A372" s="141">
        <v>275</v>
      </c>
      <c r="B372" s="111"/>
      <c r="C372" s="102"/>
      <c r="D372" s="207" t="s">
        <v>419</v>
      </c>
      <c r="E372" s="234"/>
      <c r="F372" s="234"/>
      <c r="G372" s="235"/>
    </row>
    <row r="373" spans="1:7" x14ac:dyDescent="0.2">
      <c r="A373" s="141">
        <v>276</v>
      </c>
      <c r="B373" s="49" t="s">
        <v>167</v>
      </c>
      <c r="C373" s="101"/>
      <c r="D373" s="174" t="s">
        <v>420</v>
      </c>
      <c r="E373" s="224">
        <f>10800000+5064656+1416600</f>
        <v>17281256</v>
      </c>
      <c r="F373" s="224"/>
      <c r="G373" s="270">
        <f t="shared" ref="G373:G375" si="44">SUM(E373:F373)</f>
        <v>17281256</v>
      </c>
    </row>
    <row r="374" spans="1:7" ht="12.75" customHeight="1" x14ac:dyDescent="0.2">
      <c r="A374" s="141">
        <v>277</v>
      </c>
      <c r="B374" s="77" t="s">
        <v>168</v>
      </c>
      <c r="C374" s="103"/>
      <c r="D374" s="214" t="s">
        <v>421</v>
      </c>
      <c r="E374" s="236">
        <f>65000000+36909050</f>
        <v>101909050</v>
      </c>
      <c r="F374" s="236"/>
      <c r="G374" s="270">
        <f t="shared" si="44"/>
        <v>101909050</v>
      </c>
    </row>
    <row r="375" spans="1:7" x14ac:dyDescent="0.2">
      <c r="A375" s="141">
        <v>278</v>
      </c>
      <c r="B375" s="49" t="s">
        <v>166</v>
      </c>
      <c r="C375" s="50"/>
      <c r="D375" s="192" t="s">
        <v>422</v>
      </c>
      <c r="E375" s="224">
        <f>1445000+326823</f>
        <v>1771823</v>
      </c>
      <c r="F375" s="224"/>
      <c r="G375" s="270">
        <f t="shared" si="44"/>
        <v>1771823</v>
      </c>
    </row>
    <row r="376" spans="1:7" x14ac:dyDescent="0.2">
      <c r="A376" s="141">
        <v>279</v>
      </c>
      <c r="B376" s="59"/>
      <c r="C376" s="102"/>
      <c r="D376" s="207" t="s">
        <v>328</v>
      </c>
      <c r="E376" s="234"/>
      <c r="F376" s="234"/>
      <c r="G376" s="235"/>
    </row>
    <row r="377" spans="1:7" x14ac:dyDescent="0.2">
      <c r="A377" s="141">
        <v>280</v>
      </c>
      <c r="B377" s="49" t="s">
        <v>170</v>
      </c>
      <c r="C377" s="101"/>
      <c r="D377" s="174" t="s">
        <v>423</v>
      </c>
      <c r="E377" s="224">
        <v>119973000</v>
      </c>
      <c r="F377" s="224"/>
      <c r="G377" s="270">
        <f t="shared" ref="G377:G383" si="45">SUM(E377:F377)</f>
        <v>119973000</v>
      </c>
    </row>
    <row r="378" spans="1:7" x14ac:dyDescent="0.2">
      <c r="A378" s="141">
        <v>281</v>
      </c>
      <c r="B378" s="126" t="s">
        <v>160</v>
      </c>
      <c r="C378" s="101"/>
      <c r="D378" s="192" t="s">
        <v>424</v>
      </c>
      <c r="E378" s="224">
        <v>383226562</v>
      </c>
      <c r="F378" s="224"/>
      <c r="G378" s="270">
        <f t="shared" si="45"/>
        <v>383226562</v>
      </c>
    </row>
    <row r="379" spans="1:7" x14ac:dyDescent="0.2">
      <c r="A379" s="141">
        <v>282</v>
      </c>
      <c r="B379" s="126" t="s">
        <v>161</v>
      </c>
      <c r="C379" s="101"/>
      <c r="D379" s="192" t="s">
        <v>425</v>
      </c>
      <c r="E379" s="224">
        <v>197735113</v>
      </c>
      <c r="F379" s="224"/>
      <c r="G379" s="270">
        <f t="shared" si="45"/>
        <v>197735113</v>
      </c>
    </row>
    <row r="380" spans="1:7" x14ac:dyDescent="0.2">
      <c r="A380" s="141">
        <v>283</v>
      </c>
      <c r="B380" s="126" t="s">
        <v>162</v>
      </c>
      <c r="C380" s="101"/>
      <c r="D380" s="192" t="s">
        <v>426</v>
      </c>
      <c r="E380" s="224">
        <v>5024920</v>
      </c>
      <c r="F380" s="224"/>
      <c r="G380" s="270">
        <f t="shared" si="45"/>
        <v>5024920</v>
      </c>
    </row>
    <row r="381" spans="1:7" x14ac:dyDescent="0.2">
      <c r="A381" s="141">
        <v>284</v>
      </c>
      <c r="B381" s="126" t="s">
        <v>149</v>
      </c>
      <c r="C381" s="101"/>
      <c r="D381" s="192" t="s">
        <v>484</v>
      </c>
      <c r="E381" s="224">
        <v>4787689</v>
      </c>
      <c r="F381" s="224"/>
      <c r="G381" s="270">
        <f t="shared" si="45"/>
        <v>4787689</v>
      </c>
    </row>
    <row r="382" spans="1:7" ht="25.5" x14ac:dyDescent="0.2">
      <c r="A382" s="141">
        <v>285</v>
      </c>
      <c r="B382" s="126" t="s">
        <v>169</v>
      </c>
      <c r="C382" s="101"/>
      <c r="D382" s="208" t="s">
        <v>427</v>
      </c>
      <c r="E382" s="224">
        <v>102017137</v>
      </c>
      <c r="F382" s="224"/>
      <c r="G382" s="270">
        <f t="shared" si="45"/>
        <v>102017137</v>
      </c>
    </row>
    <row r="383" spans="1:7" x14ac:dyDescent="0.2">
      <c r="A383" s="141">
        <v>286</v>
      </c>
      <c r="B383" s="126" t="s">
        <v>428</v>
      </c>
      <c r="C383" s="101"/>
      <c r="D383" s="192" t="s">
        <v>429</v>
      </c>
      <c r="E383" s="224">
        <v>425178528</v>
      </c>
      <c r="F383" s="244">
        <v>-30000000</v>
      </c>
      <c r="G383" s="270">
        <f t="shared" si="45"/>
        <v>395178528</v>
      </c>
    </row>
    <row r="384" spans="1:7" x14ac:dyDescent="0.2">
      <c r="A384" s="141"/>
      <c r="B384" s="126" t="s">
        <v>527</v>
      </c>
      <c r="C384" s="101"/>
      <c r="D384" s="192"/>
      <c r="E384" s="224"/>
      <c r="F384" s="224"/>
      <c r="G384" s="225"/>
    </row>
    <row r="385" spans="1:7" x14ac:dyDescent="0.2">
      <c r="A385" s="141">
        <v>287</v>
      </c>
      <c r="B385" s="111" t="s">
        <v>165</v>
      </c>
      <c r="C385" s="102"/>
      <c r="D385" s="203" t="s">
        <v>430</v>
      </c>
      <c r="E385" s="236">
        <f>65685254+7254830</f>
        <v>72940084</v>
      </c>
      <c r="F385" s="236"/>
      <c r="G385" s="270">
        <f t="shared" ref="G385:G386" si="46">SUM(E385:F385)</f>
        <v>72940084</v>
      </c>
    </row>
    <row r="386" spans="1:7" x14ac:dyDescent="0.2">
      <c r="A386" s="141">
        <v>288</v>
      </c>
      <c r="B386" s="127" t="s">
        <v>431</v>
      </c>
      <c r="C386" s="103"/>
      <c r="D386" s="202" t="s">
        <v>432</v>
      </c>
      <c r="E386" s="236">
        <v>63823000</v>
      </c>
      <c r="F386" s="236"/>
      <c r="G386" s="270">
        <f t="shared" si="46"/>
        <v>63823000</v>
      </c>
    </row>
    <row r="387" spans="1:7" s="142" customFormat="1" ht="12.75" customHeight="1" x14ac:dyDescent="0.2">
      <c r="A387" s="141"/>
      <c r="B387" s="63" t="s">
        <v>171</v>
      </c>
      <c r="C387" s="103"/>
      <c r="D387" s="202"/>
      <c r="E387" s="236"/>
      <c r="F387" s="236"/>
      <c r="G387" s="237"/>
    </row>
    <row r="388" spans="1:7" x14ac:dyDescent="0.2">
      <c r="A388" s="141">
        <v>289</v>
      </c>
      <c r="B388" s="126" t="s">
        <v>178</v>
      </c>
      <c r="C388" s="50"/>
      <c r="D388" s="192" t="s">
        <v>433</v>
      </c>
      <c r="E388" s="224">
        <f>65685000+94782568</f>
        <v>160467568</v>
      </c>
      <c r="F388" s="224"/>
      <c r="G388" s="270">
        <f t="shared" ref="G388:G391" si="47">SUM(E388:F388)</f>
        <v>160467568</v>
      </c>
    </row>
    <row r="389" spans="1:7" x14ac:dyDescent="0.2">
      <c r="A389" s="141">
        <v>290</v>
      </c>
      <c r="B389" s="126" t="s">
        <v>187</v>
      </c>
      <c r="C389" s="50"/>
      <c r="D389" s="192" t="s">
        <v>434</v>
      </c>
      <c r="E389" s="224">
        <v>12411600</v>
      </c>
      <c r="F389" s="224"/>
      <c r="G389" s="270">
        <f t="shared" si="47"/>
        <v>12411600</v>
      </c>
    </row>
    <row r="390" spans="1:7" ht="25.5" x14ac:dyDescent="0.2">
      <c r="A390" s="141">
        <v>291</v>
      </c>
      <c r="B390" s="126" t="s">
        <v>188</v>
      </c>
      <c r="C390" s="50"/>
      <c r="D390" s="208" t="s">
        <v>486</v>
      </c>
      <c r="E390" s="224">
        <v>97778089</v>
      </c>
      <c r="F390" s="224"/>
      <c r="G390" s="270">
        <f t="shared" si="47"/>
        <v>97778089</v>
      </c>
    </row>
    <row r="391" spans="1:7" x14ac:dyDescent="0.2">
      <c r="A391" s="141">
        <v>292</v>
      </c>
      <c r="B391" s="126" t="s">
        <v>192</v>
      </c>
      <c r="C391" s="50"/>
      <c r="D391" s="192" t="s">
        <v>435</v>
      </c>
      <c r="E391" s="224">
        <v>1531499075</v>
      </c>
      <c r="F391" s="224"/>
      <c r="G391" s="270">
        <f t="shared" si="47"/>
        <v>1531499075</v>
      </c>
    </row>
    <row r="392" spans="1:7" ht="13.5" thickBot="1" x14ac:dyDescent="0.25">
      <c r="A392" s="141"/>
      <c r="B392" s="128"/>
      <c r="C392" s="100"/>
      <c r="D392" s="212"/>
      <c r="E392" s="222"/>
      <c r="F392" s="222"/>
      <c r="G392" s="223"/>
    </row>
    <row r="393" spans="1:7" ht="14.25" thickTop="1" thickBot="1" x14ac:dyDescent="0.25">
      <c r="A393" s="141">
        <v>293</v>
      </c>
      <c r="B393" s="69"/>
      <c r="C393" s="70" t="s">
        <v>241</v>
      </c>
      <c r="D393" s="184"/>
      <c r="E393" s="273">
        <f>SUM(E359:E392)</f>
        <v>3307544494</v>
      </c>
      <c r="F393" s="273">
        <f>SUM(F359:F392)</f>
        <v>-30000000</v>
      </c>
      <c r="G393" s="274">
        <f>SUM(G359:G392)</f>
        <v>3277544494</v>
      </c>
    </row>
    <row r="394" spans="1:7" ht="13.5" thickTop="1" x14ac:dyDescent="0.2">
      <c r="A394" s="141"/>
      <c r="B394" s="121"/>
      <c r="C394" s="122"/>
      <c r="D394" s="219"/>
      <c r="E394" s="242"/>
      <c r="F394" s="242"/>
      <c r="G394" s="243"/>
    </row>
    <row r="395" spans="1:7" ht="15.75" customHeight="1" x14ac:dyDescent="0.25">
      <c r="A395" s="141">
        <v>294</v>
      </c>
      <c r="B395" s="53"/>
      <c r="C395" s="54" t="s">
        <v>242</v>
      </c>
      <c r="D395" s="190"/>
      <c r="E395" s="222"/>
      <c r="F395" s="222"/>
      <c r="G395" s="223"/>
    </row>
    <row r="396" spans="1:7" ht="12.75" customHeight="1" x14ac:dyDescent="0.25">
      <c r="A396" s="141"/>
      <c r="B396" s="53"/>
      <c r="C396" s="54"/>
      <c r="D396" s="190"/>
      <c r="E396" s="222"/>
      <c r="F396" s="222"/>
      <c r="G396" s="223"/>
    </row>
    <row r="397" spans="1:7" s="152" customFormat="1" ht="12.75" customHeight="1" x14ac:dyDescent="0.25">
      <c r="A397" s="141">
        <v>295</v>
      </c>
      <c r="B397" s="53"/>
      <c r="C397" s="54" t="s">
        <v>436</v>
      </c>
      <c r="D397" s="212"/>
      <c r="E397" s="222"/>
      <c r="F397" s="222"/>
      <c r="G397" s="223"/>
    </row>
    <row r="398" spans="1:7" x14ac:dyDescent="0.2">
      <c r="A398" s="141">
        <v>296</v>
      </c>
      <c r="B398" s="53"/>
      <c r="C398" s="83"/>
      <c r="D398" s="152" t="s">
        <v>437</v>
      </c>
      <c r="E398" s="222"/>
      <c r="F398" s="222"/>
      <c r="G398" s="223"/>
    </row>
    <row r="399" spans="1:7" ht="15.75" x14ac:dyDescent="0.25">
      <c r="A399" s="141">
        <v>297</v>
      </c>
      <c r="B399" s="49" t="s">
        <v>163</v>
      </c>
      <c r="C399" s="170"/>
      <c r="D399" s="192" t="s">
        <v>438</v>
      </c>
      <c r="E399" s="224">
        <v>35825583</v>
      </c>
      <c r="F399" s="224">
        <v>-250000</v>
      </c>
      <c r="G399" s="270">
        <f t="shared" ref="G399:G401" si="48">SUM(E399:F399)</f>
        <v>35575583</v>
      </c>
    </row>
    <row r="400" spans="1:7" x14ac:dyDescent="0.2">
      <c r="A400" s="141">
        <v>298</v>
      </c>
      <c r="B400" s="49" t="s">
        <v>164</v>
      </c>
      <c r="C400" s="50"/>
      <c r="D400" s="174" t="s">
        <v>439</v>
      </c>
      <c r="E400" s="224">
        <v>7765685</v>
      </c>
      <c r="F400" s="224"/>
      <c r="G400" s="270">
        <f t="shared" si="48"/>
        <v>7765685</v>
      </c>
    </row>
    <row r="401" spans="1:7" x14ac:dyDescent="0.2">
      <c r="A401" s="141">
        <v>299</v>
      </c>
      <c r="B401" s="49" t="s">
        <v>440</v>
      </c>
      <c r="C401" s="50"/>
      <c r="D401" s="174" t="s">
        <v>441</v>
      </c>
      <c r="E401" s="224">
        <v>16149915</v>
      </c>
      <c r="F401" s="224"/>
      <c r="G401" s="270">
        <f t="shared" si="48"/>
        <v>16149915</v>
      </c>
    </row>
    <row r="402" spans="1:7" x14ac:dyDescent="0.2">
      <c r="A402" s="141"/>
      <c r="B402" s="49" t="s">
        <v>172</v>
      </c>
      <c r="C402" s="50"/>
      <c r="D402" s="174"/>
      <c r="E402" s="224"/>
      <c r="F402" s="224"/>
      <c r="G402" s="225"/>
    </row>
    <row r="403" spans="1:7" x14ac:dyDescent="0.2">
      <c r="A403" s="141">
        <v>300</v>
      </c>
      <c r="B403" s="49" t="s">
        <v>442</v>
      </c>
      <c r="C403" s="50"/>
      <c r="D403" s="174" t="s">
        <v>443</v>
      </c>
      <c r="E403" s="224">
        <v>68160986</v>
      </c>
      <c r="F403" s="224">
        <v>-780000</v>
      </c>
      <c r="G403" s="270">
        <f t="shared" ref="G403" si="49">SUM(E403:F403)</f>
        <v>67380986</v>
      </c>
    </row>
    <row r="404" spans="1:7" x14ac:dyDescent="0.2">
      <c r="A404" s="141"/>
      <c r="B404" s="49" t="s">
        <v>444</v>
      </c>
      <c r="C404" s="50"/>
      <c r="D404" s="174"/>
      <c r="E404" s="224"/>
      <c r="F404" s="224"/>
      <c r="G404" s="225"/>
    </row>
    <row r="405" spans="1:7" x14ac:dyDescent="0.2">
      <c r="A405" s="306">
        <v>301</v>
      </c>
      <c r="B405" s="59"/>
      <c r="C405" s="97"/>
      <c r="D405" s="207" t="s">
        <v>445</v>
      </c>
      <c r="E405" s="234"/>
      <c r="F405" s="234"/>
      <c r="G405" s="235"/>
    </row>
    <row r="406" spans="1:7" x14ac:dyDescent="0.2">
      <c r="A406" s="307"/>
      <c r="B406" s="53"/>
      <c r="C406" s="83"/>
      <c r="D406" s="152" t="s">
        <v>446</v>
      </c>
      <c r="E406" s="222"/>
      <c r="F406" s="222"/>
      <c r="G406" s="223"/>
    </row>
    <row r="407" spans="1:7" x14ac:dyDescent="0.2">
      <c r="A407" s="141">
        <v>302</v>
      </c>
      <c r="B407" s="49" t="s">
        <v>173</v>
      </c>
      <c r="C407" s="50"/>
      <c r="D407" s="174" t="s">
        <v>447</v>
      </c>
      <c r="E407" s="224">
        <v>4747980</v>
      </c>
      <c r="F407" s="224"/>
      <c r="G407" s="270">
        <f t="shared" ref="G407:G409" si="50">SUM(E407:F407)</f>
        <v>4747980</v>
      </c>
    </row>
    <row r="408" spans="1:7" x14ac:dyDescent="0.2">
      <c r="A408" s="141">
        <v>303</v>
      </c>
      <c r="B408" s="77" t="s">
        <v>175</v>
      </c>
      <c r="C408" s="96"/>
      <c r="D408" s="210" t="s">
        <v>448</v>
      </c>
      <c r="E408" s="236">
        <v>7642280</v>
      </c>
      <c r="F408" s="236"/>
      <c r="G408" s="270">
        <f t="shared" si="50"/>
        <v>7642280</v>
      </c>
    </row>
    <row r="409" spans="1:7" x14ac:dyDescent="0.2">
      <c r="A409" s="153">
        <v>304</v>
      </c>
      <c r="B409" s="49" t="s">
        <v>176</v>
      </c>
      <c r="C409" s="50"/>
      <c r="D409" s="174" t="s">
        <v>449</v>
      </c>
      <c r="E409" s="224">
        <v>300000</v>
      </c>
      <c r="F409" s="224"/>
      <c r="G409" s="270">
        <f t="shared" si="50"/>
        <v>300000</v>
      </c>
    </row>
    <row r="410" spans="1:7" x14ac:dyDescent="0.2">
      <c r="A410" s="153">
        <v>305</v>
      </c>
      <c r="B410" s="123"/>
      <c r="C410" s="129"/>
      <c r="D410" s="110" t="s">
        <v>450</v>
      </c>
      <c r="E410" s="222"/>
      <c r="F410" s="222"/>
      <c r="G410" s="223"/>
    </row>
    <row r="411" spans="1:7" x14ac:dyDescent="0.2">
      <c r="A411" s="153">
        <v>306</v>
      </c>
      <c r="B411" s="90" t="s">
        <v>159</v>
      </c>
      <c r="C411" s="91"/>
      <c r="D411" s="200" t="s">
        <v>451</v>
      </c>
      <c r="E411" s="222">
        <v>1849159</v>
      </c>
      <c r="F411" s="222"/>
      <c r="G411" s="270">
        <f t="shared" ref="G411" si="51">SUM(E411:F411)</f>
        <v>1849159</v>
      </c>
    </row>
    <row r="412" spans="1:7" x14ac:dyDescent="0.2">
      <c r="A412" s="153">
        <v>307</v>
      </c>
      <c r="B412" s="59"/>
      <c r="C412" s="97"/>
      <c r="D412" s="207" t="s">
        <v>328</v>
      </c>
      <c r="E412" s="234"/>
      <c r="F412" s="234"/>
      <c r="G412" s="235"/>
    </row>
    <row r="413" spans="1:7" s="142" customFormat="1" ht="12.75" customHeight="1" x14ac:dyDescent="0.2">
      <c r="A413" s="141">
        <v>308</v>
      </c>
      <c r="B413" s="49" t="s">
        <v>181</v>
      </c>
      <c r="C413" s="50"/>
      <c r="D413" s="174" t="s">
        <v>452</v>
      </c>
      <c r="E413" s="224">
        <f>7000000+1000000</f>
        <v>8000000</v>
      </c>
      <c r="F413" s="224"/>
      <c r="G413" s="270">
        <f t="shared" ref="G413:G426" si="52">SUM(E413:F413)</f>
        <v>8000000</v>
      </c>
    </row>
    <row r="414" spans="1:7" s="142" customFormat="1" ht="12.75" customHeight="1" x14ac:dyDescent="0.2">
      <c r="A414" s="141">
        <v>309</v>
      </c>
      <c r="B414" s="77" t="s">
        <v>180</v>
      </c>
      <c r="C414" s="96"/>
      <c r="D414" s="210" t="s">
        <v>453</v>
      </c>
      <c r="E414" s="236">
        <f>1500000+500104</f>
        <v>2000104</v>
      </c>
      <c r="F414" s="236"/>
      <c r="G414" s="270">
        <f t="shared" si="52"/>
        <v>2000104</v>
      </c>
    </row>
    <row r="415" spans="1:7" x14ac:dyDescent="0.2">
      <c r="A415" s="141">
        <v>310</v>
      </c>
      <c r="B415" s="53" t="s">
        <v>177</v>
      </c>
      <c r="C415" s="83"/>
      <c r="D415" s="142" t="s">
        <v>454</v>
      </c>
      <c r="E415" s="222">
        <v>7700000</v>
      </c>
      <c r="F415" s="222"/>
      <c r="G415" s="270">
        <f t="shared" si="52"/>
        <v>7700000</v>
      </c>
    </row>
    <row r="416" spans="1:7" x14ac:dyDescent="0.2">
      <c r="A416" s="141">
        <v>311</v>
      </c>
      <c r="B416" s="77" t="s">
        <v>179</v>
      </c>
      <c r="C416" s="103"/>
      <c r="D416" s="210" t="s">
        <v>455</v>
      </c>
      <c r="E416" s="236">
        <f>3000000+900000</f>
        <v>3900000</v>
      </c>
      <c r="F416" s="236"/>
      <c r="G416" s="270">
        <f t="shared" si="52"/>
        <v>3900000</v>
      </c>
    </row>
    <row r="417" spans="1:7" x14ac:dyDescent="0.2">
      <c r="A417" s="141">
        <v>312</v>
      </c>
      <c r="B417" s="49" t="s">
        <v>174</v>
      </c>
      <c r="C417" s="101"/>
      <c r="D417" s="174" t="s">
        <v>456</v>
      </c>
      <c r="E417" s="224">
        <f>3500000+1760000</f>
        <v>5260000</v>
      </c>
      <c r="F417" s="224"/>
      <c r="G417" s="270">
        <f t="shared" si="52"/>
        <v>5260000</v>
      </c>
    </row>
    <row r="418" spans="1:7" x14ac:dyDescent="0.2">
      <c r="A418" s="141">
        <v>313</v>
      </c>
      <c r="B418" s="49" t="s">
        <v>182</v>
      </c>
      <c r="C418" s="50"/>
      <c r="D418" s="192" t="s">
        <v>457</v>
      </c>
      <c r="E418" s="224">
        <v>4000000</v>
      </c>
      <c r="F418" s="224"/>
      <c r="G418" s="270">
        <f t="shared" si="52"/>
        <v>4000000</v>
      </c>
    </row>
    <row r="419" spans="1:7" x14ac:dyDescent="0.2">
      <c r="A419" s="141">
        <v>314</v>
      </c>
      <c r="B419" s="96" t="s">
        <v>183</v>
      </c>
      <c r="C419" s="103"/>
      <c r="D419" s="210" t="s">
        <v>458</v>
      </c>
      <c r="E419" s="236">
        <v>4000000</v>
      </c>
      <c r="F419" s="236"/>
      <c r="G419" s="270">
        <f t="shared" si="52"/>
        <v>4000000</v>
      </c>
    </row>
    <row r="420" spans="1:7" s="143" customFormat="1" ht="12.75" customHeight="1" x14ac:dyDescent="0.2">
      <c r="A420" s="141">
        <v>315</v>
      </c>
      <c r="B420" s="50" t="s">
        <v>184</v>
      </c>
      <c r="C420" s="50"/>
      <c r="D420" s="174" t="s">
        <v>459</v>
      </c>
      <c r="E420" s="224">
        <v>2500000</v>
      </c>
      <c r="F420" s="224"/>
      <c r="G420" s="270">
        <f t="shared" si="52"/>
        <v>2500000</v>
      </c>
    </row>
    <row r="421" spans="1:7" x14ac:dyDescent="0.2">
      <c r="A421" s="141">
        <v>316</v>
      </c>
      <c r="B421" s="77" t="s">
        <v>185</v>
      </c>
      <c r="C421" s="96"/>
      <c r="D421" s="210" t="s">
        <v>460</v>
      </c>
      <c r="E421" s="236">
        <v>34999535</v>
      </c>
      <c r="F421" s="236">
        <v>-9000000</v>
      </c>
      <c r="G421" s="270">
        <f t="shared" si="52"/>
        <v>25999535</v>
      </c>
    </row>
    <row r="422" spans="1:7" x14ac:dyDescent="0.2">
      <c r="A422" s="141">
        <v>317</v>
      </c>
      <c r="B422" s="77" t="s">
        <v>186</v>
      </c>
      <c r="C422" s="96"/>
      <c r="D422" s="210" t="s">
        <v>485</v>
      </c>
      <c r="E422" s="236">
        <v>5694973</v>
      </c>
      <c r="F422" s="236"/>
      <c r="G422" s="270">
        <f t="shared" si="52"/>
        <v>5694973</v>
      </c>
    </row>
    <row r="423" spans="1:7" ht="25.5" x14ac:dyDescent="0.2">
      <c r="A423" s="141">
        <v>318</v>
      </c>
      <c r="B423" s="77" t="s">
        <v>189</v>
      </c>
      <c r="C423" s="96"/>
      <c r="D423" s="214" t="s">
        <v>461</v>
      </c>
      <c r="E423" s="236">
        <v>242260000</v>
      </c>
      <c r="F423" s="236"/>
      <c r="G423" s="270">
        <f t="shared" si="52"/>
        <v>242260000</v>
      </c>
    </row>
    <row r="424" spans="1:7" x14ac:dyDescent="0.2">
      <c r="A424" s="141">
        <v>319</v>
      </c>
      <c r="B424" s="171" t="s">
        <v>190</v>
      </c>
      <c r="C424" s="94"/>
      <c r="D424" s="221" t="s">
        <v>462</v>
      </c>
      <c r="E424" s="236">
        <v>64000</v>
      </c>
      <c r="F424" s="236"/>
      <c r="G424" s="270">
        <f t="shared" si="52"/>
        <v>64000</v>
      </c>
    </row>
    <row r="425" spans="1:7" x14ac:dyDescent="0.2">
      <c r="A425" s="141">
        <v>320</v>
      </c>
      <c r="B425" s="171" t="s">
        <v>191</v>
      </c>
      <c r="C425" s="94"/>
      <c r="D425" s="221" t="s">
        <v>487</v>
      </c>
      <c r="E425" s="236">
        <v>5000000</v>
      </c>
      <c r="F425" s="236"/>
      <c r="G425" s="270">
        <f t="shared" si="52"/>
        <v>5000000</v>
      </c>
    </row>
    <row r="426" spans="1:7" x14ac:dyDescent="0.2">
      <c r="A426" s="141">
        <v>321</v>
      </c>
      <c r="B426" s="77" t="s">
        <v>193</v>
      </c>
      <c r="C426" s="96"/>
      <c r="D426" s="210" t="s">
        <v>463</v>
      </c>
      <c r="E426" s="236">
        <v>3700000</v>
      </c>
      <c r="F426" s="236"/>
      <c r="G426" s="270">
        <f t="shared" si="52"/>
        <v>3700000</v>
      </c>
    </row>
    <row r="427" spans="1:7" s="144" customFormat="1" ht="15" customHeight="1" thickBot="1" x14ac:dyDescent="0.25">
      <c r="A427" s="160"/>
      <c r="B427" s="127"/>
      <c r="C427" s="96"/>
      <c r="D427" s="210"/>
      <c r="E427" s="236"/>
      <c r="F427" s="236"/>
      <c r="G427" s="237"/>
    </row>
    <row r="428" spans="1:7" s="146" customFormat="1" ht="14.25" thickTop="1" thickBot="1" x14ac:dyDescent="0.25">
      <c r="A428" s="145">
        <v>322</v>
      </c>
      <c r="B428" s="69"/>
      <c r="C428" s="70" t="s">
        <v>254</v>
      </c>
      <c r="D428" s="184"/>
      <c r="E428" s="273">
        <f>SUM(E397:E427)</f>
        <v>471520200</v>
      </c>
      <c r="F428" s="273">
        <f>SUM(F397:F427)</f>
        <v>-10030000</v>
      </c>
      <c r="G428" s="274">
        <f>SUM(G397:G427)</f>
        <v>461490200</v>
      </c>
    </row>
    <row r="429" spans="1:7" s="142" customFormat="1" ht="14.25" thickTop="1" thickBot="1" x14ac:dyDescent="0.25">
      <c r="A429" s="141"/>
      <c r="B429" s="111"/>
      <c r="C429" s="97"/>
      <c r="D429" s="203"/>
      <c r="E429" s="234"/>
      <c r="F429" s="234"/>
      <c r="G429" s="235"/>
    </row>
    <row r="430" spans="1:7" ht="13.5" thickBot="1" x14ac:dyDescent="0.25">
      <c r="A430" s="141">
        <v>323</v>
      </c>
      <c r="B430" s="79"/>
      <c r="C430" s="85"/>
      <c r="D430" s="193" t="s">
        <v>464</v>
      </c>
      <c r="E430" s="229">
        <f>E393+E428</f>
        <v>3779064694</v>
      </c>
      <c r="F430" s="229">
        <f>F393+F428</f>
        <v>-40030000</v>
      </c>
      <c r="G430" s="230">
        <f>G393+G428</f>
        <v>3739034694</v>
      </c>
    </row>
    <row r="431" spans="1:7" x14ac:dyDescent="0.2">
      <c r="A431" s="141"/>
      <c r="B431" s="75"/>
      <c r="C431" s="86"/>
      <c r="D431" s="194"/>
      <c r="E431" s="231"/>
      <c r="F431" s="231"/>
      <c r="G431" s="232"/>
    </row>
    <row r="432" spans="1:7" ht="15.75" x14ac:dyDescent="0.25">
      <c r="A432" s="141">
        <v>324</v>
      </c>
      <c r="B432" s="53"/>
      <c r="C432" s="82" t="s">
        <v>465</v>
      </c>
      <c r="D432" s="142"/>
      <c r="E432" s="222"/>
      <c r="F432" s="222"/>
      <c r="G432" s="223"/>
    </row>
    <row r="433" spans="1:9" x14ac:dyDescent="0.2">
      <c r="A433" s="141"/>
      <c r="B433" s="53"/>
      <c r="C433" s="83"/>
      <c r="D433" s="195"/>
      <c r="E433" s="222"/>
      <c r="F433" s="222"/>
      <c r="G433" s="223"/>
    </row>
    <row r="434" spans="1:9" ht="15.75" x14ac:dyDescent="0.25">
      <c r="A434" s="141">
        <v>325</v>
      </c>
      <c r="B434" s="53"/>
      <c r="C434" s="54" t="s">
        <v>219</v>
      </c>
      <c r="D434" s="195"/>
      <c r="E434" s="222"/>
      <c r="F434" s="222"/>
      <c r="G434" s="223"/>
    </row>
    <row r="435" spans="1:9" x14ac:dyDescent="0.2">
      <c r="A435" s="141"/>
      <c r="B435" s="53"/>
      <c r="C435" s="83"/>
      <c r="D435" s="190"/>
      <c r="E435" s="222"/>
      <c r="F435" s="222"/>
      <c r="G435" s="223"/>
    </row>
    <row r="436" spans="1:9" x14ac:dyDescent="0.2">
      <c r="A436" s="141">
        <v>326</v>
      </c>
      <c r="B436" s="126" t="s">
        <v>194</v>
      </c>
      <c r="C436" s="50"/>
      <c r="D436" s="174" t="s">
        <v>466</v>
      </c>
      <c r="E436" s="224">
        <v>105271562</v>
      </c>
      <c r="F436" s="224">
        <f>-33000000+1460248+27362839</f>
        <v>-4176913</v>
      </c>
      <c r="G436" s="270">
        <f t="shared" ref="G436" si="53">SUM(E436:F436)</f>
        <v>101094649</v>
      </c>
    </row>
    <row r="437" spans="1:9" s="144" customFormat="1" ht="15" customHeight="1" thickBot="1" x14ac:dyDescent="0.25">
      <c r="A437" s="139"/>
      <c r="B437" s="126"/>
      <c r="C437" s="50"/>
      <c r="D437" s="174"/>
      <c r="E437" s="224"/>
      <c r="F437" s="224"/>
      <c r="G437" s="225"/>
    </row>
    <row r="438" spans="1:9" s="146" customFormat="1" ht="14.25" thickTop="1" thickBot="1" x14ac:dyDescent="0.25">
      <c r="A438" s="145">
        <v>327</v>
      </c>
      <c r="B438" s="69"/>
      <c r="C438" s="70" t="s">
        <v>241</v>
      </c>
      <c r="D438" s="184"/>
      <c r="E438" s="273">
        <f>SUM(E434:E437)</f>
        <v>105271562</v>
      </c>
      <c r="F438" s="273">
        <f>SUM(F434:F437)</f>
        <v>-4176913</v>
      </c>
      <c r="G438" s="274">
        <f>SUM(G434:G437)</f>
        <v>101094649</v>
      </c>
    </row>
    <row r="439" spans="1:9" ht="14.25" thickTop="1" thickBot="1" x14ac:dyDescent="0.25">
      <c r="A439" s="141"/>
      <c r="B439" s="125"/>
      <c r="C439" s="83"/>
      <c r="D439" s="190"/>
      <c r="E439" s="222"/>
      <c r="F439" s="222"/>
      <c r="G439" s="223"/>
      <c r="H439" s="142"/>
      <c r="I439" s="142"/>
    </row>
    <row r="440" spans="1:9" ht="13.5" thickBot="1" x14ac:dyDescent="0.25">
      <c r="A440" s="141">
        <v>328</v>
      </c>
      <c r="B440" s="79"/>
      <c r="C440" s="85"/>
      <c r="D440" s="193" t="s">
        <v>467</v>
      </c>
      <c r="E440" s="229">
        <f>SUM(E438:E439)</f>
        <v>105271562</v>
      </c>
      <c r="F440" s="229">
        <f>SUM(F438:F439)</f>
        <v>-4176913</v>
      </c>
      <c r="G440" s="230">
        <f>SUM(G438:G439)</f>
        <v>101094649</v>
      </c>
      <c r="H440" s="142"/>
      <c r="I440" s="142"/>
    </row>
    <row r="441" spans="1:9" x14ac:dyDescent="0.2">
      <c r="A441" s="141"/>
      <c r="B441" s="75"/>
      <c r="C441" s="86"/>
      <c r="D441" s="194"/>
      <c r="E441" s="231"/>
      <c r="F441" s="231"/>
      <c r="G441" s="232"/>
    </row>
    <row r="442" spans="1:9" ht="15.75" x14ac:dyDescent="0.25">
      <c r="A442" s="141">
        <v>329</v>
      </c>
      <c r="B442" s="53"/>
      <c r="C442" s="82" t="s">
        <v>468</v>
      </c>
      <c r="D442" s="190"/>
      <c r="E442" s="245"/>
      <c r="F442" s="245"/>
      <c r="G442" s="246"/>
      <c r="H442" s="142"/>
      <c r="I442" s="142"/>
    </row>
    <row r="443" spans="1:9" s="148" customFormat="1" x14ac:dyDescent="0.2">
      <c r="A443" s="147"/>
      <c r="B443" s="53"/>
      <c r="C443" s="87"/>
      <c r="D443" s="190"/>
      <c r="E443" s="245"/>
      <c r="F443" s="245"/>
      <c r="G443" s="246"/>
    </row>
    <row r="444" spans="1:9" ht="15.75" x14ac:dyDescent="0.25">
      <c r="A444" s="141">
        <v>330</v>
      </c>
      <c r="B444" s="53"/>
      <c r="C444" s="54" t="s">
        <v>219</v>
      </c>
      <c r="D444" s="195"/>
      <c r="E444" s="222"/>
      <c r="F444" s="222"/>
      <c r="G444" s="223"/>
    </row>
    <row r="445" spans="1:9" x14ac:dyDescent="0.2">
      <c r="A445" s="141"/>
      <c r="B445" s="53"/>
      <c r="C445" s="87"/>
      <c r="D445" s="190"/>
      <c r="E445" s="245"/>
      <c r="F445" s="245"/>
      <c r="G445" s="246"/>
    </row>
    <row r="446" spans="1:9" x14ac:dyDescent="0.2">
      <c r="A446" s="141">
        <v>331</v>
      </c>
      <c r="B446" s="109" t="s">
        <v>469</v>
      </c>
      <c r="C446" s="84"/>
      <c r="D446" s="191" t="s">
        <v>470</v>
      </c>
      <c r="E446" s="228">
        <v>72133672</v>
      </c>
      <c r="F446" s="228"/>
      <c r="G446" s="270">
        <f t="shared" ref="G446" si="54">SUM(E446:F446)</f>
        <v>72133672</v>
      </c>
    </row>
    <row r="447" spans="1:9" x14ac:dyDescent="0.2">
      <c r="A447" s="141"/>
      <c r="B447" s="126" t="s">
        <v>471</v>
      </c>
      <c r="C447" s="50"/>
      <c r="D447" s="174"/>
      <c r="E447" s="224"/>
      <c r="F447" s="224"/>
      <c r="G447" s="225"/>
    </row>
    <row r="448" spans="1:9" x14ac:dyDescent="0.2">
      <c r="A448" s="141"/>
      <c r="B448" s="126" t="s">
        <v>472</v>
      </c>
      <c r="C448" s="50"/>
      <c r="D448" s="174"/>
      <c r="E448" s="224"/>
      <c r="F448" s="224"/>
      <c r="G448" s="225"/>
    </row>
    <row r="449" spans="1:9" s="143" customFormat="1" ht="15" customHeight="1" x14ac:dyDescent="0.2">
      <c r="A449" s="141"/>
      <c r="B449" s="126" t="s">
        <v>473</v>
      </c>
      <c r="C449" s="50"/>
      <c r="D449" s="174"/>
      <c r="E449" s="224"/>
      <c r="F449" s="224"/>
      <c r="G449" s="225"/>
    </row>
    <row r="450" spans="1:9" x14ac:dyDescent="0.2">
      <c r="A450" s="141">
        <v>332</v>
      </c>
      <c r="B450" s="126" t="s">
        <v>195</v>
      </c>
      <c r="C450" s="50"/>
      <c r="D450" s="174" t="s">
        <v>474</v>
      </c>
      <c r="E450" s="224">
        <v>125513055</v>
      </c>
      <c r="F450" s="224"/>
      <c r="G450" s="270">
        <f t="shared" ref="G450" si="55">SUM(E450:F450)</f>
        <v>125513055</v>
      </c>
    </row>
    <row r="451" spans="1:9" s="144" customFormat="1" ht="13.5" thickBot="1" x14ac:dyDescent="0.25">
      <c r="A451" s="160"/>
      <c r="B451" s="125"/>
      <c r="C451" s="50"/>
      <c r="D451" s="192"/>
      <c r="E451" s="224"/>
      <c r="F451" s="224"/>
      <c r="G451" s="225"/>
    </row>
    <row r="452" spans="1:9" s="146" customFormat="1" ht="14.25" thickTop="1" thickBot="1" x14ac:dyDescent="0.25">
      <c r="A452" s="145">
        <v>333</v>
      </c>
      <c r="B452" s="69"/>
      <c r="C452" s="70" t="s">
        <v>241</v>
      </c>
      <c r="D452" s="184"/>
      <c r="E452" s="273">
        <f>SUM(E445:E451)</f>
        <v>197646727</v>
      </c>
      <c r="F452" s="273">
        <f>SUM(F445:F451)</f>
        <v>0</v>
      </c>
      <c r="G452" s="274">
        <f>SUM(G445:G451)</f>
        <v>197646727</v>
      </c>
    </row>
    <row r="453" spans="1:9" s="142" customFormat="1" ht="14.25" thickTop="1" thickBot="1" x14ac:dyDescent="0.25">
      <c r="A453" s="141"/>
      <c r="B453" s="53"/>
      <c r="C453" s="87" t="s">
        <v>207</v>
      </c>
      <c r="D453" s="190" t="s">
        <v>207</v>
      </c>
      <c r="E453" s="245" t="s">
        <v>207</v>
      </c>
      <c r="F453" s="245" t="s">
        <v>207</v>
      </c>
      <c r="G453" s="246" t="s">
        <v>207</v>
      </c>
    </row>
    <row r="454" spans="1:9" ht="12" customHeight="1" thickBot="1" x14ac:dyDescent="0.25">
      <c r="A454" s="141">
        <v>334</v>
      </c>
      <c r="B454" s="79"/>
      <c r="C454" s="117"/>
      <c r="D454" s="193" t="s">
        <v>475</v>
      </c>
      <c r="E454" s="247">
        <f>SUM(E452:E453)</f>
        <v>197646727</v>
      </c>
      <c r="F454" s="247">
        <f>SUM(F452:F453)</f>
        <v>0</v>
      </c>
      <c r="G454" s="248">
        <f>SUM(G452:G453)</f>
        <v>197646727</v>
      </c>
    </row>
    <row r="455" spans="1:9" x14ac:dyDescent="0.2">
      <c r="A455" s="141"/>
      <c r="B455" s="75"/>
      <c r="C455" s="86"/>
      <c r="D455" s="194"/>
      <c r="E455" s="231"/>
      <c r="F455" s="231"/>
      <c r="G455" s="232"/>
    </row>
    <row r="456" spans="1:9" ht="15.75" x14ac:dyDescent="0.25">
      <c r="A456" s="306">
        <v>335</v>
      </c>
      <c r="B456" s="53"/>
      <c r="C456" s="82" t="s">
        <v>476</v>
      </c>
      <c r="D456" s="142"/>
      <c r="E456" s="222"/>
      <c r="F456" s="222"/>
      <c r="G456" s="223"/>
    </row>
    <row r="457" spans="1:9" ht="15.75" x14ac:dyDescent="0.25">
      <c r="A457" s="307"/>
      <c r="B457" s="53"/>
      <c r="C457" s="119" t="s">
        <v>477</v>
      </c>
      <c r="D457" s="211"/>
      <c r="E457" s="222"/>
      <c r="F457" s="222"/>
      <c r="G457" s="223"/>
      <c r="H457" s="142"/>
      <c r="I457" s="142"/>
    </row>
    <row r="458" spans="1:9" x14ac:dyDescent="0.2">
      <c r="A458" s="141"/>
      <c r="B458" s="125"/>
      <c r="C458" s="83"/>
      <c r="D458" s="190"/>
      <c r="E458" s="222"/>
      <c r="F458" s="222"/>
      <c r="G458" s="223"/>
    </row>
    <row r="459" spans="1:9" ht="15.75" x14ac:dyDescent="0.25">
      <c r="A459" s="153">
        <v>336</v>
      </c>
      <c r="B459" s="53"/>
      <c r="C459" s="54" t="s">
        <v>219</v>
      </c>
      <c r="D459" s="195"/>
      <c r="E459" s="222"/>
      <c r="F459" s="222"/>
      <c r="G459" s="223"/>
    </row>
    <row r="460" spans="1:9" x14ac:dyDescent="0.2">
      <c r="A460" s="153"/>
      <c r="B460" s="53"/>
      <c r="C460" s="87"/>
      <c r="D460" s="190"/>
      <c r="E460" s="245"/>
      <c r="F460" s="245"/>
      <c r="G460" s="246"/>
    </row>
    <row r="461" spans="1:9" s="143" customFormat="1" ht="15" customHeight="1" x14ac:dyDescent="0.2">
      <c r="A461" s="153">
        <v>337</v>
      </c>
      <c r="B461" s="126" t="s">
        <v>196</v>
      </c>
      <c r="C461" s="50"/>
      <c r="D461" s="192" t="s">
        <v>209</v>
      </c>
      <c r="E461" s="224">
        <v>75155183</v>
      </c>
      <c r="F461" s="224"/>
      <c r="G461" s="270">
        <f t="shared" ref="G461:G462" si="56">SUM(E461:F461)</f>
        <v>75155183</v>
      </c>
    </row>
    <row r="462" spans="1:9" x14ac:dyDescent="0.2">
      <c r="A462" s="153">
        <v>338</v>
      </c>
      <c r="B462" s="126" t="s">
        <v>197</v>
      </c>
      <c r="C462" s="50"/>
      <c r="D462" s="192" t="s">
        <v>478</v>
      </c>
      <c r="E462" s="224">
        <v>10468202</v>
      </c>
      <c r="F462" s="224"/>
      <c r="G462" s="270">
        <f t="shared" si="56"/>
        <v>10468202</v>
      </c>
    </row>
    <row r="463" spans="1:9" s="144" customFormat="1" ht="15" customHeight="1" thickBot="1" x14ac:dyDescent="0.3">
      <c r="A463" s="293"/>
      <c r="B463" s="77"/>
      <c r="C463" s="73"/>
      <c r="D463" s="180"/>
      <c r="E463" s="236"/>
      <c r="F463" s="236"/>
      <c r="G463" s="237"/>
    </row>
    <row r="464" spans="1:9" s="144" customFormat="1" ht="15" customHeight="1" thickTop="1" thickBot="1" x14ac:dyDescent="0.25">
      <c r="A464" s="293">
        <v>339</v>
      </c>
      <c r="B464" s="69"/>
      <c r="C464" s="70" t="s">
        <v>241</v>
      </c>
      <c r="D464" s="184"/>
      <c r="E464" s="273">
        <f>SUM(E459:E463)</f>
        <v>85623385</v>
      </c>
      <c r="F464" s="273">
        <f>SUM(F459:F463)</f>
        <v>0</v>
      </c>
      <c r="G464" s="274">
        <f>SUM(G459:G463)</f>
        <v>85623385</v>
      </c>
    </row>
    <row r="465" spans="1:7" ht="13.5" thickTop="1" x14ac:dyDescent="0.2">
      <c r="A465" s="153"/>
      <c r="B465" s="77"/>
      <c r="C465" s="96"/>
      <c r="D465" s="202"/>
      <c r="E465" s="236"/>
      <c r="F465" s="236"/>
      <c r="G465" s="237"/>
    </row>
    <row r="466" spans="1:7" x14ac:dyDescent="0.2">
      <c r="A466" s="306">
        <v>340</v>
      </c>
      <c r="B466" s="300"/>
      <c r="C466" s="301"/>
      <c r="D466" s="305" t="s">
        <v>479</v>
      </c>
      <c r="E466" s="296"/>
      <c r="F466" s="296"/>
      <c r="G466" s="297"/>
    </row>
    <row r="467" spans="1:7" ht="13.5" thickBot="1" x14ac:dyDescent="0.25">
      <c r="A467" s="307"/>
      <c r="B467" s="302"/>
      <c r="C467" s="303"/>
      <c r="D467" s="304" t="s">
        <v>480</v>
      </c>
      <c r="E467" s="298">
        <f>SUM(E464:E466)</f>
        <v>85623385</v>
      </c>
      <c r="F467" s="298">
        <f>SUM(F464:F466)</f>
        <v>0</v>
      </c>
      <c r="G467" s="299">
        <f>SUM(G464:G466)</f>
        <v>85623385</v>
      </c>
    </row>
  </sheetData>
  <mergeCells count="11">
    <mergeCell ref="A466:A467"/>
    <mergeCell ref="A456:A457"/>
    <mergeCell ref="A405:A406"/>
    <mergeCell ref="A332:A333"/>
    <mergeCell ref="E1:G1"/>
    <mergeCell ref="C10:D10"/>
    <mergeCell ref="A11:A13"/>
    <mergeCell ref="D2:G2"/>
    <mergeCell ref="D3:G3"/>
    <mergeCell ref="D4:G4"/>
    <mergeCell ref="A203:A20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9" manualBreakCount="9">
    <brk id="49" max="16383" man="1"/>
    <brk id="102" max="16383" man="1"/>
    <brk id="150" max="16383" man="1"/>
    <brk id="169" max="16383" man="1"/>
    <brk id="219" max="16383" man="1"/>
    <brk id="249" max="16383" man="1"/>
    <brk id="302" max="16383" man="1"/>
    <brk id="356" max="16383" man="1"/>
    <brk id="4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Működés korrekció</vt:lpstr>
      <vt:lpstr>'Működés korrekció'!Nyomtatási_cím</vt:lpstr>
      <vt:lpstr>'Működés korrekció'!Nyomtatási_terület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lovasne.mariann</cp:lastModifiedBy>
  <cp:lastPrinted>2017-11-14T09:30:19Z</cp:lastPrinted>
  <dcterms:created xsi:type="dcterms:W3CDTF">2017-07-24T07:42:15Z</dcterms:created>
  <dcterms:modified xsi:type="dcterms:W3CDTF">2017-12-01T07:46:41Z</dcterms:modified>
</cp:coreProperties>
</file>