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35" windowWidth="17355" windowHeight="8640" tabRatio="598" activeTab="3"/>
  </bookViews>
  <sheets>
    <sheet name="1.mell. pfbevétel" sheetId="1" r:id="rId1"/>
    <sheet name="2.mell. pfkiadás" sheetId="2" r:id="rId2"/>
    <sheet name="3.mell. bevétel" sheetId="3" r:id="rId3"/>
    <sheet name="4.mell. kiadás" sheetId="4" r:id="rId4"/>
    <sheet name="létszám" sheetId="5" r:id="rId5"/>
    <sheet name="5.mell. átadott" sheetId="6" r:id="rId6"/>
    <sheet name="6.mell. segélyek" sheetId="7" r:id="rId7"/>
    <sheet name="7.mell. felhalmozási kiadás" sheetId="8" r:id="rId8"/>
    <sheet name="8.mell. felhalmozási bevétel" sheetId="9" r:id="rId9"/>
    <sheet name="9.mell. felh.mérleg" sheetId="10" r:id="rId10"/>
    <sheet name="10.mell. állami 2015." sheetId="11" r:id="rId11"/>
    <sheet name="nem" sheetId="12" r:id="rId12"/>
    <sheet name="11.mell. ph ök kiad.korm.funkc" sheetId="13" r:id="rId13"/>
    <sheet name="12.mell korm.funkc ök össz" sheetId="14" r:id="rId14"/>
    <sheet name="13.mell közösségi ellátás" sheetId="15" r:id="rId15"/>
    <sheet name="14.mell. saját bevétel" sheetId="16" r:id="rId16"/>
    <sheet name="15.mell. ÖK finansz." sheetId="17" r:id="rId17"/>
    <sheet name="16.mell. likviditási terv" sheetId="18" r:id="rId18"/>
    <sheet name="17.mell. PH ei.felh." sheetId="19" r:id="rId19"/>
    <sheet name="18.mell. eszesz finterv" sheetId="20" r:id="rId20"/>
    <sheet name="19.mell. vsz finterv" sheetId="21" r:id="rId21"/>
    <sheet name="20.mell. könyvtár fin terv" sheetId="22" r:id="rId22"/>
    <sheet name="21.mell. több éves" sheetId="23" r:id="rId23"/>
    <sheet name="22.mell. bevételek 2015-2018" sheetId="24" r:id="rId24"/>
    <sheet name="23.mell. kiadások 2015-2018" sheetId="25" r:id="rId25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xlnm.Print_Area" localSheetId="0">'1.mell. pfbevétel'!$A$1:$E$41</definedName>
    <definedName name="_xlnm.Print_Area" localSheetId="10">'10.mell. állami 2015.'!$A$1:$E$45</definedName>
    <definedName name="_xlnm.Print_Area" localSheetId="12">'11.mell. ph ök kiad.korm.funkc'!$A$1:$K$26</definedName>
    <definedName name="_xlnm.Print_Area" localSheetId="13">'12.mell korm.funkc ök össz'!$A$1:$V$69</definedName>
    <definedName name="_xlnm.Print_Area" localSheetId="14">'13.mell közösségi ellátás'!$A$1:$I$79</definedName>
    <definedName name="_xlnm.Print_Area" localSheetId="16">'15.mell. ÖK finansz.'!$A$1:$P$30</definedName>
    <definedName name="_xlnm.Print_Area" localSheetId="17">'16.mell. likviditási terv'!$A$1:$O$29</definedName>
    <definedName name="_xlnm.Print_Area" localSheetId="18">'17.mell. PH ei.felh.'!$A$1:$P$33</definedName>
    <definedName name="_xlnm.Print_Area" localSheetId="19">'18.mell. eszesz finterv'!$A$1:$P$33</definedName>
    <definedName name="_xlnm.Print_Area" localSheetId="20">'19.mell. vsz finterv'!$A$1:$P$32</definedName>
    <definedName name="_xlnm.Print_Area" localSheetId="1">'2.mell. pfkiadás'!$A$1:$E$30</definedName>
    <definedName name="_xlnm.Print_Area" localSheetId="21">'20.mell. könyvtár fin terv'!$A$1:$P$32</definedName>
    <definedName name="_xlnm.Print_Area" localSheetId="22">'21.mell. több éves'!$A$1:$O$24</definedName>
    <definedName name="_xlnm.Print_Area" localSheetId="23">'22.mell. bevételek 2015-2018'!$A$1:$G$23</definedName>
    <definedName name="_xlnm.Print_Area" localSheetId="24">'23.mell. kiadások 2015-2018'!$A$1:$G$20</definedName>
    <definedName name="_xlnm.Print_Area" localSheetId="2">'3.mell. bevétel'!$A$1:$L$26</definedName>
    <definedName name="_xlnm.Print_Area" localSheetId="3">'4.mell. kiadás'!$A$1:$M$30</definedName>
    <definedName name="_xlnm.Print_Area" localSheetId="5">'5.mell. átadott'!$A$1:$C$27</definedName>
    <definedName name="_xlnm.Print_Area" localSheetId="6">'6.mell. segélyek'!$A$1:$M$32</definedName>
    <definedName name="_xlnm.Print_Area" localSheetId="7">'7.mell. felhalmozási kiadás'!$A$1:$C$18</definedName>
    <definedName name="_xlnm.Print_Area" localSheetId="8">'8.mell. felhalmozási bevétel'!$A$1:$C$15</definedName>
    <definedName name="_xlnm.Print_Area" localSheetId="9">'9.mell. felh.mérleg'!$A$1:$E$26</definedName>
    <definedName name="_xlnm.Print_Area" localSheetId="4">'létszám'!$A$1:$D$24</definedName>
    <definedName name="_xlnm.Print_Area" localSheetId="11">'nem'!$A$1:$I$14</definedName>
  </definedNames>
  <calcPr fullCalcOnLoad="1"/>
</workbook>
</file>

<file path=xl/sharedStrings.xml><?xml version="1.0" encoding="utf-8"?>
<sst xmlns="http://schemas.openxmlformats.org/spreadsheetml/2006/main" count="1511" uniqueCount="640">
  <si>
    <t>Intézmény/ jogcím</t>
  </si>
  <si>
    <t>Int.bev.</t>
  </si>
  <si>
    <t>Pénzm.</t>
  </si>
  <si>
    <t>Átvett pénzeszköz</t>
  </si>
  <si>
    <t>Finansz.</t>
  </si>
  <si>
    <t>Összesen</t>
  </si>
  <si>
    <t>Kiadás</t>
  </si>
  <si>
    <t>műk.</t>
  </si>
  <si>
    <t>PM</t>
  </si>
  <si>
    <t>felh.</t>
  </si>
  <si>
    <t>Állami támogatás</t>
  </si>
  <si>
    <t>A</t>
  </si>
  <si>
    <t>B</t>
  </si>
  <si>
    <t>C</t>
  </si>
  <si>
    <t>D</t>
  </si>
  <si>
    <t>E</t>
  </si>
  <si>
    <t>F</t>
  </si>
  <si>
    <t>G</t>
  </si>
  <si>
    <t>H</t>
  </si>
  <si>
    <t>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</si>
  <si>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</si>
  <si>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</si>
  <si>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</si>
  <si>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</si>
  <si>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</si>
  <si>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</si>
  <si>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</si>
  <si>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</si>
  <si>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</si>
  <si>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</si>
  <si>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</si>
  <si>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</si>
  <si>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</si>
  <si>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</si>
  <si>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</si>
  <si>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</si>
  <si>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</si>
  <si>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</si>
  <si>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felhalm.</t>
  </si>
  <si>
    <t>19.</t>
  </si>
  <si>
    <t>Battonya Város Önkormányzata</t>
  </si>
  <si>
    <t>20.</t>
  </si>
  <si>
    <t>21.</t>
  </si>
  <si>
    <t>22.</t>
  </si>
  <si>
    <t>23.</t>
  </si>
  <si>
    <t>24.</t>
  </si>
  <si>
    <t>25.</t>
  </si>
  <si>
    <t>év</t>
  </si>
  <si>
    <t>szem.jutt</t>
  </si>
  <si>
    <t>járulék</t>
  </si>
  <si>
    <t>dologi</t>
  </si>
  <si>
    <t>műk.össz.</t>
  </si>
  <si>
    <t>átadott pénzeszközök</t>
  </si>
  <si>
    <t>összesen</t>
  </si>
  <si>
    <t>segély</t>
  </si>
  <si>
    <t>I</t>
  </si>
  <si>
    <t>Városi Művelődési Központ és Könyvtár</t>
  </si>
  <si>
    <t>Önkormányzat mindösszesen</t>
  </si>
  <si>
    <t>hitel</t>
  </si>
  <si>
    <t>Átadott pénzeszközök  ( eFt-ban )</t>
  </si>
  <si>
    <t>Megnevezés</t>
  </si>
  <si>
    <t>er.ei.</t>
  </si>
  <si>
    <t>Működésre átadott összesen</t>
  </si>
  <si>
    <t>Felhalmozásra átadott</t>
  </si>
  <si>
    <t>Átadott pénzeszköz összesen</t>
  </si>
  <si>
    <t>Polgármesteri Hivatal</t>
  </si>
  <si>
    <t>Iskolai étkeztetés támogatása</t>
  </si>
  <si>
    <t>Társadalom- és szociálpolitikai juttatások (eFt-ban)</t>
  </si>
  <si>
    <t>Saját forr.</t>
  </si>
  <si>
    <t>Külső forr.</t>
  </si>
  <si>
    <t>Polghiv.</t>
  </si>
  <si>
    <t>Önk.</t>
  </si>
  <si>
    <t>Rendszeres szociális segély</t>
  </si>
  <si>
    <t>Egészségkárosodottak</t>
  </si>
  <si>
    <t>FHT</t>
  </si>
  <si>
    <t>Lakásfenntartási támogatás</t>
  </si>
  <si>
    <t>Egyes jövedelempótló támogatás összesen</t>
  </si>
  <si>
    <t>Temetési segély</t>
  </si>
  <si>
    <t>Átmeneti segély</t>
  </si>
  <si>
    <t>Családok átmeneti gondozása(Orosháza)</t>
  </si>
  <si>
    <t>Rendkívüli gyermekvédelmi tám.</t>
  </si>
  <si>
    <t>Rászorultságtól függő ellátás</t>
  </si>
  <si>
    <t>Köztemetés</t>
  </si>
  <si>
    <t>Természetben nyújtott összesen</t>
  </si>
  <si>
    <t>Óvodáztatási támogatás</t>
  </si>
  <si>
    <t>Ingyenes nyári gyermekétkeztetés</t>
  </si>
  <si>
    <t>Mindösszesen önk.által folyósított szoc.ellátás</t>
  </si>
  <si>
    <t>Szociális segélyek összesen</t>
  </si>
  <si>
    <t>Felhalmozási kiadások eft-ban</t>
  </si>
  <si>
    <t>Beruházási kiadás</t>
  </si>
  <si>
    <t>Felújítási kiadás</t>
  </si>
  <si>
    <t>Mindösszesen</t>
  </si>
  <si>
    <t>Bevételek</t>
  </si>
  <si>
    <t>Intézményi bevételek</t>
  </si>
  <si>
    <t>Kommunális adó</t>
  </si>
  <si>
    <t>Iparűzési adó</t>
  </si>
  <si>
    <t>Turisztikai adó</t>
  </si>
  <si>
    <t>Talajterhelési díj</t>
  </si>
  <si>
    <t>Pótlék, bírság</t>
  </si>
  <si>
    <t>Gépjármű adó</t>
  </si>
  <si>
    <t>Termőföld SZJA</t>
  </si>
  <si>
    <t>Működésre átvett pénzeszközök</t>
  </si>
  <si>
    <t>TB</t>
  </si>
  <si>
    <t>Kiegészítő támogatás egyes jövpótló fel.</t>
  </si>
  <si>
    <t xml:space="preserve">Mezőőri szolgálatra átvett     </t>
  </si>
  <si>
    <t>Vállalkozók mezőőri hozzájárulása</t>
  </si>
  <si>
    <t>Szenvedélybetegek Közösségi Ellátása</t>
  </si>
  <si>
    <t>Önkormányzati dolgozóknak nyújtott kölcsönök</t>
  </si>
  <si>
    <t>Költségvetési bevételek összesen</t>
  </si>
  <si>
    <t>Bevételek összesen</t>
  </si>
  <si>
    <t>Kiadások összesen</t>
  </si>
  <si>
    <t>függő bev</t>
  </si>
  <si>
    <t>ezer Ft-ban</t>
  </si>
  <si>
    <t>Kiadások</t>
  </si>
  <si>
    <t>I.</t>
  </si>
  <si>
    <t>fő</t>
  </si>
  <si>
    <t>I.1.bb) Közvilágítás fenntartásának támogatása</t>
  </si>
  <si>
    <t>I.1.bc) Köztemető fenntartással kapcsolatos feladatok támogatása</t>
  </si>
  <si>
    <t>I.1.bd) Közutak fenntartásának támogatása</t>
  </si>
  <si>
    <t>III.</t>
  </si>
  <si>
    <t>IV.</t>
  </si>
  <si>
    <t>II.</t>
  </si>
  <si>
    <t>Egészségügyi és Szociális  Ellátó Szervezet</t>
  </si>
  <si>
    <t>V.</t>
  </si>
  <si>
    <t>VI.</t>
  </si>
  <si>
    <t xml:space="preserve">          Saját forrás</t>
  </si>
  <si>
    <t xml:space="preserve">          Külső forrás</t>
  </si>
  <si>
    <t>Működésre átadott pénzeszközök</t>
  </si>
  <si>
    <t>Felhalmozásra átadott pénzeszköz</t>
  </si>
  <si>
    <t>Felhalmozási kiadások</t>
  </si>
  <si>
    <t xml:space="preserve">               -beruházás</t>
  </si>
  <si>
    <t xml:space="preserve">               - felújítás</t>
  </si>
  <si>
    <t>Pénzügyi befektetés</t>
  </si>
  <si>
    <t>Költségvetési kiadások összesen</t>
  </si>
  <si>
    <t>Felhalmozási bevételek</t>
  </si>
  <si>
    <t>Jogcím</t>
  </si>
  <si>
    <t>Felhalmozási célú kölcsön visszatérülés</t>
  </si>
  <si>
    <t>Felhalmozási bevételek összesen</t>
  </si>
  <si>
    <t>bevételek</t>
  </si>
  <si>
    <t>kiadások</t>
  </si>
  <si>
    <t>megnevezés</t>
  </si>
  <si>
    <t>Felhalmozási kiadás összesen</t>
  </si>
  <si>
    <t>Bevétel - kiadás</t>
  </si>
  <si>
    <t>Bevételi többlet</t>
  </si>
  <si>
    <t>Több éves kihatású kötelezettségvállalások ( eFt-ban)</t>
  </si>
  <si>
    <t>Hitelvisszafizetési kötelezettség</t>
  </si>
  <si>
    <t>"BATTONYA 2027" kötvény</t>
  </si>
  <si>
    <t>2013. április 01-től félévetne 0,0333 CHF -2027. október 01-ig</t>
  </si>
  <si>
    <t>300000 ft, 1.986.361 CHF</t>
  </si>
  <si>
    <t>246 ft-os árfolyamon</t>
  </si>
  <si>
    <t>2010. és 2011. évben megvalósult beruházásokhoz kapcsoslódó önk.saját erő finanszírozása</t>
  </si>
  <si>
    <t>2013. 03-31-tól negyedévente 2.500 eft, 2020.12.31-ig</t>
  </si>
  <si>
    <t>Tőketörlesztés összesen</t>
  </si>
  <si>
    <t>Kamatok</t>
  </si>
  <si>
    <t>Kamatok összesen</t>
  </si>
  <si>
    <t>Adósságszolgálat összesen</t>
  </si>
  <si>
    <t xml:space="preserve">Önkormányzati intézmények </t>
  </si>
  <si>
    <t xml:space="preserve">finanszírozása </t>
  </si>
  <si>
    <t xml:space="preserve">Összes </t>
  </si>
  <si>
    <t>Intézmények</t>
  </si>
  <si>
    <t xml:space="preserve">Normatív </t>
  </si>
  <si>
    <t>Támogatási</t>
  </si>
  <si>
    <t>kiadás</t>
  </si>
  <si>
    <t>saját bevételei</t>
  </si>
  <si>
    <t>állami támogatás</t>
  </si>
  <si>
    <t>igény</t>
  </si>
  <si>
    <t>Források</t>
  </si>
  <si>
    <t>beszámítás</t>
  </si>
  <si>
    <t>saját bevétel</t>
  </si>
  <si>
    <t>Közlekedési költségtérítés</t>
  </si>
  <si>
    <t>Munkaadókat terhelő járulékok</t>
  </si>
  <si>
    <t>pszichiáter megbiz.díj</t>
  </si>
  <si>
    <t>pszichológus 40000Ft/hó</t>
  </si>
  <si>
    <t>továbbképzés</t>
  </si>
  <si>
    <t>előadók díja</t>
  </si>
  <si>
    <t>Önkormányzat</t>
  </si>
  <si>
    <t>segélyek saját forrás</t>
  </si>
  <si>
    <t>közfoglalkoztatás saját forrás</t>
  </si>
  <si>
    <t>maradvány</t>
  </si>
  <si>
    <t>e Ft-ban</t>
  </si>
  <si>
    <t>Személyi juttatások</t>
  </si>
  <si>
    <t>Munkaadót terhelő járulékok</t>
  </si>
  <si>
    <t>Dologi és folyó kiadások</t>
  </si>
  <si>
    <t>Beruházások, felújítások, pénzügyi befektetések</t>
  </si>
  <si>
    <t>Pénzeszköz átadás</t>
  </si>
  <si>
    <t>Ellátottak pénzbeni juttatása</t>
  </si>
  <si>
    <t>Működésre átadott</t>
  </si>
  <si>
    <t>Intézmény finanszírozás</t>
  </si>
  <si>
    <t>Önkormányzati képviselők</t>
  </si>
  <si>
    <t>Polgármesteri Hivatal összesen</t>
  </si>
  <si>
    <t>Közfoglalkoztatás</t>
  </si>
  <si>
    <t>Önkormányzat összesen</t>
  </si>
  <si>
    <t>Gyerekház támogatása</t>
  </si>
  <si>
    <t>2012-ben 8950 eft. Előtörlesztés</t>
  </si>
  <si>
    <t>Strandfürdő működési támogatás</t>
  </si>
  <si>
    <t>Egészségügyi és Szociális Ellátó Szervezet</t>
  </si>
  <si>
    <t>járulékok</t>
  </si>
  <si>
    <t xml:space="preserve">dologi </t>
  </si>
  <si>
    <t>Házi segítségnyújtás</t>
  </si>
  <si>
    <t>műk-re átvett pénz</t>
  </si>
  <si>
    <t>TB fin</t>
  </si>
  <si>
    <t>műk.bev</t>
  </si>
  <si>
    <t>Dologi kiadások</t>
  </si>
  <si>
    <t>Közvilágítás</t>
  </si>
  <si>
    <t>állami</t>
  </si>
  <si>
    <t>II.félév</t>
  </si>
  <si>
    <t>I.félév</t>
  </si>
  <si>
    <t>Köztisztviselők, jegyző, polgármesterek</t>
  </si>
  <si>
    <t>intézmény összesen</t>
  </si>
  <si>
    <t>Városellátó Szervezet</t>
  </si>
  <si>
    <t>átadott peszk. felhalm..</t>
  </si>
  <si>
    <t>finanszírozás forrása</t>
  </si>
  <si>
    <t>felhal.bev.</t>
  </si>
  <si>
    <t>adó</t>
  </si>
  <si>
    <t>egyéb sajátos</t>
  </si>
  <si>
    <t>átengedett</t>
  </si>
  <si>
    <t>kölcsön visszatér</t>
  </si>
  <si>
    <t>tevékenység</t>
  </si>
  <si>
    <t>bevétel</t>
  </si>
  <si>
    <t>Előirányzat-felhasználási terv</t>
  </si>
  <si>
    <t>Ezer forintban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</si>
  <si>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</si>
  <si>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</si>
  <si>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</si>
  <si>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</si>
  <si>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</si>
  <si>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</si>
  <si>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</si>
  <si>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</si>
  <si>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</si>
  <si>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</si>
  <si>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</si>
  <si>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</si>
  <si>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</si>
  <si>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</si>
  <si>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Közhatalmi bevételek</t>
  </si>
  <si>
    <t>Intézményi működési bevételek</t>
  </si>
  <si>
    <t>Támogatások, hozzájárulások bevételei</t>
  </si>
  <si>
    <t>Támogatásértékű bevételek</t>
  </si>
  <si>
    <t>Felhalmozási célú bevételek</t>
  </si>
  <si>
    <t>Átvett pénzeszközök</t>
  </si>
  <si>
    <t>Kölcsönök</t>
  </si>
  <si>
    <t>Előző évi pénzmaradvány, vállalkozási eredmény</t>
  </si>
  <si>
    <t>Bevételek összesen:</t>
  </si>
  <si>
    <t>Munkaadókat terhelő járulékok és szociális hozzájárulási adó</t>
  </si>
  <si>
    <t>Ellátottak pénzbeli juttatása</t>
  </si>
  <si>
    <t>Támogatások, elvonások</t>
  </si>
  <si>
    <t>Támogatásértékű kiadások</t>
  </si>
  <si>
    <t>Lakosságnak juttatott tám., szociális, rászorultság jellegű tám.</t>
  </si>
  <si>
    <t>Tartalékok</t>
  </si>
  <si>
    <t>Hitelek kamatai</t>
  </si>
  <si>
    <t>Felhalmozási költségvetés kiadásai</t>
  </si>
  <si>
    <t>Finanszírozási célú kiadások</t>
  </si>
  <si>
    <t>Kiadások összesen:</t>
  </si>
  <si>
    <t>Egyenleg</t>
  </si>
  <si>
    <t>Nyitó pénzkészlet</t>
  </si>
  <si>
    <t>-----</t>
  </si>
  <si>
    <t>Finanszírozási célú bevételek</t>
  </si>
  <si>
    <t>Egyenleg (10-23)</t>
  </si>
  <si>
    <t>mezőőr</t>
  </si>
  <si>
    <t>szenvedély</t>
  </si>
  <si>
    <t>ivóvíz</t>
  </si>
  <si>
    <t>iskolák megsz</t>
  </si>
  <si>
    <t>létszámcsökk</t>
  </si>
  <si>
    <t>komm.adó</t>
  </si>
  <si>
    <t>ipar</t>
  </si>
  <si>
    <t>többi</t>
  </si>
  <si>
    <t>PH</t>
  </si>
  <si>
    <t>folyószámla</t>
  </si>
  <si>
    <t>Battonyai Polgármesteri Hivatal</t>
  </si>
  <si>
    <t>intézmény</t>
  </si>
  <si>
    <t>mindösszesen</t>
  </si>
  <si>
    <t xml:space="preserve">Közfoglalkoztatás </t>
  </si>
  <si>
    <t>Battonya Város Önkormányzat saját bevételeinek részletezése az adósságot keletkeztető ügyletből származó tárgyévi fizetési kötelezettség megállapításához</t>
  </si>
  <si>
    <t xml:space="preserve">Ezer forintban </t>
  </si>
  <si>
    <t>Bevételi jogcímek</t>
  </si>
  <si>
    <t>Helyi adók</t>
  </si>
  <si>
    <t>Osztalékok, koncessziós díjak, hozam</t>
  </si>
  <si>
    <t>Díjak, pótlékok bírságok</t>
  </si>
  <si>
    <t>Tárgyi eszközök, immateriális javak, vagyoni értékű jog értékesítése, vagyonhasznosításból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</si>
  <si>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</si>
  <si>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</si>
  <si>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</si>
  <si>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</si>
  <si>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</si>
  <si>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Egészségügyi és Szociális Ellátó Szervezet Előirányzat-felhasználási terv</t>
  </si>
  <si>
    <t>Városellátó  Szervezet Előirányzat-felhasználási terv</t>
  </si>
  <si>
    <t>Városi Művelődési Központ és Könyvtár Előirányzat-felhasználási terv</t>
  </si>
  <si>
    <t>gépjármű+szja</t>
  </si>
  <si>
    <t>Támogatások, hozzájárulások, sajátos</t>
  </si>
  <si>
    <t>K</t>
  </si>
  <si>
    <t>L</t>
  </si>
  <si>
    <t xml:space="preserve">A </t>
  </si>
  <si>
    <t>M</t>
  </si>
  <si>
    <t>jogcím/ intézmény</t>
  </si>
  <si>
    <t>működési</t>
  </si>
  <si>
    <t>ÖK</t>
  </si>
  <si>
    <t>VSZ</t>
  </si>
  <si>
    <t>ESZESZ</t>
  </si>
  <si>
    <t>tagdíj</t>
  </si>
  <si>
    <t>vasutas települések</t>
  </si>
  <si>
    <t>dareh működési hozzájár 2012 évi</t>
  </si>
  <si>
    <t xml:space="preserve">dareh működési hozzájár </t>
  </si>
  <si>
    <t>előző évi állami visszafiz.</t>
  </si>
  <si>
    <t>kamatok</t>
  </si>
  <si>
    <t>munkabér</t>
  </si>
  <si>
    <t>kötvény</t>
  </si>
  <si>
    <t>80 millió</t>
  </si>
  <si>
    <t>felhalmozási</t>
  </si>
  <si>
    <t>pályázat</t>
  </si>
  <si>
    <t>eredeti</t>
  </si>
  <si>
    <t>Erzsébet utalvány</t>
  </si>
  <si>
    <t>2014.évi er.ei.</t>
  </si>
  <si>
    <t>2014.</t>
  </si>
  <si>
    <t>Időskorúak járadéka</t>
  </si>
  <si>
    <t>Ápolási díj</t>
  </si>
  <si>
    <t>Mutató</t>
  </si>
  <si>
    <t xml:space="preserve"> I. A HELYI ÖNKORMÁNYZATOK MŰKÖDÉSÉNEK ÁLTALÁNOS TÁMOGATÁSA</t>
  </si>
  <si>
    <t>I.1.a) Önkormányzati hivatal működésének támogatása</t>
  </si>
  <si>
    <t>I.1.a) Önkormányzati hivatal működésének támogatása - elismert hivatali létszám alapján</t>
  </si>
  <si>
    <t xml:space="preserve">I.1.a) - V. Önkormányzati hivatal működésének támogatása - beszámítás után
</t>
  </si>
  <si>
    <t>I.1.b) Település-üzemeltetéshez kapcsolódó feladatellátás támogatása összesen</t>
  </si>
  <si>
    <t>I.1.b) - V. Támogatás összesen - beszámítás után</t>
  </si>
  <si>
    <t>I.1.ba) A zöldterület-gazdálkodással kapcsolatos feladatok ellátásának támogatása</t>
  </si>
  <si>
    <t>I.1.ba) - V. A zöldterület-gazdálkodással kapcsolatos feladatok ellátásának támogatása - beszámítás után</t>
  </si>
  <si>
    <t xml:space="preserve">I.1.bb) - V. Közvilágítás fenntartásának támogatása - beszámítás után
</t>
  </si>
  <si>
    <t>I.1.bc) - V. Köztemető fenntartással kapcsolatos feladatok támogatása - beszámítás után</t>
  </si>
  <si>
    <t>I.1.bd) - V. Közutak fenntartásának támogatása - beszámítás után</t>
  </si>
  <si>
    <t>I.1.c) Egyéb önkormányzati feladatok támogatása</t>
  </si>
  <si>
    <t xml:space="preserve">I.1.c) - V. Egyéb önkormányzati feladatok támogatása - beszámítás után 
</t>
  </si>
  <si>
    <t xml:space="preserve">I.2. Nem közművel összegyűjtött háztartási szennyvíz ártalmatlanítása 
</t>
  </si>
  <si>
    <t>köbméter</t>
  </si>
  <si>
    <t>V. Info Beszámítás</t>
  </si>
  <si>
    <t xml:space="preserve"> III. A TELEPÜLÉSI ÖNKORMÁNYZATOK SZOCIÁLIS ÉS GYERMEKJÓLÉTI FELADATAINAK TÁMOGATÁSA</t>
  </si>
  <si>
    <t xml:space="preserve">III.2. Hozzájárulás a pénzbeli szociális ellátásokhoz </t>
  </si>
  <si>
    <t>III.2. - V. Hozzájárulás a pénzbeli szociális ellátásokhoz beszámítás után</t>
  </si>
  <si>
    <t>III.3. Egyes szociális és gyermekjóléti feladatok támogatása</t>
  </si>
  <si>
    <t>III.3.a (1) Szociális és gyermekjóléti alapszolgáltatások általános feladatai - családsegítés</t>
  </si>
  <si>
    <t>III.3.a (2) Szociális és gyermekjóléti alapszolgáltatások általános feladatai - gyermekjóléti szolgálat</t>
  </si>
  <si>
    <t>III.3.b gyermekjóléti központ</t>
  </si>
  <si>
    <t>működési hó</t>
  </si>
  <si>
    <t>III.3.c (1) szociális étkeztetés</t>
  </si>
  <si>
    <t>III.3.d (1) házi segítségnyújtás</t>
  </si>
  <si>
    <t>III.3.f Időskorúak nappali intézményi ellátása</t>
  </si>
  <si>
    <t>III.3.f (1) időskorúak nappali intézményi ellátása</t>
  </si>
  <si>
    <t xml:space="preserve">III.3.g Fogyatékos és demens személyek nappali intézményi ellátása </t>
  </si>
  <si>
    <t>III.3.g (5) demens személyek nappali intézményi ellátása</t>
  </si>
  <si>
    <t>Felhalmozási és tőkejellegű bevétel</t>
  </si>
  <si>
    <t>menny.e</t>
  </si>
  <si>
    <t>2014. év</t>
  </si>
  <si>
    <t>ft*12hó</t>
  </si>
  <si>
    <t>ft*6hó</t>
  </si>
  <si>
    <t>ft*2fő</t>
  </si>
  <si>
    <t xml:space="preserve"> </t>
  </si>
  <si>
    <t>Központi költségvetéstől átvett</t>
  </si>
  <si>
    <t>Városnap</t>
  </si>
  <si>
    <t>felhalm.bev.</t>
  </si>
  <si>
    <t>Átadott felhalmozásra</t>
  </si>
  <si>
    <t>Hősök tere 11. értékesítése</t>
  </si>
  <si>
    <t>Egyéb ingatlan értékesítése</t>
  </si>
  <si>
    <t>Alapilletmény</t>
  </si>
  <si>
    <t>A HELYI ÖNKORMÁNYZATOK MŰKÖDÉSÉNEK ÁLTALÁNOS TÁMOGATÁSA    ft-ban</t>
  </si>
  <si>
    <t>2014. évben teljes konszolidáció</t>
  </si>
  <si>
    <t>Működési pályázati alap</t>
  </si>
  <si>
    <t>Könyvt</t>
  </si>
  <si>
    <t>2015.évi er.ei.</t>
  </si>
  <si>
    <t>2014. évi mód. előirányzat</t>
  </si>
  <si>
    <t>2014. évi eredeti előirányzat</t>
  </si>
  <si>
    <t>2015. évi eredeti előirányzat</t>
  </si>
  <si>
    <t>2015.</t>
  </si>
  <si>
    <t xml:space="preserve">Békés Megyei Ivóvízminőség-javító Program KEOP-1.3.0/09/11-2012-0009   </t>
  </si>
  <si>
    <t>2015. évi felhalmozási bevételek és kiadások bemutatása mérlegszerűen, eft-ban</t>
  </si>
  <si>
    <t>Polgármesteri Hivatal számítástechnikai eszköz vásárlás (áfás)</t>
  </si>
  <si>
    <t>Temetőbe urnafal építése (ÖK)</t>
  </si>
  <si>
    <t>Temető ravatalozó épület tető felújítása (ÖK)</t>
  </si>
  <si>
    <t>Jelzőrendszeres házi segítségnyújtás működtetésének támogatása, 14 fő*6.000ft</t>
  </si>
  <si>
    <t>Nemzetiség Önkormányzatok támogatása</t>
  </si>
  <si>
    <t>Felhalmozásra átadott összesen</t>
  </si>
  <si>
    <t>Felhal-mozásra átadott</t>
  </si>
  <si>
    <t>686574 Egészségügyi és Szociális Ellátó Szervezet</t>
  </si>
  <si>
    <t>2015. évi szöveges költségvetés</t>
  </si>
  <si>
    <t>kormányzati funkció</t>
  </si>
  <si>
    <t>eFt</t>
  </si>
  <si>
    <t>Működési bevételek</t>
  </si>
  <si>
    <t>NAGY CSABA</t>
  </si>
  <si>
    <t>Foglalkoztatottak személyi juttatásai</t>
  </si>
  <si>
    <t>SEBÖK MÁTÉ</t>
  </si>
  <si>
    <t>munkábajárás ktsg-e (21 nap*36 km*9ft/km*12hó)</t>
  </si>
  <si>
    <t>utiktg térítés</t>
  </si>
  <si>
    <r>
      <t xml:space="preserve">Egyéb költségtérítések </t>
    </r>
    <r>
      <rPr>
        <sz val="9"/>
        <rFont val="Arial CE"/>
        <family val="0"/>
      </rPr>
      <t>(lakossági fszla ktgtér.)</t>
    </r>
  </si>
  <si>
    <t>Külső személyi juttatások</t>
  </si>
  <si>
    <r>
      <t>Állom. nem tartozók megbízási díja</t>
    </r>
    <r>
      <rPr>
        <sz val="8"/>
        <rFont val="Arial"/>
        <family val="2"/>
      </rPr>
      <t xml:space="preserve"> (szakmai vez.megb.díja)</t>
    </r>
  </si>
  <si>
    <t>megbízási díj Korobán Éva</t>
  </si>
  <si>
    <t xml:space="preserve">Szociális hozzájárulási adó    </t>
  </si>
  <si>
    <t>alap</t>
  </si>
  <si>
    <t xml:space="preserve">Dologi kiadások </t>
  </si>
  <si>
    <t>áfa</t>
  </si>
  <si>
    <t>Készletbeszerzés</t>
  </si>
  <si>
    <t>Könyvbeszerzés</t>
  </si>
  <si>
    <t>Egyéb szakmai anyagbeszerzés</t>
  </si>
  <si>
    <t>Irodaszer,nyomtatv.beszerzés</t>
  </si>
  <si>
    <t>Munkaruha, védőruha,egyenruha beszerzés</t>
  </si>
  <si>
    <r>
      <t>Egyéb üzemelt.anyagbeszerzés</t>
    </r>
    <r>
      <rPr>
        <sz val="9"/>
        <rFont val="Arial CE"/>
        <family val="0"/>
      </rPr>
      <t xml:space="preserve"> (karbantartási anyagok, tisztítószerek)</t>
    </r>
  </si>
  <si>
    <t>Kommunikációs szolgáltatások</t>
  </si>
  <si>
    <r>
      <t xml:space="preserve">Egyéb különf.kommunik.szolgáltatások </t>
    </r>
    <r>
      <rPr>
        <sz val="9"/>
        <rFont val="Arial CE"/>
        <family val="0"/>
      </rPr>
      <t>(internetdíj, tvdíj)</t>
    </r>
  </si>
  <si>
    <t xml:space="preserve">Nem adatátvit.célú távközlési díjak </t>
  </si>
  <si>
    <t>Szolgáltatási kiadások</t>
  </si>
  <si>
    <t>Közüzemi díjak</t>
  </si>
  <si>
    <t>Villamosenergia szolg.díjak</t>
  </si>
  <si>
    <t>Gázenergia-szolg.díjak</t>
  </si>
  <si>
    <t>Víz- és csatornadíjak</t>
  </si>
  <si>
    <t>Bérleti és lízing díjak</t>
  </si>
  <si>
    <r>
      <t xml:space="preserve">Egyéb bérleti és lízing díjak </t>
    </r>
    <r>
      <rPr>
        <sz val="9"/>
        <rFont val="Arial CE"/>
        <family val="0"/>
      </rPr>
      <t>(fénymásoló bérlet)</t>
    </r>
  </si>
  <si>
    <r>
      <rPr>
        <i/>
        <u val="single"/>
        <sz val="11"/>
        <rFont val="Arial CE"/>
        <family val="0"/>
      </rPr>
      <t>Karbantartási, kisjavítási szolg.-ok</t>
    </r>
    <r>
      <rPr>
        <i/>
        <sz val="11"/>
        <rFont val="Arial CE"/>
        <family val="0"/>
      </rPr>
      <t xml:space="preserve"> </t>
    </r>
  </si>
  <si>
    <t>Szakmai és egyéb szolgáltatások</t>
  </si>
  <si>
    <t xml:space="preserve">Vásárolt közszolgáltatások </t>
  </si>
  <si>
    <t>fogalkozás eü-i vizsg.</t>
  </si>
  <si>
    <r>
      <t>Egyéb üzemeltetési szolgáltatások</t>
    </r>
    <r>
      <rPr>
        <sz val="9"/>
        <rFont val="Arial CE"/>
        <family val="0"/>
      </rPr>
      <t xml:space="preserve"> </t>
    </r>
    <r>
      <rPr>
        <sz val="8"/>
        <rFont val="Arial CE"/>
        <family val="0"/>
      </rPr>
      <t>(szemétdíj, távfel.díj, postaktg.kéményell.)</t>
    </r>
  </si>
  <si>
    <t>Kiküldetések, reklám- ésprop.kiadások</t>
  </si>
  <si>
    <r>
      <t>Belföldi kiküldetések kiadásai</t>
    </r>
    <r>
      <rPr>
        <sz val="9"/>
        <rFont val="Arial CE"/>
        <family val="0"/>
      </rPr>
      <t xml:space="preserve"> (területre kijárás, továbbképzések utiktg-e)</t>
    </r>
  </si>
  <si>
    <t>Különféle befizetések és egyéb dologi kiadások</t>
  </si>
  <si>
    <t>Működési célra előzetesen felszámít. ÁFA</t>
  </si>
  <si>
    <t>Működ.célú előzet.felsz.le nem vonh.ÁFA</t>
  </si>
  <si>
    <t>28</t>
  </si>
  <si>
    <t>Battonya Város Önkormányzatának 2015. évi engedélyezett létszámkerete</t>
  </si>
  <si>
    <t>BM EU Önerő Alap KEOP-1.3.0/09-11-2012-0009 pályázathoz önerő (amely 100%-ban támogatott)</t>
  </si>
  <si>
    <t>2013.évi mód.ei.</t>
  </si>
  <si>
    <t xml:space="preserve">Rendszeres szociális segély </t>
  </si>
  <si>
    <t>Egészségkárosodottak rendszeres szociális segélye</t>
  </si>
  <si>
    <t>Foglalkoztatást helyettesítő támogatás</t>
  </si>
  <si>
    <t>Lakásfenntartási támogatás (MARAD)</t>
  </si>
  <si>
    <t xml:space="preserve">Önkormányzati segélyek  </t>
  </si>
  <si>
    <t>Természetbeni átmeneti segély</t>
  </si>
  <si>
    <t>Természetbeni rendk.gyermekv.támog.</t>
  </si>
  <si>
    <t xml:space="preserve">eredeti </t>
  </si>
  <si>
    <t>mód.ei.</t>
  </si>
  <si>
    <t>MÁK</t>
  </si>
  <si>
    <t>pü-i telj.</t>
  </si>
  <si>
    <t>előirányzat</t>
  </si>
  <si>
    <t>Felhalmozási tartalék</t>
  </si>
  <si>
    <t>Temetőbe urnafal építése</t>
  </si>
  <si>
    <t>Közfoglalkoztatás (munkagép)</t>
  </si>
  <si>
    <t>2013. évi pénzmaradvány ÖK</t>
  </si>
  <si>
    <t>2013. évi pénzmaradvány Városi Műv. Központ és Könyvtár (Múzeumi berendezések, platós kocsi vásárlása)</t>
  </si>
  <si>
    <t>Egészségügyi és Szociális Ellátó Szervezet fogászati gépek beszerzése saját forrásból</t>
  </si>
  <si>
    <t>Városi Művelődési Központ és Könyvtár " Civil-Alap 2014 pályázat" Holokaust emlékmű</t>
  </si>
  <si>
    <t>Városellátó Szervezet 1 db ipari hűtőláda</t>
  </si>
  <si>
    <t>Közbiztonság növelését szolgáló önkormányzati fejlesztés (központosított előirányzat)</t>
  </si>
  <si>
    <t>Városi Művelődési Központ és Könyvtár" Múzeális int. központosított támogatás"</t>
  </si>
  <si>
    <t>Gimnázium hőszolgáltatás kiváltása</t>
  </si>
  <si>
    <t>Temető ravatalozó épület tető felújítása</t>
  </si>
  <si>
    <t>felújítási munka Városellátó Szervezet koll.épülete</t>
  </si>
  <si>
    <t>Rekonstrukciós munka 40106RE 26/13, ért.növ.felúj. 40061F, 40012F</t>
  </si>
  <si>
    <t>Vízmű felújítás</t>
  </si>
  <si>
    <t>eredeti ei.</t>
  </si>
  <si>
    <t>Pü-i telj.</t>
  </si>
  <si>
    <t>Egyéb célú telek értékesítés</t>
  </si>
  <si>
    <t>Jármű értékesítés</t>
  </si>
  <si>
    <t>BM EU Önerő Alap KEOP-1.3.0/09-11 pályázathoz</t>
  </si>
  <si>
    <t>Konszolidáció</t>
  </si>
  <si>
    <t>Fejlesztési támog. Közbiztonság növ.</t>
  </si>
  <si>
    <t>Muzeális intézet szakmai támogatás</t>
  </si>
  <si>
    <t>2013. évi pénzmaradvány Városi Műv. Központ és Könyvtár</t>
  </si>
  <si>
    <t>Városi Művelődési Központ és Könyvtár "Civil Alap 2014 pályázat"</t>
  </si>
  <si>
    <t>eredeti előirányzat</t>
  </si>
  <si>
    <t xml:space="preserve">  Közművelődési érdekeltségnövelő pályázati alap </t>
  </si>
  <si>
    <t xml:space="preserve">  Múzeumi érdekeltségnövelő pályázati alap</t>
  </si>
  <si>
    <t xml:space="preserve">  Battonyai Polgárőr Egyesület</t>
  </si>
  <si>
    <t xml:space="preserve">  Battonyai Testgyakorlók Köre</t>
  </si>
  <si>
    <t xml:space="preserve">  Battonyai Sakk Egyesület</t>
  </si>
  <si>
    <t xml:space="preserve">  Gödrösöki Sporthorgász Egyesület</t>
  </si>
  <si>
    <t xml:space="preserve">  Városi Önkéntes Tűzoltó Egyesület</t>
  </si>
  <si>
    <t xml:space="preserve">  Barátság  Sportegyesület</t>
  </si>
  <si>
    <t xml:space="preserve">  Mikes Kelemen Katolikus Gimnázium és Szakképző Iskola</t>
  </si>
  <si>
    <t xml:space="preserve">  Battonyai Általános Iskoláért Alapítvány</t>
  </si>
  <si>
    <t xml:space="preserve">  Közalapítvány a Battonyai Napköziotthonos Óvodákért</t>
  </si>
  <si>
    <t xml:space="preserve">  Lucian Magdu Alapítvány</t>
  </si>
  <si>
    <t xml:space="preserve">  Fodor Manó Helytörténeti Egyesület</t>
  </si>
  <si>
    <t xml:space="preserve">  Battonyai Harangvirág Nyugdíjas Klub</t>
  </si>
  <si>
    <t xml:space="preserve">  Szivárvány néptánccsoport</t>
  </si>
  <si>
    <t xml:space="preserve">  Zene Mindenkiért Alapítvány</t>
  </si>
  <si>
    <t xml:space="preserve">  Szabad forrás</t>
  </si>
  <si>
    <t>Orvosok támog.3*1 000 000</t>
  </si>
  <si>
    <t>Mikes Kelemen Gimnáziumnak választási bérmegtérítés Battonyai Polgármesteri Hivataltól</t>
  </si>
  <si>
    <t xml:space="preserve">   Működési célú támogatások államháztartáson kívülre</t>
  </si>
  <si>
    <t>Számíthatsz Ránk! Egyesület pályázati önerő</t>
  </si>
  <si>
    <t>Pénzmaradvány átadás Polgármesteri Hivatalnak</t>
  </si>
  <si>
    <t>Pénzmaradvány átadás Egészségügyi és Szociális Ellátó Szervezetnek</t>
  </si>
  <si>
    <t>Pénzmaradvány átadás Városellátó Szervezetnek</t>
  </si>
  <si>
    <t>Városi Művelődési Központ és Könyvtár pályázati előfinanszírozása Önkormányzattól TIOP</t>
  </si>
  <si>
    <t>Városi Művelődési Központ és Könyvtár pályázati előfinanszírozás visszautalása Önkormányzatnak</t>
  </si>
  <si>
    <t xml:space="preserve">ESZA Nonprofit Kft.-nek ME-TÁMOP lebony.szla (Uniós finansz.) Battonyai Polgármesteri Hivataltól </t>
  </si>
  <si>
    <t>Könyvtár infrastrukt.pályázat</t>
  </si>
  <si>
    <t>MÁK normatíva visszafizetés (előző évi)</t>
  </si>
  <si>
    <t>BM-i Kormányhivatal Munkaügyi Központnak átadott (KÖZMUNKAPROGRAMOK el nem számolt előleghátraléka)</t>
  </si>
  <si>
    <t>a megszünt Cigány Nemzetiségi Önkormányzatnak (folyószámla költségre)</t>
  </si>
  <si>
    <t xml:space="preserve">   Működési célú támogatások államháztartáson belülre</t>
  </si>
  <si>
    <t>Strandfürdő</t>
  </si>
  <si>
    <t>Pénzmaradvány átadás</t>
  </si>
  <si>
    <t>Önkormányzati dolgozók számára bizt. Hitelkeret</t>
  </si>
  <si>
    <t xml:space="preserve"> eredeti</t>
  </si>
  <si>
    <t>önk.vagyon bérbeadása =műk.-i bev-ek között</t>
  </si>
  <si>
    <t>Adósságkonszolidáció - kötvény</t>
  </si>
  <si>
    <t>Adósságkonszolidáció</t>
  </si>
  <si>
    <t>vízmű</t>
  </si>
  <si>
    <t>Strandfürdő felhalm. átadott</t>
  </si>
  <si>
    <t>Közterület rendjének fenntartása (mezőőr)</t>
  </si>
  <si>
    <t>Az önkormányzati vagyonnal való gazdálk.kapcs.fel. (üzletbér, tartalékföld)</t>
  </si>
  <si>
    <t>Lakóingatlan szociális célú bérbeadása, üzemeltet. (lakbér)</t>
  </si>
  <si>
    <t>Város-, községgazdálkodási egyéb szolgáltatások (önkéntes tűzoltói tev.)</t>
  </si>
  <si>
    <t xml:space="preserve">Gyermekvédelmi pénzbeli és természetbeni ellátás </t>
  </si>
  <si>
    <t>Családtámogatások</t>
  </si>
  <si>
    <t>Köztemető-fenntartás és -működtetés</t>
  </si>
  <si>
    <t>Más szerv részére végzett pü.-gazdálk. üzem.felad.</t>
  </si>
  <si>
    <t>Piac üzemeltetése</t>
  </si>
  <si>
    <t>Nem veszélyes (települési) hulladék vegyes begyűjt</t>
  </si>
  <si>
    <t>Sportlétesítmények, edzőtáborok működtet.és fejl.</t>
  </si>
  <si>
    <t>Szabad kap.terh.végzett, nem haszonszerz.kiad.bev.</t>
  </si>
  <si>
    <t>többlet bevételű tevékeny-ségekről</t>
  </si>
  <si>
    <t>2015. ÉVI SZÖVEGES KÖLTSÉGVETÉS ÖSSZESÍTŐ</t>
  </si>
  <si>
    <t>Könyvtári állomány gyarapítása, nyilvántartása</t>
  </si>
  <si>
    <t>Könyvtári állomány feltárása, megőrzése, védelme</t>
  </si>
  <si>
    <t>Könyvtári szolgáltatások</t>
  </si>
  <si>
    <t xml:space="preserve">Közművelődés – közösségi és társadalmi részvétel </t>
  </si>
  <si>
    <t>Múzeumi gyűjteményi tevékenység</t>
  </si>
  <si>
    <t>bevétel összesen</t>
  </si>
  <si>
    <t>kiadás összesen</t>
  </si>
  <si>
    <t>átadott pe. műk.</t>
  </si>
  <si>
    <t>Önkormányzatok és önkorm.hivat.jogalkot.ált. ig.tev</t>
  </si>
  <si>
    <t>Önkormányzatok és önkorm.hivat.jogalkot.ált.  ig.tev</t>
  </si>
  <si>
    <t>Munkanélküli aktív korúak ellátásai</t>
  </si>
  <si>
    <t>Lakásfenntartással, lakhatással összefüggő ellátás</t>
  </si>
  <si>
    <t>Háziorvosi ellátás</t>
  </si>
  <si>
    <t>Fogorvosi alapellátás</t>
  </si>
  <si>
    <t>Egészségügyi laboratóriumi szolgáltatások</t>
  </si>
  <si>
    <t>Fizikoterápiás szolgáltatás</t>
  </si>
  <si>
    <t xml:space="preserve">Család és nővédelmi egészségügyi gondozás  </t>
  </si>
  <si>
    <t>Ifjúság-egészségügyi gondozás</t>
  </si>
  <si>
    <t xml:space="preserve">Szenvedélybetegek közösségi alapellátása (kivéve: </t>
  </si>
  <si>
    <t>Idősek, demens betegek nappali ellátása</t>
  </si>
  <si>
    <t>Gyermekjóléti szolgáltatások</t>
  </si>
  <si>
    <t xml:space="preserve">Szociális étkeztetés </t>
  </si>
  <si>
    <t>Családsegítés</t>
  </si>
  <si>
    <t xml:space="preserve">  9.</t>
  </si>
  <si>
    <t xml:space="preserve">  8.</t>
  </si>
  <si>
    <t xml:space="preserve">  7.</t>
  </si>
  <si>
    <t xml:space="preserve">  6.</t>
  </si>
  <si>
    <t xml:space="preserve">  4.</t>
  </si>
  <si>
    <t xml:space="preserve">  3.</t>
  </si>
  <si>
    <t xml:space="preserve">  2.</t>
  </si>
  <si>
    <t xml:space="preserve">  1.</t>
  </si>
  <si>
    <t xml:space="preserve">  5.</t>
  </si>
  <si>
    <t>Vízmű értéknövelő felújítás (ÖK)</t>
  </si>
  <si>
    <t>2015.évi eredeti</t>
  </si>
  <si>
    <t>fajlagos összeg</t>
  </si>
  <si>
    <t>19+(6011-5001)/(10000-5001)*(25-19)</t>
  </si>
  <si>
    <t>19+(6043-5001)/(10000-5001)*(26-19)</t>
  </si>
  <si>
    <t>hektár</t>
  </si>
  <si>
    <t>km</t>
  </si>
  <si>
    <t>I.1.d) - Lakott külterülettel kapcsolatos feladatok támogatása</t>
  </si>
  <si>
    <t xml:space="preserve">fő </t>
  </si>
  <si>
    <t>I.1.d) - V. Lakott külterülettel kapcsolatos feladatok támogatása - beszámítás után</t>
  </si>
  <si>
    <t>I.1.e) Üdülőhelyi feladatok támogatása</t>
  </si>
  <si>
    <t>ifa forint</t>
  </si>
  <si>
    <t>I.1.e) - V. Üdülőhelyi feladatok támogatása - beszámítás után</t>
  </si>
  <si>
    <t>I.4. Határátkelőhelyek fenntartásának támogatása</t>
  </si>
  <si>
    <t>ki- és belépők száma</t>
  </si>
  <si>
    <t xml:space="preserve">V. I.1. kiegészítés I.1. jogcímekhez kapcsolódó kiegészítés </t>
  </si>
  <si>
    <t xml:space="preserve">I.1. - V. A települési önkormányzatok működésének támogatása beszámítás és kiegészítés után </t>
  </si>
  <si>
    <r>
      <t xml:space="preserve">III.3.aa (1) 70 000 fő lakosságszámig működési engedéllyel </t>
    </r>
    <r>
      <rPr>
        <b/>
        <sz val="10"/>
        <color indexed="8"/>
        <rFont val="Arial"/>
        <family val="2"/>
      </rPr>
      <t>családsegítés</t>
    </r>
  </si>
  <si>
    <t>1/2</t>
  </si>
  <si>
    <t>6011/5000</t>
  </si>
  <si>
    <t>lakosságszám/5000</t>
  </si>
  <si>
    <t>6011/5000*3950000</t>
  </si>
  <si>
    <r>
      <t>III.3.aa (2) 70 000 fő lakosságszámig működési engedéllyel -</t>
    </r>
    <r>
      <rPr>
        <b/>
        <sz val="10"/>
        <color indexed="8"/>
        <rFont val="Arial"/>
        <family val="2"/>
      </rPr>
      <t xml:space="preserve"> gyermekjóléti szolgálat</t>
    </r>
  </si>
  <si>
    <t>55360*75</t>
  </si>
  <si>
    <t>fajlagos összeg 55360Ft/fő</t>
  </si>
  <si>
    <t>145000*39</t>
  </si>
  <si>
    <t>fajlagos összeg 145000Ft/fő</t>
  </si>
  <si>
    <t>109000*28</t>
  </si>
  <si>
    <t>fajlagos összeg 109000Ft/fő</t>
  </si>
  <si>
    <t>50000*28</t>
  </si>
  <si>
    <t>fajlagos összeg 500000Ft/fő</t>
  </si>
  <si>
    <t>II. IV.1.d. Közművelődési támogatás</t>
  </si>
  <si>
    <t>Mák értesítés alapján</t>
  </si>
  <si>
    <t>III. 15. Üdülőhelyi feladatok</t>
  </si>
  <si>
    <t>IV.1.d. Közművelődési támogatás</t>
  </si>
  <si>
    <t>vízmű bérbeadás</t>
  </si>
  <si>
    <t>terv adat</t>
  </si>
  <si>
    <t>tény adat teljesítés</t>
  </si>
  <si>
    <t>240,6 Ft-os árf-on számolva</t>
  </si>
  <si>
    <t>Felhalmozási kötelezettségvállalás</t>
  </si>
  <si>
    <t>Békés Megyei Ivóvízminőség-javító Program KEOP-1.3.0/09/11-2012-0009   158/2013.(X.14.) KT.határozat</t>
  </si>
  <si>
    <t>Felhalmozási kötelezettségvállalás összesen</t>
  </si>
  <si>
    <t>Kötvény árfolyamveszteség</t>
  </si>
  <si>
    <t>2015. eredeti előirányzat</t>
  </si>
  <si>
    <t>Mezőkovácsháza és Térsége Önk.i Társulás hozzájárulás 6 043 fő*5ft</t>
  </si>
  <si>
    <t>Saját bevételek</t>
  </si>
  <si>
    <t>Felhalmozásra átvett pénzeszköz</t>
  </si>
  <si>
    <t>KORMÁNYZATI FUNKCIÓK</t>
  </si>
  <si>
    <t>Battonyai Polgármesteri Hivatal és Battonya Város Önkormányzata kiadásai kormányzati funkciónként 2015.év</t>
  </si>
  <si>
    <t>2015. évre</t>
  </si>
  <si>
    <t>Battonya Város Önkormányzat előirányzat felhasználási terve
2015. évre</t>
  </si>
  <si>
    <t>Battonya Város Önkormányzat likvidási terve
2015. évre</t>
  </si>
  <si>
    <t xml:space="preserve">Önkormányzati dolgozók számára bizt. hitelkeret </t>
  </si>
  <si>
    <t>Közfoglalkoztatási mintaprogram</t>
  </si>
  <si>
    <t>"Békés megyei Ivóvízminőségjavító program" EU Önerő Alap KEOP-1.3.0/09-11-2012-0009 pályázathoz 100%-os támogatás BMÖNAL-249-13175349-04 azonosító számú Támogatási Szerződés alapján</t>
  </si>
  <si>
    <t>2016.</t>
  </si>
  <si>
    <t>2017.</t>
  </si>
  <si>
    <t>2018.</t>
  </si>
  <si>
    <t xml:space="preserve">Működési kiadások </t>
  </si>
  <si>
    <t xml:space="preserve">Átadott pénzeszközök </t>
  </si>
  <si>
    <t>átadott pe. felhalm.</t>
  </si>
  <si>
    <t>átadott peszk. felhalm.</t>
  </si>
  <si>
    <r>
      <t xml:space="preserve">101144-1 Szenvedélybetegek közösségi alapellátása </t>
    </r>
    <r>
      <rPr>
        <sz val="9"/>
        <rFont val="Arial CE"/>
        <family val="0"/>
      </rPr>
      <t>(kivéve: alacsonyküszöbű ellátás)</t>
    </r>
  </si>
  <si>
    <t>III.2. A települési önkormányzatok szociális feladatainak egyéb támogatása</t>
  </si>
  <si>
    <t>Felhalmozási tartalék (ÖK) pályázati önerő</t>
  </si>
  <si>
    <t>BEVÉTELEK  eFt</t>
  </si>
  <si>
    <t>KIADÁSOK  eFt</t>
  </si>
  <si>
    <t>Társulások működési támogatása</t>
  </si>
  <si>
    <t>Ellátottak pénzbeli juttatásai (eFt-ban)</t>
  </si>
  <si>
    <t>Ellátottak pénzbeli jutattásai</t>
  </si>
  <si>
    <t>Kölcsön nyújtása</t>
  </si>
  <si>
    <t>Kölcsönnyújtás visszatérülése</t>
  </si>
  <si>
    <t>Átengedett bevételek</t>
  </si>
  <si>
    <t>Állami hozzájárulás</t>
  </si>
  <si>
    <t xml:space="preserve">Átvett pénzeszközök, visszatérülések  </t>
  </si>
  <si>
    <t>Kölcsön visszatérülése</t>
  </si>
  <si>
    <t>Strandfürdő támogatása</t>
  </si>
  <si>
    <t>"Békés megyei Ivóvízmionőség javító program" EU Önerő Alap KEOP-1.3.0/09-11-2012-0009 pályázathoz önerő (amely 100%-ban támogatott)</t>
  </si>
  <si>
    <t>Átvett pénzeszköz( Önkormányzatnál)</t>
  </si>
  <si>
    <t>Beruházások</t>
  </si>
  <si>
    <t>Felújítások</t>
  </si>
  <si>
    <t>Felhalmozási c.visszatér.támogatások</t>
  </si>
  <si>
    <t>Felhalmozási célú visszatér.támog.(önkormányzati intézmények dolg-i számára bizt. hitelkeret) PH</t>
  </si>
  <si>
    <t>Felhalmozási c.kölcsön visszatérülés</t>
  </si>
  <si>
    <t>Működési kiadások</t>
  </si>
  <si>
    <t>ellátottak pénzbeli juttatása</t>
  </si>
  <si>
    <t>felhalm.-i kiadás</t>
  </si>
  <si>
    <t>Háziorvosi praxisok támogatása - TARTALÉK előirányzat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</si>
</sst>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\-#,##0"/>
    <numFmt numFmtId="165" formatCode="0.0%"/>
    <numFmt numFmtId="166" formatCode="0.00_ ;[Red]\-0.00\ "/>
    <numFmt numFmtId="167" formatCode="yyyy\-mm\-dd"/>
    <numFmt numFmtId="168" formatCode="#,###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-40E]yyyy\.\ mmmm\ d\."/>
    <numFmt numFmtId="173" formatCode="m\.\ d\.;@"/>
    <numFmt numFmtId="174" formatCode="0.0"/>
    <numFmt numFmtId="175" formatCode="#,##0.000"/>
    <numFmt numFmtId="176" formatCode="#,##0.0000"/>
    <numFmt numFmtId="177" formatCode="#,##0.0"/>
  </numFmts>
  <fonts count="117">
    <font>
      <sz val="10"/>
      <name val="Arial"/>
      <family val="0"/>
    </font>
    <font>
      <b/>
      <sz val="12"/>
      <name val="Arial"/>
      <family val="2"/>
    </font>
    <font>
      <b/>
      <sz val="12"/>
      <name val="Arial CE"/>
      <family val="2"/>
    </font>
    <font>
      <b/>
      <sz val="11"/>
      <name val="Arial"/>
      <family val="2"/>
    </font>
    <font>
      <b/>
      <sz val="11"/>
      <name val="Arial CE"/>
      <family val="2"/>
    </font>
    <font>
      <sz val="8"/>
      <name val="Arial"/>
      <family val="2"/>
    </font>
    <font>
      <sz val="12"/>
      <name val="Arial CE"/>
      <family val="2"/>
    </font>
    <font>
      <sz val="12"/>
      <name val="Arial"/>
      <family val="2"/>
    </font>
    <font>
      <sz val="11"/>
      <name val="Arial CE"/>
      <family val="0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0"/>
      <name val="Arial CE"/>
      <family val="2"/>
    </font>
    <font>
      <b/>
      <u val="single"/>
      <sz val="11"/>
      <name val="Arial CE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u val="single"/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u val="single"/>
      <sz val="12"/>
      <name val="Arial Narrow"/>
      <family val="2"/>
    </font>
    <font>
      <b/>
      <sz val="11"/>
      <name val="Times New Roman CE"/>
      <family val="1"/>
    </font>
    <font>
      <sz val="11"/>
      <name val="Times New Roman CE"/>
      <family val="1"/>
    </font>
    <font>
      <b/>
      <u val="single"/>
      <sz val="11"/>
      <name val="Times New Roman CE"/>
      <family val="1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8"/>
      <name val="Arial CE"/>
      <family val="2"/>
    </font>
    <font>
      <sz val="9"/>
      <name val="Arial CE"/>
      <family val="2"/>
    </font>
    <font>
      <u val="single"/>
      <sz val="11"/>
      <name val="Arial CE"/>
      <family val="0"/>
    </font>
    <font>
      <b/>
      <i/>
      <sz val="11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b/>
      <i/>
      <sz val="10"/>
      <name val="Arial CE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b/>
      <i/>
      <sz val="10"/>
      <name val="Times New Roman CE"/>
      <family val="1"/>
    </font>
    <font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1"/>
    </font>
    <font>
      <b/>
      <sz val="10"/>
      <color indexed="10"/>
      <name val="Arial CE"/>
      <family val="2"/>
    </font>
    <font>
      <sz val="10"/>
      <color indexed="18"/>
      <name val="Arial"/>
      <family val="2"/>
    </font>
    <font>
      <b/>
      <sz val="11"/>
      <color indexed="17"/>
      <name val="Arial CE"/>
      <family val="0"/>
    </font>
    <font>
      <sz val="10"/>
      <color indexed="17"/>
      <name val="Arial"/>
      <family val="2"/>
    </font>
    <font>
      <b/>
      <sz val="11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u val="single"/>
      <sz val="11"/>
      <name val="Arial "/>
      <family val="0"/>
    </font>
    <font>
      <sz val="11"/>
      <name val="Arial "/>
      <family val="0"/>
    </font>
    <font>
      <b/>
      <sz val="11"/>
      <name val="Arial "/>
      <family val="0"/>
    </font>
    <font>
      <i/>
      <sz val="11"/>
      <name val="Arial CE"/>
      <family val="0"/>
    </font>
    <font>
      <b/>
      <i/>
      <sz val="12"/>
      <name val="Arial CE"/>
      <family val="0"/>
    </font>
    <font>
      <sz val="14"/>
      <name val="Arial CE"/>
      <family val="0"/>
    </font>
    <font>
      <b/>
      <i/>
      <u val="single"/>
      <sz val="12"/>
      <name val="Arial CE"/>
      <family val="0"/>
    </font>
    <font>
      <sz val="11"/>
      <color indexed="8"/>
      <name val="Arial CE"/>
      <family val="0"/>
    </font>
    <font>
      <sz val="7"/>
      <name val="Arial CE"/>
      <family val="0"/>
    </font>
    <font>
      <sz val="8"/>
      <color indexed="8"/>
      <name val="Arial CE"/>
      <family val="0"/>
    </font>
    <font>
      <sz val="8"/>
      <name val="Arial CE"/>
      <family val="0"/>
    </font>
    <font>
      <b/>
      <i/>
      <u val="single"/>
      <sz val="11"/>
      <name val="Arial"/>
      <family val="2"/>
    </font>
    <font>
      <b/>
      <i/>
      <u val="single"/>
      <sz val="11"/>
      <name val="Arial CE"/>
      <family val="0"/>
    </font>
    <font>
      <b/>
      <u val="double"/>
      <sz val="12"/>
      <name val="Arial CE"/>
      <family val="0"/>
    </font>
    <font>
      <i/>
      <sz val="10"/>
      <name val="Arial CE"/>
      <family val="0"/>
    </font>
    <font>
      <i/>
      <u val="single"/>
      <sz val="11"/>
      <name val="Arial CE"/>
      <family val="0"/>
    </font>
    <font>
      <i/>
      <u val="single"/>
      <sz val="11"/>
      <name val="Arial"/>
      <family val="2"/>
    </font>
    <font>
      <i/>
      <sz val="9"/>
      <name val="Arial CE"/>
      <family val="0"/>
    </font>
    <font>
      <i/>
      <sz val="9"/>
      <color indexed="8"/>
      <name val="Arial CE"/>
      <family val="0"/>
    </font>
    <font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Times New Roman"/>
      <family val="1"/>
    </font>
    <font>
      <i/>
      <sz val="9"/>
      <name val="Arial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6"/>
      <name val="Times New Roman CE"/>
      <family val="1"/>
    </font>
    <font>
      <b/>
      <u val="single"/>
      <sz val="8"/>
      <name val="Times New Roman CE"/>
      <family val="1"/>
    </font>
    <font>
      <sz val="16"/>
      <name val="Arial"/>
      <family val="2"/>
    </font>
    <font>
      <sz val="10"/>
      <name val="Times New Roman"/>
      <family val="1"/>
    </font>
    <font>
      <b/>
      <u val="single"/>
      <sz val="10"/>
      <name val="Arial CE"/>
      <family val="2"/>
    </font>
    <font>
      <b/>
      <u val="single"/>
      <sz val="9"/>
      <name val="Arial"/>
      <family val="2"/>
    </font>
    <font>
      <b/>
      <sz val="10"/>
      <name val="Times New Roman CE"/>
      <family val="1"/>
    </font>
    <font>
      <u val="single"/>
      <sz val="11"/>
      <name val="Arial"/>
      <family val="2"/>
    </font>
    <font>
      <i/>
      <sz val="11"/>
      <name val="Arial"/>
      <family val="2"/>
    </font>
    <font>
      <b/>
      <u val="single"/>
      <sz val="11"/>
      <name val="Times New Roman"/>
      <family val="1"/>
    </font>
    <font>
      <b/>
      <i/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>
        <color indexed="8"/>
      </top>
      <bottom/>
    </border>
    <border>
      <left style="thin"/>
      <right>
        <color indexed="63"/>
      </right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>
        <color indexed="8"/>
      </top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5" borderId="0" applyNumberFormat="0" applyBorder="0" applyAlignment="0" applyProtection="0"/>
    <xf numFmtId="0" fontId="100" fillId="8" borderId="0" applyNumberFormat="0" applyBorder="0" applyAlignment="0" applyProtection="0"/>
    <xf numFmtId="0" fontId="100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2" fillId="7" borderId="1" applyNumberFormat="0" applyAlignment="0" applyProtection="0"/>
    <xf numFmtId="0" fontId="103" fillId="0" borderId="0" applyNumberFormat="0" applyFill="0" applyBorder="0" applyAlignment="0" applyProtection="0"/>
    <xf numFmtId="0" fontId="104" fillId="0" borderId="2" applyNumberFormat="0" applyFill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6" fillId="0" borderId="0" applyNumberFormat="0" applyFill="0" applyBorder="0" applyAlignment="0" applyProtection="0"/>
    <xf numFmtId="0" fontId="10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9" fillId="0" borderId="6" applyNumberFormat="0" applyFill="0" applyAlignment="0" applyProtection="0"/>
    <xf numFmtId="0" fontId="0" fillId="17" borderId="7" applyNumberFormat="0" applyFont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21" borderId="0" applyNumberFormat="0" applyBorder="0" applyAlignment="0" applyProtection="0"/>
    <xf numFmtId="0" fontId="110" fillId="4" borderId="0" applyNumberFormat="0" applyBorder="0" applyAlignment="0" applyProtection="0"/>
    <xf numFmtId="0" fontId="111" fillId="22" borderId="8" applyNumberFormat="0" applyAlignment="0" applyProtection="0"/>
    <xf numFmtId="0" fontId="11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1" fillId="0" borderId="0">
      <alignment/>
      <protection/>
    </xf>
    <xf numFmtId="0" fontId="43" fillId="0" borderId="0">
      <alignment/>
      <protection/>
    </xf>
    <xf numFmtId="0" fontId="41" fillId="0" borderId="0">
      <alignment/>
      <protection/>
    </xf>
    <xf numFmtId="0" fontId="11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4" fillId="3" borderId="0" applyNumberFormat="0" applyBorder="0" applyAlignment="0" applyProtection="0"/>
    <xf numFmtId="0" fontId="115" fillId="23" borderId="0" applyNumberFormat="0" applyBorder="0" applyAlignment="0" applyProtection="0"/>
    <xf numFmtId="0" fontId="116" fillId="22" borderId="1" applyNumberFormat="0" applyAlignment="0" applyProtection="0"/>
    <xf numFmtId="9" fontId="0" fillId="0" borderId="0" applyFont="0" applyFill="0" applyBorder="0" applyAlignment="0" applyProtection="0"/>
  </cellStyleXfs>
  <cellXfs count="104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3" fontId="2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Alignment="1">
      <alignment/>
    </xf>
    <xf numFmtId="0" fontId="22" fillId="0" borderId="0" xfId="0" applyFont="1" applyAlignment="1">
      <alignment/>
    </xf>
    <xf numFmtId="3" fontId="10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3" fontId="27" fillId="0" borderId="19" xfId="0" applyNumberFormat="1" applyFont="1" applyBorder="1" applyAlignment="1">
      <alignment horizontal="right" wrapText="1"/>
    </xf>
    <xf numFmtId="3" fontId="26" fillId="0" borderId="19" xfId="0" applyNumberFormat="1" applyFont="1" applyBorder="1" applyAlignment="1">
      <alignment horizontal="right" wrapText="1"/>
    </xf>
    <xf numFmtId="0" fontId="26" fillId="0" borderId="20" xfId="0" applyFont="1" applyBorder="1" applyAlignment="1">
      <alignment wrapText="1"/>
    </xf>
    <xf numFmtId="3" fontId="9" fillId="0" borderId="0" xfId="0" applyNumberFormat="1" applyFont="1" applyAlignment="1">
      <alignment/>
    </xf>
    <xf numFmtId="0" fontId="26" fillId="0" borderId="21" xfId="0" applyFont="1" applyBorder="1" applyAlignment="1">
      <alignment wrapText="1"/>
    </xf>
    <xf numFmtId="3" fontId="27" fillId="0" borderId="22" xfId="0" applyNumberFormat="1" applyFont="1" applyBorder="1" applyAlignment="1">
      <alignment horizontal="right" wrapText="1"/>
    </xf>
    <xf numFmtId="3" fontId="26" fillId="0" borderId="17" xfId="0" applyNumberFormat="1" applyFont="1" applyBorder="1" applyAlignment="1">
      <alignment horizontal="right" wrapText="1"/>
    </xf>
    <xf numFmtId="0" fontId="26" fillId="0" borderId="0" xfId="0" applyFont="1" applyBorder="1" applyAlignment="1">
      <alignment wrapText="1"/>
    </xf>
    <xf numFmtId="3" fontId="26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/>
    </xf>
    <xf numFmtId="3" fontId="0" fillId="0" borderId="0" xfId="0" applyNumberFormat="1" applyFill="1" applyBorder="1" applyAlignment="1">
      <alignment/>
    </xf>
    <xf numFmtId="0" fontId="9" fillId="0" borderId="23" xfId="0" applyFont="1" applyBorder="1" applyAlignment="1">
      <alignment wrapText="1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24" fillId="0" borderId="0" xfId="0" applyFont="1" applyBorder="1" applyAlignment="1">
      <alignment horizontal="center" vertical="top" wrapText="1"/>
    </xf>
    <xf numFmtId="0" fontId="24" fillId="0" borderId="26" xfId="0" applyFont="1" applyBorder="1" applyAlignment="1">
      <alignment horizontal="center" vertical="top" wrapText="1"/>
    </xf>
    <xf numFmtId="3" fontId="26" fillId="0" borderId="27" xfId="0" applyNumberFormat="1" applyFont="1" applyBorder="1" applyAlignment="1">
      <alignment horizontal="right" wrapText="1"/>
    </xf>
    <xf numFmtId="0" fontId="9" fillId="0" borderId="23" xfId="0" applyFont="1" applyBorder="1" applyAlignment="1">
      <alignment wrapText="1"/>
    </xf>
    <xf numFmtId="0" fontId="9" fillId="0" borderId="28" xfId="0" applyFont="1" applyBorder="1" applyAlignment="1">
      <alignment wrapText="1"/>
    </xf>
    <xf numFmtId="2" fontId="9" fillId="0" borderId="25" xfId="0" applyNumberFormat="1" applyFont="1" applyBorder="1" applyAlignment="1">
      <alignment/>
    </xf>
    <xf numFmtId="0" fontId="9" fillId="0" borderId="29" xfId="0" applyFont="1" applyBorder="1" applyAlignment="1">
      <alignment/>
    </xf>
    <xf numFmtId="3" fontId="28" fillId="0" borderId="25" xfId="0" applyNumberFormat="1" applyFont="1" applyBorder="1" applyAlignment="1">
      <alignment/>
    </xf>
    <xf numFmtId="3" fontId="9" fillId="0" borderId="25" xfId="0" applyNumberFormat="1" applyFont="1" applyBorder="1" applyAlignment="1">
      <alignment/>
    </xf>
    <xf numFmtId="0" fontId="24" fillId="0" borderId="30" xfId="0" applyFont="1" applyBorder="1" applyAlignment="1">
      <alignment horizontal="center" vertical="top" wrapText="1"/>
    </xf>
    <xf numFmtId="0" fontId="26" fillId="0" borderId="31" xfId="0" applyFont="1" applyBorder="1" applyAlignment="1">
      <alignment horizontal="right" wrapText="1"/>
    </xf>
    <xf numFmtId="3" fontId="26" fillId="0" borderId="32" xfId="0" applyNumberFormat="1" applyFont="1" applyBorder="1" applyAlignment="1">
      <alignment horizontal="right" wrapText="1"/>
    </xf>
    <xf numFmtId="3" fontId="26" fillId="0" borderId="33" xfId="0" applyNumberFormat="1" applyFont="1" applyBorder="1" applyAlignment="1">
      <alignment horizontal="right" wrapText="1"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3" fontId="26" fillId="0" borderId="36" xfId="0" applyNumberFormat="1" applyFont="1" applyBorder="1" applyAlignment="1">
      <alignment horizontal="right" wrapText="1"/>
    </xf>
    <xf numFmtId="0" fontId="30" fillId="0" borderId="0" xfId="0" applyFont="1" applyFill="1" applyAlignment="1">
      <alignment/>
    </xf>
    <xf numFmtId="0" fontId="26" fillId="0" borderId="37" xfId="0" applyFont="1" applyBorder="1" applyAlignment="1">
      <alignment wrapText="1"/>
    </xf>
    <xf numFmtId="3" fontId="26" fillId="0" borderId="14" xfId="0" applyNumberFormat="1" applyFont="1" applyBorder="1" applyAlignment="1">
      <alignment horizontal="right" wrapText="1"/>
    </xf>
    <xf numFmtId="2" fontId="9" fillId="0" borderId="24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0" fontId="9" fillId="0" borderId="38" xfId="0" applyFont="1" applyBorder="1" applyAlignment="1">
      <alignment/>
    </xf>
    <xf numFmtId="0" fontId="9" fillId="24" borderId="39" xfId="0" applyFont="1" applyFill="1" applyBorder="1" applyAlignment="1">
      <alignment/>
    </xf>
    <xf numFmtId="0" fontId="9" fillId="24" borderId="40" xfId="0" applyFont="1" applyFill="1" applyBorder="1" applyAlignment="1">
      <alignment/>
    </xf>
    <xf numFmtId="3" fontId="9" fillId="24" borderId="36" xfId="0" applyNumberFormat="1" applyFont="1" applyFill="1" applyBorder="1" applyAlignment="1">
      <alignment/>
    </xf>
    <xf numFmtId="0" fontId="0" fillId="0" borderId="0" xfId="0" applyAlignment="1">
      <alignment horizontal="right"/>
    </xf>
    <xf numFmtId="3" fontId="34" fillId="0" borderId="0" xfId="0" applyNumberFormat="1" applyFont="1" applyFill="1" applyBorder="1" applyAlignment="1">
      <alignment horizontal="right" vertical="top" wrapText="1"/>
    </xf>
    <xf numFmtId="0" fontId="34" fillId="0" borderId="0" xfId="0" applyFont="1" applyFill="1" applyBorder="1" applyAlignment="1">
      <alignment vertical="top" wrapText="1"/>
    </xf>
    <xf numFmtId="0" fontId="27" fillId="0" borderId="19" xfId="0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/>
    </xf>
    <xf numFmtId="3" fontId="1" fillId="0" borderId="1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0" fontId="22" fillId="0" borderId="13" xfId="0" applyFont="1" applyBorder="1" applyAlignment="1">
      <alignment/>
    </xf>
    <xf numFmtId="0" fontId="21" fillId="0" borderId="13" xfId="0" applyFont="1" applyBorder="1" applyAlignment="1">
      <alignment/>
    </xf>
    <xf numFmtId="0" fontId="23" fillId="0" borderId="13" xfId="0" applyFont="1" applyBorder="1" applyAlignment="1">
      <alignment/>
    </xf>
    <xf numFmtId="0" fontId="10" fillId="0" borderId="41" xfId="0" applyFont="1" applyBorder="1" applyAlignment="1">
      <alignment/>
    </xf>
    <xf numFmtId="0" fontId="21" fillId="0" borderId="39" xfId="0" applyFont="1" applyBorder="1" applyAlignment="1">
      <alignment/>
    </xf>
    <xf numFmtId="0" fontId="21" fillId="0" borderId="40" xfId="0" applyFont="1" applyBorder="1" applyAlignment="1">
      <alignment/>
    </xf>
    <xf numFmtId="2" fontId="0" fillId="0" borderId="0" xfId="0" applyNumberFormat="1" applyAlignment="1">
      <alignment/>
    </xf>
    <xf numFmtId="3" fontId="36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0" fontId="9" fillId="0" borderId="0" xfId="0" applyFont="1" applyFill="1" applyAlignment="1">
      <alignment/>
    </xf>
    <xf numFmtId="3" fontId="0" fillId="24" borderId="0" xfId="0" applyNumberFormat="1" applyFill="1" applyAlignment="1">
      <alignment/>
    </xf>
    <xf numFmtId="0" fontId="40" fillId="0" borderId="0" xfId="58" applyFont="1" applyFill="1" applyAlignment="1" applyProtection="1">
      <alignment horizontal="center" vertical="center" wrapText="1"/>
      <protection/>
    </xf>
    <xf numFmtId="0" fontId="41" fillId="0" borderId="0" xfId="58" applyFill="1" applyProtection="1">
      <alignment/>
      <protection/>
    </xf>
    <xf numFmtId="0" fontId="41" fillId="0" borderId="0" xfId="58" applyFill="1" applyProtection="1">
      <alignment/>
      <protection locked="0"/>
    </xf>
    <xf numFmtId="0" fontId="42" fillId="0" borderId="0" xfId="57" applyFont="1" applyFill="1" applyAlignment="1">
      <alignment horizontal="right"/>
      <protection/>
    </xf>
    <xf numFmtId="0" fontId="44" fillId="0" borderId="42" xfId="58" applyFont="1" applyFill="1" applyBorder="1" applyAlignment="1" applyProtection="1">
      <alignment horizontal="center" vertical="center" wrapText="1"/>
      <protection/>
    </xf>
    <xf numFmtId="0" fontId="44" fillId="0" borderId="11" xfId="58" applyFont="1" applyFill="1" applyBorder="1" applyAlignment="1" applyProtection="1">
      <alignment horizontal="center" vertical="center"/>
      <protection/>
    </xf>
    <xf numFmtId="0" fontId="44" fillId="0" borderId="43" xfId="58" applyFont="1" applyFill="1" applyBorder="1" applyAlignment="1" applyProtection="1">
      <alignment horizontal="center" vertical="center"/>
      <protection/>
    </xf>
    <xf numFmtId="0" fontId="45" fillId="0" borderId="31" xfId="58" applyFont="1" applyFill="1" applyBorder="1" applyAlignment="1" applyProtection="1">
      <alignment horizontal="left" vertical="center" indent="1"/>
      <protection/>
    </xf>
    <xf numFmtId="0" fontId="46" fillId="0" borderId="44" xfId="58" applyFont="1" applyFill="1" applyBorder="1" applyAlignment="1" applyProtection="1">
      <alignment horizontal="left" vertical="center" indent="1"/>
      <protection/>
    </xf>
    <xf numFmtId="0" fontId="46" fillId="0" borderId="40" xfId="58" applyFont="1" applyFill="1" applyBorder="1" applyAlignment="1" applyProtection="1">
      <alignment horizontal="left" vertical="center" indent="1"/>
      <protection/>
    </xf>
    <xf numFmtId="0" fontId="45" fillId="0" borderId="37" xfId="58" applyFont="1" applyFill="1" applyBorder="1" applyAlignment="1" applyProtection="1">
      <alignment horizontal="left" vertical="center" indent="1"/>
      <protection/>
    </xf>
    <xf numFmtId="0" fontId="45" fillId="0" borderId="14" xfId="58" applyFont="1" applyFill="1" applyBorder="1" applyAlignment="1" applyProtection="1">
      <alignment horizontal="left" vertical="center" indent="1"/>
      <protection/>
    </xf>
    <xf numFmtId="3" fontId="45" fillId="0" borderId="14" xfId="58" applyNumberFormat="1" applyFont="1" applyFill="1" applyBorder="1" applyAlignment="1" applyProtection="1">
      <alignment vertical="center"/>
      <protection locked="0"/>
    </xf>
    <xf numFmtId="3" fontId="45" fillId="0" borderId="45" xfId="58" applyNumberFormat="1" applyFont="1" applyFill="1" applyBorder="1" applyAlignment="1" applyProtection="1">
      <alignment vertical="center"/>
      <protection/>
    </xf>
    <xf numFmtId="0" fontId="45" fillId="0" borderId="20" xfId="58" applyFont="1" applyFill="1" applyBorder="1" applyAlignment="1" applyProtection="1">
      <alignment horizontal="left" vertical="center" indent="1"/>
      <protection/>
    </xf>
    <xf numFmtId="0" fontId="45" fillId="0" borderId="19" xfId="58" applyFont="1" applyFill="1" applyBorder="1" applyAlignment="1" applyProtection="1">
      <alignment horizontal="left" vertical="center" indent="1"/>
      <protection/>
    </xf>
    <xf numFmtId="3" fontId="45" fillId="0" borderId="19" xfId="58" applyNumberFormat="1" applyFont="1" applyFill="1" applyBorder="1" applyAlignment="1" applyProtection="1">
      <alignment vertical="center"/>
      <protection locked="0"/>
    </xf>
    <xf numFmtId="3" fontId="45" fillId="0" borderId="46" xfId="58" applyNumberFormat="1" applyFont="1" applyFill="1" applyBorder="1" applyAlignment="1" applyProtection="1">
      <alignment vertical="center"/>
      <protection/>
    </xf>
    <xf numFmtId="0" fontId="45" fillId="0" borderId="17" xfId="58" applyFont="1" applyFill="1" applyBorder="1" applyAlignment="1" applyProtection="1">
      <alignment horizontal="left" vertical="center" wrapText="1" indent="1"/>
      <protection/>
    </xf>
    <xf numFmtId="3" fontId="45" fillId="0" borderId="17" xfId="58" applyNumberFormat="1" applyFont="1" applyFill="1" applyBorder="1" applyAlignment="1" applyProtection="1">
      <alignment vertical="center"/>
      <protection locked="0"/>
    </xf>
    <xf numFmtId="0" fontId="45" fillId="0" borderId="19" xfId="58" applyFont="1" applyFill="1" applyBorder="1" applyAlignment="1" applyProtection="1">
      <alignment horizontal="left" vertical="center" wrapText="1" indent="1"/>
      <protection/>
    </xf>
    <xf numFmtId="3" fontId="45" fillId="0" borderId="47" xfId="58" applyNumberFormat="1" applyFont="1" applyFill="1" applyBorder="1" applyAlignment="1" applyProtection="1">
      <alignment vertical="center"/>
      <protection/>
    </xf>
    <xf numFmtId="0" fontId="44" fillId="0" borderId="32" xfId="58" applyFont="1" applyFill="1" applyBorder="1" applyAlignment="1" applyProtection="1">
      <alignment horizontal="left" vertical="center" indent="1"/>
      <protection/>
    </xf>
    <xf numFmtId="3" fontId="47" fillId="0" borderId="32" xfId="58" applyNumberFormat="1" applyFont="1" applyFill="1" applyBorder="1" applyAlignment="1" applyProtection="1">
      <alignment vertical="center"/>
      <protection/>
    </xf>
    <xf numFmtId="0" fontId="46" fillId="0" borderId="36" xfId="58" applyFont="1" applyFill="1" applyBorder="1" applyAlignment="1" applyProtection="1">
      <alignment horizontal="left" vertical="center" indent="1"/>
      <protection/>
    </xf>
    <xf numFmtId="0" fontId="45" fillId="0" borderId="21" xfId="58" applyFont="1" applyFill="1" applyBorder="1" applyAlignment="1" applyProtection="1">
      <alignment horizontal="left" vertical="center" indent="1"/>
      <protection/>
    </xf>
    <xf numFmtId="0" fontId="45" fillId="0" borderId="17" xfId="58" applyFont="1" applyFill="1" applyBorder="1" applyAlignment="1" applyProtection="1">
      <alignment horizontal="left" vertical="center" indent="1"/>
      <protection/>
    </xf>
    <xf numFmtId="3" fontId="45" fillId="0" borderId="48" xfId="58" applyNumberFormat="1" applyFont="1" applyFill="1" applyBorder="1" applyAlignment="1" applyProtection="1">
      <alignment vertical="center"/>
      <protection/>
    </xf>
    <xf numFmtId="0" fontId="47" fillId="0" borderId="31" xfId="58" applyFont="1" applyFill="1" applyBorder="1" applyAlignment="1" applyProtection="1">
      <alignment horizontal="left" vertical="center" indent="1"/>
      <protection/>
    </xf>
    <xf numFmtId="3" fontId="47" fillId="0" borderId="49" xfId="58" applyNumberFormat="1" applyFont="1" applyFill="1" applyBorder="1" applyAlignment="1" applyProtection="1">
      <alignment vertical="center"/>
      <protection/>
    </xf>
    <xf numFmtId="0" fontId="44" fillId="0" borderId="32" xfId="58" applyFont="1" applyFill="1" applyBorder="1" applyAlignment="1" applyProtection="1">
      <alignment horizontal="left" indent="1"/>
      <protection/>
    </xf>
    <xf numFmtId="3" fontId="47" fillId="0" borderId="32" xfId="58" applyNumberFormat="1" applyFont="1" applyFill="1" applyBorder="1" applyProtection="1">
      <alignment/>
      <protection/>
    </xf>
    <xf numFmtId="0" fontId="43" fillId="0" borderId="0" xfId="58" applyFont="1" applyFill="1" applyProtection="1">
      <alignment/>
      <protection/>
    </xf>
    <xf numFmtId="0" fontId="21" fillId="0" borderId="0" xfId="58" applyFont="1" applyFill="1" applyProtection="1">
      <alignment/>
      <protection locked="0"/>
    </xf>
    <xf numFmtId="0" fontId="40" fillId="0" borderId="0" xfId="58" applyFont="1" applyFill="1" applyProtection="1">
      <alignment/>
      <protection locked="0"/>
    </xf>
    <xf numFmtId="3" fontId="40" fillId="0" borderId="0" xfId="58" applyNumberFormat="1" applyFont="1" applyFill="1" applyProtection="1">
      <alignment/>
      <protection locked="0"/>
    </xf>
    <xf numFmtId="3" fontId="0" fillId="0" borderId="0" xfId="0" applyNumberFormat="1" applyBorder="1" applyAlignment="1">
      <alignment/>
    </xf>
    <xf numFmtId="3" fontId="12" fillId="0" borderId="0" xfId="0" applyNumberFormat="1" applyFont="1" applyAlignment="1">
      <alignment/>
    </xf>
    <xf numFmtId="0" fontId="40" fillId="0" borderId="0" xfId="58" applyFont="1" applyFill="1" applyBorder="1" applyAlignment="1" applyProtection="1">
      <alignment horizontal="center" wrapText="1"/>
      <protection locked="0"/>
    </xf>
    <xf numFmtId="0" fontId="44" fillId="0" borderId="0" xfId="58" applyFont="1" applyFill="1" applyBorder="1" applyAlignment="1" applyProtection="1">
      <alignment horizontal="center" vertical="center"/>
      <protection/>
    </xf>
    <xf numFmtId="0" fontId="46" fillId="0" borderId="0" xfId="58" applyFont="1" applyFill="1" applyBorder="1" applyAlignment="1" applyProtection="1">
      <alignment horizontal="left" vertical="center" indent="1"/>
      <protection/>
    </xf>
    <xf numFmtId="168" fontId="45" fillId="0" borderId="14" xfId="58" applyNumberFormat="1" applyFont="1" applyFill="1" applyBorder="1" applyAlignment="1" applyProtection="1">
      <alignment vertical="center"/>
      <protection locked="0"/>
    </xf>
    <xf numFmtId="168" fontId="45" fillId="0" borderId="14" xfId="58" applyNumberFormat="1" applyFont="1" applyFill="1" applyBorder="1" applyAlignment="1" applyProtection="1">
      <alignment vertical="center"/>
      <protection/>
    </xf>
    <xf numFmtId="168" fontId="45" fillId="0" borderId="50" xfId="58" applyNumberFormat="1" applyFont="1" applyFill="1" applyBorder="1" applyAlignment="1" applyProtection="1" quotePrefix="1">
      <alignment horizontal="center" vertical="center"/>
      <protection/>
    </xf>
    <xf numFmtId="168" fontId="45" fillId="0" borderId="0" xfId="58" applyNumberFormat="1" applyFont="1" applyFill="1" applyBorder="1" applyAlignment="1" applyProtection="1" quotePrefix="1">
      <alignment horizontal="center" vertical="center"/>
      <protection/>
    </xf>
    <xf numFmtId="168" fontId="45" fillId="0" borderId="19" xfId="58" applyNumberFormat="1" applyFont="1" applyFill="1" applyBorder="1" applyAlignment="1" applyProtection="1">
      <alignment vertical="center"/>
      <protection locked="0"/>
    </xf>
    <xf numFmtId="168" fontId="45" fillId="0" borderId="46" xfId="58" applyNumberFormat="1" applyFont="1" applyFill="1" applyBorder="1" applyAlignment="1" applyProtection="1">
      <alignment vertical="center"/>
      <protection/>
    </xf>
    <xf numFmtId="168" fontId="45" fillId="0" borderId="0" xfId="58" applyNumberFormat="1" applyFont="1" applyFill="1" applyBorder="1" applyAlignment="1" applyProtection="1">
      <alignment vertical="center"/>
      <protection/>
    </xf>
    <xf numFmtId="168" fontId="45" fillId="0" borderId="17" xfId="58" applyNumberFormat="1" applyFont="1" applyFill="1" applyBorder="1" applyAlignment="1" applyProtection="1">
      <alignment vertical="center"/>
      <protection locked="0"/>
    </xf>
    <xf numFmtId="168" fontId="45" fillId="0" borderId="48" xfId="58" applyNumberFormat="1" applyFont="1" applyFill="1" applyBorder="1" applyAlignment="1" applyProtection="1">
      <alignment vertical="center"/>
      <protection/>
    </xf>
    <xf numFmtId="168" fontId="47" fillId="0" borderId="32" xfId="58" applyNumberFormat="1" applyFont="1" applyFill="1" applyBorder="1" applyAlignment="1" applyProtection="1">
      <alignment vertical="center"/>
      <protection/>
    </xf>
    <xf numFmtId="168" fontId="47" fillId="0" borderId="0" xfId="58" applyNumberFormat="1" applyFont="1" applyFill="1" applyBorder="1" applyAlignment="1" applyProtection="1">
      <alignment vertical="center"/>
      <protection/>
    </xf>
    <xf numFmtId="3" fontId="12" fillId="0" borderId="0" xfId="0" applyNumberFormat="1" applyFont="1" applyBorder="1" applyAlignment="1">
      <alignment/>
    </xf>
    <xf numFmtId="168" fontId="46" fillId="0" borderId="0" xfId="58" applyNumberFormat="1" applyFont="1" applyFill="1" applyBorder="1" applyAlignment="1" applyProtection="1">
      <alignment horizontal="left" vertical="center" indent="1"/>
      <protection/>
    </xf>
    <xf numFmtId="168" fontId="47" fillId="0" borderId="49" xfId="58" applyNumberFormat="1" applyFont="1" applyFill="1" applyBorder="1" applyAlignment="1" applyProtection="1">
      <alignment vertical="center"/>
      <protection/>
    </xf>
    <xf numFmtId="168" fontId="47" fillId="0" borderId="32" xfId="58" applyNumberFormat="1" applyFont="1" applyFill="1" applyBorder="1" applyProtection="1">
      <alignment/>
      <protection/>
    </xf>
    <xf numFmtId="168" fontId="47" fillId="0" borderId="49" xfId="58" applyNumberFormat="1" applyFont="1" applyFill="1" applyBorder="1" applyAlignment="1" applyProtection="1" quotePrefix="1">
      <alignment horizontal="center"/>
      <protection/>
    </xf>
    <xf numFmtId="168" fontId="47" fillId="0" borderId="0" xfId="58" applyNumberFormat="1" applyFont="1" applyFill="1" applyBorder="1" applyAlignment="1" applyProtection="1" quotePrefix="1">
      <alignment horizontal="center"/>
      <protection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0" fillId="24" borderId="0" xfId="0" applyNumberFormat="1" applyFill="1" applyBorder="1" applyAlignment="1">
      <alignment/>
    </xf>
    <xf numFmtId="3" fontId="12" fillId="24" borderId="0" xfId="0" applyNumberFormat="1" applyFont="1" applyFill="1" applyBorder="1" applyAlignment="1">
      <alignment/>
    </xf>
    <xf numFmtId="3" fontId="48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5" fillId="0" borderId="0" xfId="0" applyNumberFormat="1" applyFont="1" applyAlignment="1">
      <alignment/>
    </xf>
    <xf numFmtId="0" fontId="47" fillId="0" borderId="0" xfId="58" applyFont="1" applyFill="1" applyBorder="1" applyAlignment="1" applyProtection="1">
      <alignment horizontal="left" vertical="center" indent="1"/>
      <protection/>
    </xf>
    <xf numFmtId="0" fontId="44" fillId="0" borderId="0" xfId="58" applyFont="1" applyFill="1" applyBorder="1" applyAlignment="1" applyProtection="1">
      <alignment horizontal="left" indent="1"/>
      <protection/>
    </xf>
    <xf numFmtId="168" fontId="47" fillId="0" borderId="0" xfId="58" applyNumberFormat="1" applyFont="1" applyFill="1" applyBorder="1" applyProtection="1">
      <alignment/>
      <protection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/>
    </xf>
    <xf numFmtId="3" fontId="36" fillId="0" borderId="38" xfId="0" applyNumberFormat="1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3" fontId="36" fillId="0" borderId="24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36" fillId="0" borderId="4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36" fillId="0" borderId="13" xfId="0" applyNumberFormat="1" applyFont="1" applyFill="1" applyBorder="1" applyAlignment="1">
      <alignment/>
    </xf>
    <xf numFmtId="3" fontId="36" fillId="0" borderId="39" xfId="0" applyNumberFormat="1" applyFont="1" applyFill="1" applyBorder="1" applyAlignment="1">
      <alignment/>
    </xf>
    <xf numFmtId="3" fontId="36" fillId="0" borderId="36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22" fillId="0" borderId="0" xfId="56" applyFont="1" applyFill="1">
      <alignment/>
      <protection/>
    </xf>
    <xf numFmtId="168" fontId="21" fillId="0" borderId="0" xfId="56" applyNumberFormat="1" applyFont="1" applyFill="1" applyBorder="1" applyAlignment="1" applyProtection="1">
      <alignment horizontal="centerContinuous" vertical="center"/>
      <protection/>
    </xf>
    <xf numFmtId="3" fontId="45" fillId="0" borderId="51" xfId="58" applyNumberFormat="1" applyFont="1" applyFill="1" applyBorder="1" applyAlignment="1" applyProtection="1">
      <alignment vertical="center"/>
      <protection locked="0"/>
    </xf>
    <xf numFmtId="3" fontId="47" fillId="0" borderId="14" xfId="58" applyNumberFormat="1" applyFont="1" applyFill="1" applyBorder="1" applyAlignment="1" applyProtection="1">
      <alignment vertical="center"/>
      <protection/>
    </xf>
    <xf numFmtId="3" fontId="47" fillId="0" borderId="51" xfId="58" applyNumberFormat="1" applyFont="1" applyFill="1" applyBorder="1" applyAlignment="1" applyProtection="1">
      <alignment vertical="center"/>
      <protection/>
    </xf>
    <xf numFmtId="3" fontId="41" fillId="0" borderId="0" xfId="58" applyNumberFormat="1" applyFill="1" applyProtection="1">
      <alignment/>
      <protection/>
    </xf>
    <xf numFmtId="3" fontId="49" fillId="0" borderId="0" xfId="0" applyNumberFormat="1" applyFont="1" applyBorder="1" applyAlignment="1">
      <alignment/>
    </xf>
    <xf numFmtId="3" fontId="51" fillId="0" borderId="0" xfId="0" applyNumberFormat="1" applyFont="1" applyBorder="1" applyAlignment="1">
      <alignment/>
    </xf>
    <xf numFmtId="3" fontId="0" fillId="7" borderId="0" xfId="0" applyNumberFormat="1" applyFill="1" applyBorder="1" applyAlignment="1">
      <alignment/>
    </xf>
    <xf numFmtId="3" fontId="35" fillId="7" borderId="0" xfId="0" applyNumberFormat="1" applyFont="1" applyFill="1" applyBorder="1" applyAlignment="1">
      <alignment/>
    </xf>
    <xf numFmtId="3" fontId="12" fillId="7" borderId="0" xfId="0" applyNumberFormat="1" applyFont="1" applyFill="1" applyBorder="1" applyAlignment="1">
      <alignment/>
    </xf>
    <xf numFmtId="3" fontId="49" fillId="7" borderId="0" xfId="0" applyNumberFormat="1" applyFont="1" applyFill="1" applyBorder="1" applyAlignment="1">
      <alignment/>
    </xf>
    <xf numFmtId="3" fontId="50" fillId="7" borderId="0" xfId="0" applyNumberFormat="1" applyFont="1" applyFill="1" applyBorder="1" applyAlignment="1">
      <alignment/>
    </xf>
    <xf numFmtId="0" fontId="40" fillId="0" borderId="0" xfId="58" applyFont="1" applyFill="1" applyAlignment="1" applyProtection="1">
      <alignment horizontal="center" wrapText="1"/>
      <protection/>
    </xf>
    <xf numFmtId="0" fontId="40" fillId="0" borderId="0" xfId="58" applyFont="1" applyFill="1" applyAlignment="1" applyProtection="1">
      <alignment horizontal="center"/>
      <protection/>
    </xf>
    <xf numFmtId="0" fontId="9" fillId="0" borderId="0" xfId="0" applyFont="1" applyFill="1" applyBorder="1" applyAlignment="1">
      <alignment horizontal="right"/>
    </xf>
    <xf numFmtId="0" fontId="41" fillId="0" borderId="0" xfId="58" applyFont="1" applyFill="1" applyProtection="1">
      <alignment/>
      <protection/>
    </xf>
    <xf numFmtId="0" fontId="41" fillId="0" borderId="0" xfId="58" applyFont="1" applyFill="1" applyProtection="1">
      <alignment/>
      <protection locked="0"/>
    </xf>
    <xf numFmtId="0" fontId="41" fillId="0" borderId="0" xfId="58" applyFont="1" applyFill="1" applyAlignment="1" applyProtection="1">
      <alignment horizontal="right"/>
      <protection/>
    </xf>
    <xf numFmtId="0" fontId="41" fillId="0" borderId="0" xfId="58" applyFont="1" applyFill="1" applyAlignment="1" applyProtection="1">
      <alignment horizontal="right"/>
      <protection locked="0"/>
    </xf>
    <xf numFmtId="0" fontId="12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left"/>
    </xf>
    <xf numFmtId="3" fontId="12" fillId="0" borderId="0" xfId="0" applyNumberFormat="1" applyFont="1" applyFill="1" applyAlignment="1">
      <alignment/>
    </xf>
    <xf numFmtId="3" fontId="38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3" fontId="47" fillId="0" borderId="14" xfId="58" applyNumberFormat="1" applyFont="1" applyFill="1" applyBorder="1" applyProtection="1">
      <alignment/>
      <protection/>
    </xf>
    <xf numFmtId="3" fontId="0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/>
    </xf>
    <xf numFmtId="0" fontId="1" fillId="0" borderId="0" xfId="0" applyFont="1" applyFill="1" applyAlignment="1">
      <alignment horizontal="center" wrapText="1"/>
    </xf>
    <xf numFmtId="3" fontId="1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0" fontId="1" fillId="0" borderId="52" xfId="0" applyFont="1" applyFill="1" applyBorder="1" applyAlignment="1">
      <alignment/>
    </xf>
    <xf numFmtId="0" fontId="7" fillId="0" borderId="52" xfId="0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0" fontId="55" fillId="0" borderId="0" xfId="0" applyFont="1" applyFill="1" applyAlignment="1">
      <alignment horizontal="left"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horizontal="left"/>
    </xf>
    <xf numFmtId="0" fontId="57" fillId="0" borderId="0" xfId="0" applyFont="1" applyFill="1" applyAlignment="1">
      <alignment horizontal="left"/>
    </xf>
    <xf numFmtId="0" fontId="57" fillId="0" borderId="0" xfId="0" applyFont="1" applyFill="1" applyAlignment="1">
      <alignment horizontal="center"/>
    </xf>
    <xf numFmtId="0" fontId="57" fillId="0" borderId="0" xfId="0" applyFont="1" applyFill="1" applyAlignment="1">
      <alignment horizontal="right"/>
    </xf>
    <xf numFmtId="3" fontId="57" fillId="0" borderId="0" xfId="0" applyNumberFormat="1" applyFont="1" applyFill="1" applyAlignment="1">
      <alignment/>
    </xf>
    <xf numFmtId="0" fontId="56" fillId="0" borderId="0" xfId="0" applyFont="1" applyFill="1" applyAlignment="1">
      <alignment wrapText="1"/>
    </xf>
    <xf numFmtId="3" fontId="56" fillId="0" borderId="0" xfId="0" applyNumberFormat="1" applyFont="1" applyFill="1" applyAlignment="1">
      <alignment/>
    </xf>
    <xf numFmtId="0" fontId="56" fillId="0" borderId="0" xfId="0" applyFont="1" applyFill="1" applyAlignment="1">
      <alignment horizontal="left" wrapText="1"/>
    </xf>
    <xf numFmtId="0" fontId="55" fillId="0" borderId="0" xfId="0" applyFont="1" applyFill="1" applyAlignment="1">
      <alignment horizontal="right" wrapText="1"/>
    </xf>
    <xf numFmtId="3" fontId="56" fillId="0" borderId="0" xfId="0" applyNumberFormat="1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3" fontId="38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3" fontId="75" fillId="0" borderId="0" xfId="0" applyNumberFormat="1" applyFont="1" applyFill="1" applyBorder="1" applyAlignment="1">
      <alignment/>
    </xf>
    <xf numFmtId="0" fontId="75" fillId="0" borderId="0" xfId="0" applyFont="1" applyFill="1" applyAlignment="1">
      <alignment/>
    </xf>
    <xf numFmtId="3" fontId="75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78" fillId="0" borderId="0" xfId="0" applyFont="1" applyFill="1" applyAlignment="1">
      <alignment horizontal="right"/>
    </xf>
    <xf numFmtId="0" fontId="13" fillId="0" borderId="0" xfId="0" applyFont="1" applyFill="1" applyAlignment="1">
      <alignment wrapText="1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wrapText="1"/>
    </xf>
    <xf numFmtId="3" fontId="77" fillId="0" borderId="0" xfId="0" applyNumberFormat="1" applyFont="1" applyFill="1" applyAlignment="1">
      <alignment/>
    </xf>
    <xf numFmtId="0" fontId="8" fillId="0" borderId="0" xfId="0" applyFont="1" applyFill="1" applyAlignment="1">
      <alignment wrapText="1" shrinkToFit="1"/>
    </xf>
    <xf numFmtId="0" fontId="67" fillId="0" borderId="0" xfId="0" applyFont="1" applyFill="1" applyAlignment="1">
      <alignment horizontal="right" wrapText="1"/>
    </xf>
    <xf numFmtId="0" fontId="13" fillId="0" borderId="0" xfId="0" applyFont="1" applyFill="1" applyAlignment="1">
      <alignment horizontal="right" wrapText="1"/>
    </xf>
    <xf numFmtId="0" fontId="10" fillId="0" borderId="0" xfId="0" applyFont="1" applyFill="1" applyAlignment="1">
      <alignment wrapText="1"/>
    </xf>
    <xf numFmtId="0" fontId="67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3" fontId="7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3" fontId="80" fillId="0" borderId="0" xfId="0" applyNumberFormat="1" applyFont="1" applyFill="1" applyAlignment="1">
      <alignment/>
    </xf>
    <xf numFmtId="3" fontId="77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82" fillId="0" borderId="0" xfId="0" applyFont="1" applyFill="1" applyBorder="1" applyAlignment="1">
      <alignment horizontal="center"/>
    </xf>
    <xf numFmtId="14" fontId="78" fillId="0" borderId="0" xfId="0" applyNumberFormat="1" applyFont="1" applyFill="1" applyBorder="1" applyAlignment="1">
      <alignment horizontal="right"/>
    </xf>
    <xf numFmtId="0" fontId="83" fillId="0" borderId="0" xfId="0" applyFont="1" applyFill="1" applyBorder="1" applyAlignment="1">
      <alignment horizontal="center"/>
    </xf>
    <xf numFmtId="14" fontId="83" fillId="0" borderId="0" xfId="0" applyNumberFormat="1" applyFont="1" applyFill="1" applyBorder="1" applyAlignment="1">
      <alignment horizontal="right"/>
    </xf>
    <xf numFmtId="0" fontId="78" fillId="0" borderId="0" xfId="0" applyFont="1" applyFill="1" applyBorder="1" applyAlignment="1">
      <alignment horizontal="center"/>
    </xf>
    <xf numFmtId="0" fontId="83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3" fontId="78" fillId="0" borderId="0" xfId="0" applyNumberFormat="1" applyFont="1" applyFill="1" applyAlignment="1">
      <alignment/>
    </xf>
    <xf numFmtId="3" fontId="82" fillId="0" borderId="0" xfId="0" applyNumberFormat="1" applyFont="1" applyFill="1" applyBorder="1" applyAlignment="1">
      <alignment horizontal="right"/>
    </xf>
    <xf numFmtId="3" fontId="36" fillId="0" borderId="13" xfId="0" applyNumberFormat="1" applyFont="1" applyFill="1" applyBorder="1" applyAlignment="1">
      <alignment horizontal="center"/>
    </xf>
    <xf numFmtId="3" fontId="36" fillId="0" borderId="0" xfId="0" applyNumberFormat="1" applyFont="1" applyFill="1" applyBorder="1" applyAlignment="1">
      <alignment horizontal="center"/>
    </xf>
    <xf numFmtId="3" fontId="36" fillId="0" borderId="0" xfId="0" applyNumberFormat="1" applyFont="1" applyFill="1" applyBorder="1" applyAlignment="1">
      <alignment horizontal="center" wrapText="1"/>
    </xf>
    <xf numFmtId="3" fontId="36" fillId="0" borderId="38" xfId="0" applyNumberFormat="1" applyFont="1" applyFill="1" applyBorder="1" applyAlignment="1">
      <alignment horizontal="center" wrapText="1"/>
    </xf>
    <xf numFmtId="3" fontId="37" fillId="0" borderId="38" xfId="0" applyNumberFormat="1" applyFont="1" applyFill="1" applyBorder="1" applyAlignment="1">
      <alignment wrapText="1"/>
    </xf>
    <xf numFmtId="3" fontId="9" fillId="0" borderId="39" xfId="0" applyNumberFormat="1" applyFont="1" applyFill="1" applyBorder="1" applyAlignment="1">
      <alignment/>
    </xf>
    <xf numFmtId="3" fontId="9" fillId="0" borderId="40" xfId="0" applyNumberFormat="1" applyFont="1" applyFill="1" applyBorder="1" applyAlignment="1">
      <alignment/>
    </xf>
    <xf numFmtId="3" fontId="9" fillId="0" borderId="36" xfId="0" applyNumberFormat="1" applyFont="1" applyFill="1" applyBorder="1" applyAlignment="1">
      <alignment/>
    </xf>
    <xf numFmtId="3" fontId="9" fillId="0" borderId="33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36" fillId="0" borderId="33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3" fontId="9" fillId="0" borderId="30" xfId="0" applyNumberFormat="1" applyFont="1" applyFill="1" applyBorder="1" applyAlignment="1">
      <alignment/>
    </xf>
    <xf numFmtId="3" fontId="36" fillId="0" borderId="39" xfId="0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/>
    </xf>
    <xf numFmtId="3" fontId="36" fillId="0" borderId="33" xfId="0" applyNumberFormat="1" applyFont="1" applyFill="1" applyBorder="1" applyAlignment="1">
      <alignment wrapText="1"/>
    </xf>
    <xf numFmtId="3" fontId="36" fillId="0" borderId="40" xfId="0" applyNumberFormat="1" applyFont="1" applyFill="1" applyBorder="1" applyAlignment="1">
      <alignment horizontal="center"/>
    </xf>
    <xf numFmtId="3" fontId="36" fillId="0" borderId="40" xfId="0" applyNumberFormat="1" applyFont="1" applyFill="1" applyBorder="1" applyAlignment="1">
      <alignment horizontal="center" wrapText="1"/>
    </xf>
    <xf numFmtId="3" fontId="36" fillId="0" borderId="33" xfId="0" applyNumberFormat="1" applyFont="1" applyFill="1" applyBorder="1" applyAlignment="1">
      <alignment horizontal="center" wrapText="1"/>
    </xf>
    <xf numFmtId="3" fontId="37" fillId="0" borderId="40" xfId="0" applyNumberFormat="1" applyFont="1" applyFill="1" applyBorder="1" applyAlignment="1">
      <alignment horizontal="center" wrapText="1"/>
    </xf>
    <xf numFmtId="3" fontId="37" fillId="0" borderId="40" xfId="0" applyNumberFormat="1" applyFont="1" applyFill="1" applyBorder="1" applyAlignment="1">
      <alignment/>
    </xf>
    <xf numFmtId="3" fontId="37" fillId="0" borderId="40" xfId="0" applyNumberFormat="1" applyFont="1" applyFill="1" applyBorder="1" applyAlignment="1">
      <alignment horizontal="center"/>
    </xf>
    <xf numFmtId="3" fontId="37" fillId="0" borderId="36" xfId="0" applyNumberFormat="1" applyFont="1" applyFill="1" applyBorder="1" applyAlignment="1">
      <alignment horizontal="center" wrapText="1"/>
    </xf>
    <xf numFmtId="3" fontId="37" fillId="0" borderId="0" xfId="0" applyNumberFormat="1" applyFont="1" applyFill="1" applyAlignment="1">
      <alignment/>
    </xf>
    <xf numFmtId="3" fontId="36" fillId="0" borderId="24" xfId="0" applyNumberFormat="1" applyFont="1" applyFill="1" applyBorder="1" applyAlignment="1">
      <alignment wrapText="1"/>
    </xf>
    <xf numFmtId="3" fontId="36" fillId="0" borderId="24" xfId="0" applyNumberFormat="1" applyFont="1" applyFill="1" applyBorder="1" applyAlignment="1">
      <alignment horizontal="center" wrapText="1"/>
    </xf>
    <xf numFmtId="3" fontId="37" fillId="0" borderId="38" xfId="0" applyNumberFormat="1" applyFont="1" applyFill="1" applyBorder="1" applyAlignment="1">
      <alignment/>
    </xf>
    <xf numFmtId="3" fontId="36" fillId="0" borderId="33" xfId="0" applyNumberFormat="1" applyFont="1" applyFill="1" applyBorder="1" applyAlignment="1">
      <alignment/>
    </xf>
    <xf numFmtId="3" fontId="37" fillId="0" borderId="36" xfId="0" applyNumberFormat="1" applyFont="1" applyFill="1" applyBorder="1" applyAlignment="1">
      <alignment/>
    </xf>
    <xf numFmtId="3" fontId="37" fillId="0" borderId="33" xfId="0" applyNumberFormat="1" applyFont="1" applyFill="1" applyBorder="1" applyAlignment="1">
      <alignment/>
    </xf>
    <xf numFmtId="3" fontId="39" fillId="0" borderId="33" xfId="0" applyNumberFormat="1" applyFont="1" applyFill="1" applyBorder="1" applyAlignment="1">
      <alignment/>
    </xf>
    <xf numFmtId="3" fontId="9" fillId="0" borderId="53" xfId="0" applyNumberFormat="1" applyFont="1" applyFill="1" applyBorder="1" applyAlignment="1">
      <alignment/>
    </xf>
    <xf numFmtId="3" fontId="0" fillId="0" borderId="53" xfId="0" applyNumberFormat="1" applyFont="1" applyFill="1" applyBorder="1" applyAlignment="1">
      <alignment/>
    </xf>
    <xf numFmtId="3" fontId="36" fillId="0" borderId="54" xfId="0" applyNumberFormat="1" applyFont="1" applyFill="1" applyBorder="1" applyAlignment="1">
      <alignment/>
    </xf>
    <xf numFmtId="3" fontId="36" fillId="0" borderId="52" xfId="0" applyNumberFormat="1" applyFont="1" applyFill="1" applyBorder="1" applyAlignment="1">
      <alignment horizontal="center"/>
    </xf>
    <xf numFmtId="3" fontId="36" fillId="0" borderId="52" xfId="0" applyNumberFormat="1" applyFont="1" applyFill="1" applyBorder="1" applyAlignment="1">
      <alignment horizontal="center" wrapText="1"/>
    </xf>
    <xf numFmtId="3" fontId="36" fillId="0" borderId="55" xfId="0" applyNumberFormat="1" applyFont="1" applyFill="1" applyBorder="1" applyAlignment="1">
      <alignment horizontal="center" wrapText="1"/>
    </xf>
    <xf numFmtId="3" fontId="36" fillId="0" borderId="41" xfId="0" applyNumberFormat="1" applyFont="1" applyFill="1" applyBorder="1" applyAlignment="1">
      <alignment horizontal="center"/>
    </xf>
    <xf numFmtId="3" fontId="37" fillId="0" borderId="52" xfId="0" applyNumberFormat="1" applyFont="1" applyFill="1" applyBorder="1" applyAlignment="1">
      <alignment/>
    </xf>
    <xf numFmtId="3" fontId="37" fillId="0" borderId="52" xfId="0" applyNumberFormat="1" applyFont="1" applyFill="1" applyBorder="1" applyAlignment="1">
      <alignment wrapText="1"/>
    </xf>
    <xf numFmtId="3" fontId="37" fillId="0" borderId="55" xfId="0" applyNumberFormat="1" applyFont="1" applyFill="1" applyBorder="1" applyAlignment="1">
      <alignment wrapText="1"/>
    </xf>
    <xf numFmtId="3" fontId="37" fillId="0" borderId="24" xfId="0" applyNumberFormat="1" applyFont="1" applyFill="1" applyBorder="1" applyAlignment="1">
      <alignment/>
    </xf>
    <xf numFmtId="3" fontId="36" fillId="0" borderId="0" xfId="0" applyNumberFormat="1" applyFont="1" applyFill="1" applyAlignment="1">
      <alignment horizontal="right"/>
    </xf>
    <xf numFmtId="3" fontId="36" fillId="0" borderId="23" xfId="0" applyNumberFormat="1" applyFont="1" applyFill="1" applyBorder="1" applyAlignment="1">
      <alignment/>
    </xf>
    <xf numFmtId="3" fontId="0" fillId="0" borderId="24" xfId="0" applyNumberFormat="1" applyFill="1" applyBorder="1" applyAlignment="1">
      <alignment wrapText="1"/>
    </xf>
    <xf numFmtId="3" fontId="0" fillId="0" borderId="24" xfId="0" applyNumberFormat="1" applyFill="1" applyBorder="1" applyAlignment="1">
      <alignment/>
    </xf>
    <xf numFmtId="3" fontId="0" fillId="0" borderId="54" xfId="0" applyNumberFormat="1" applyFont="1" applyFill="1" applyBorder="1" applyAlignment="1">
      <alignment/>
    </xf>
    <xf numFmtId="3" fontId="36" fillId="0" borderId="23" xfId="0" applyNumberFormat="1" applyFont="1" applyFill="1" applyBorder="1" applyAlignment="1">
      <alignment wrapText="1"/>
    </xf>
    <xf numFmtId="3" fontId="0" fillId="0" borderId="10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3" fontId="0" fillId="0" borderId="55" xfId="0" applyNumberFormat="1" applyFont="1" applyFill="1" applyBorder="1" applyAlignment="1">
      <alignment/>
    </xf>
    <xf numFmtId="0" fontId="56" fillId="0" borderId="0" xfId="0" applyFont="1" applyFill="1" applyAlignment="1">
      <alignment horizontal="right" vertical="top"/>
    </xf>
    <xf numFmtId="0" fontId="57" fillId="0" borderId="0" xfId="0" applyFont="1" applyFill="1" applyAlignment="1">
      <alignment horizontal="center" wrapText="1"/>
    </xf>
    <xf numFmtId="0" fontId="57" fillId="0" borderId="0" xfId="0" applyFont="1" applyFill="1" applyAlignment="1">
      <alignment/>
    </xf>
    <xf numFmtId="0" fontId="56" fillId="0" borderId="0" xfId="0" applyFont="1" applyFill="1" applyAlignment="1">
      <alignment horizontal="right"/>
    </xf>
    <xf numFmtId="0" fontId="55" fillId="0" borderId="0" xfId="0" applyFont="1" applyFill="1" applyAlignment="1">
      <alignment horizontal="right"/>
    </xf>
    <xf numFmtId="0" fontId="34" fillId="0" borderId="0" xfId="0" applyFont="1" applyAlignment="1">
      <alignment/>
    </xf>
    <xf numFmtId="0" fontId="89" fillId="0" borderId="0" xfId="0" applyFont="1" applyFill="1" applyAlignment="1">
      <alignment/>
    </xf>
    <xf numFmtId="0" fontId="90" fillId="0" borderId="10" xfId="0" applyFont="1" applyBorder="1" applyAlignment="1">
      <alignment/>
    </xf>
    <xf numFmtId="0" fontId="45" fillId="0" borderId="30" xfId="0" applyFont="1" applyBorder="1" applyAlignment="1">
      <alignment horizontal="center"/>
    </xf>
    <xf numFmtId="0" fontId="47" fillId="0" borderId="53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0" borderId="52" xfId="0" applyFont="1" applyBorder="1" applyAlignment="1">
      <alignment/>
    </xf>
    <xf numFmtId="3" fontId="47" fillId="0" borderId="52" xfId="0" applyNumberFormat="1" applyFont="1" applyBorder="1" applyAlignment="1">
      <alignment/>
    </xf>
    <xf numFmtId="4" fontId="47" fillId="0" borderId="55" xfId="0" applyNumberFormat="1" applyFont="1" applyBorder="1" applyAlignment="1">
      <alignment/>
    </xf>
    <xf numFmtId="4" fontId="47" fillId="0" borderId="52" xfId="0" applyNumberFormat="1" applyFont="1" applyBorder="1" applyAlignment="1">
      <alignment/>
    </xf>
    <xf numFmtId="3" fontId="47" fillId="0" borderId="41" xfId="0" applyNumberFormat="1" applyFont="1" applyBorder="1" applyAlignment="1">
      <alignment/>
    </xf>
    <xf numFmtId="3" fontId="47" fillId="0" borderId="55" xfId="0" applyNumberFormat="1" applyFont="1" applyBorder="1" applyAlignment="1">
      <alignment/>
    </xf>
    <xf numFmtId="3" fontId="47" fillId="0" borderId="54" xfId="0" applyNumberFormat="1" applyFont="1" applyBorder="1" applyAlignment="1">
      <alignment horizontal="center"/>
    </xf>
    <xf numFmtId="3" fontId="47" fillId="0" borderId="54" xfId="0" applyNumberFormat="1" applyFont="1" applyBorder="1" applyAlignment="1">
      <alignment horizontal="center" wrapText="1"/>
    </xf>
    <xf numFmtId="3" fontId="5" fillId="0" borderId="54" xfId="0" applyNumberFormat="1" applyFont="1" applyBorder="1" applyAlignment="1">
      <alignment/>
    </xf>
    <xf numFmtId="0" fontId="45" fillId="0" borderId="0" xfId="0" applyFont="1" applyBorder="1" applyAlignment="1">
      <alignment/>
    </xf>
    <xf numFmtId="3" fontId="45" fillId="0" borderId="0" xfId="0" applyNumberFormat="1" applyFont="1" applyBorder="1" applyAlignment="1">
      <alignment/>
    </xf>
    <xf numFmtId="3" fontId="45" fillId="0" borderId="38" xfId="0" applyNumberFormat="1" applyFont="1" applyBorder="1" applyAlignment="1">
      <alignment/>
    </xf>
    <xf numFmtId="3" fontId="45" fillId="0" borderId="13" xfId="0" applyNumberFormat="1" applyFont="1" applyBorder="1" applyAlignment="1">
      <alignment/>
    </xf>
    <xf numFmtId="3" fontId="45" fillId="0" borderId="24" xfId="0" applyNumberFormat="1" applyFont="1" applyBorder="1" applyAlignment="1">
      <alignment/>
    </xf>
    <xf numFmtId="3" fontId="45" fillId="0" borderId="24" xfId="0" applyNumberFormat="1" applyFont="1" applyBorder="1" applyAlignment="1">
      <alignment horizontal="center" wrapText="1"/>
    </xf>
    <xf numFmtId="3" fontId="5" fillId="0" borderId="24" xfId="0" applyNumberFormat="1" applyFont="1" applyBorder="1" applyAlignment="1">
      <alignment/>
    </xf>
    <xf numFmtId="0" fontId="45" fillId="0" borderId="0" xfId="0" applyFont="1" applyBorder="1" applyAlignment="1">
      <alignment wrapText="1"/>
    </xf>
    <xf numFmtId="3" fontId="45" fillId="0" borderId="0" xfId="0" applyNumberFormat="1" applyFont="1" applyBorder="1" applyAlignment="1">
      <alignment wrapText="1"/>
    </xf>
    <xf numFmtId="3" fontId="45" fillId="0" borderId="38" xfId="0" applyNumberFormat="1" applyFont="1" applyBorder="1" applyAlignment="1">
      <alignment wrapText="1"/>
    </xf>
    <xf numFmtId="3" fontId="47" fillId="0" borderId="0" xfId="0" applyNumberFormat="1" applyFont="1" applyBorder="1" applyAlignment="1">
      <alignment wrapText="1"/>
    </xf>
    <xf numFmtId="0" fontId="47" fillId="0" borderId="40" xfId="0" applyFont="1" applyBorder="1" applyAlignment="1">
      <alignment/>
    </xf>
    <xf numFmtId="3" fontId="47" fillId="0" borderId="40" xfId="0" applyNumberFormat="1" applyFont="1" applyBorder="1" applyAlignment="1">
      <alignment/>
    </xf>
    <xf numFmtId="3" fontId="47" fillId="0" borderId="36" xfId="0" applyNumberFormat="1" applyFont="1" applyBorder="1" applyAlignment="1">
      <alignment/>
    </xf>
    <xf numFmtId="3" fontId="47" fillId="0" borderId="39" xfId="0" applyNumberFormat="1" applyFont="1" applyBorder="1" applyAlignment="1">
      <alignment/>
    </xf>
    <xf numFmtId="3" fontId="47" fillId="0" borderId="31" xfId="0" applyNumberFormat="1" applyFont="1" applyBorder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47" fillId="0" borderId="0" xfId="0" applyNumberFormat="1" applyFont="1" applyBorder="1" applyAlignment="1">
      <alignment/>
    </xf>
    <xf numFmtId="3" fontId="47" fillId="0" borderId="13" xfId="0" applyNumberFormat="1" applyFont="1" applyBorder="1" applyAlignment="1">
      <alignment/>
    </xf>
    <xf numFmtId="3" fontId="47" fillId="0" borderId="23" xfId="0" applyNumberFormat="1" applyFont="1" applyBorder="1" applyAlignment="1">
      <alignment/>
    </xf>
    <xf numFmtId="3" fontId="47" fillId="0" borderId="24" xfId="0" applyNumberFormat="1" applyFont="1" applyBorder="1" applyAlignment="1">
      <alignment/>
    </xf>
    <xf numFmtId="0" fontId="8" fillId="0" borderId="40" xfId="0" applyFont="1" applyFill="1" applyBorder="1" applyAlignment="1">
      <alignment wrapText="1"/>
    </xf>
    <xf numFmtId="3" fontId="47" fillId="0" borderId="33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30" xfId="0" applyFont="1" applyBorder="1" applyAlignment="1">
      <alignment/>
    </xf>
    <xf numFmtId="3" fontId="22" fillId="0" borderId="30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90" fillId="0" borderId="13" xfId="0" applyFont="1" applyBorder="1" applyAlignment="1">
      <alignment/>
    </xf>
    <xf numFmtId="0" fontId="47" fillId="0" borderId="13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41" xfId="0" applyFont="1" applyBorder="1" applyAlignment="1">
      <alignment/>
    </xf>
    <xf numFmtId="0" fontId="45" fillId="0" borderId="52" xfId="0" applyFont="1" applyBorder="1" applyAlignment="1">
      <alignment wrapText="1"/>
    </xf>
    <xf numFmtId="3" fontId="45" fillId="0" borderId="52" xfId="0" applyNumberFormat="1" applyFont="1" applyBorder="1" applyAlignment="1">
      <alignment/>
    </xf>
    <xf numFmtId="3" fontId="45" fillId="0" borderId="55" xfId="0" applyNumberFormat="1" applyFont="1" applyBorder="1" applyAlignment="1">
      <alignment/>
    </xf>
    <xf numFmtId="0" fontId="47" fillId="0" borderId="39" xfId="0" applyFont="1" applyBorder="1" applyAlignment="1">
      <alignment/>
    </xf>
    <xf numFmtId="0" fontId="47" fillId="0" borderId="0" xfId="0" applyFont="1" applyBorder="1" applyAlignment="1">
      <alignment/>
    </xf>
    <xf numFmtId="3" fontId="47" fillId="0" borderId="38" xfId="0" applyNumberFormat="1" applyFont="1" applyBorder="1" applyAlignment="1">
      <alignment/>
    </xf>
    <xf numFmtId="3" fontId="47" fillId="0" borderId="0" xfId="0" applyNumberFormat="1" applyFont="1" applyBorder="1" applyAlignment="1">
      <alignment/>
    </xf>
    <xf numFmtId="3" fontId="47" fillId="0" borderId="13" xfId="0" applyNumberFormat="1" applyFont="1" applyBorder="1" applyAlignment="1">
      <alignment/>
    </xf>
    <xf numFmtId="3" fontId="47" fillId="0" borderId="38" xfId="0" applyNumberFormat="1" applyFont="1" applyBorder="1" applyAlignment="1">
      <alignment/>
    </xf>
    <xf numFmtId="3" fontId="47" fillId="0" borderId="24" xfId="0" applyNumberFormat="1" applyFont="1" applyBorder="1" applyAlignment="1">
      <alignment/>
    </xf>
    <xf numFmtId="3" fontId="45" fillId="0" borderId="0" xfId="0" applyNumberFormat="1" applyFont="1" applyAlignment="1">
      <alignment/>
    </xf>
    <xf numFmtId="3" fontId="89" fillId="0" borderId="0" xfId="0" applyNumberFormat="1" applyFont="1" applyFill="1" applyAlignment="1">
      <alignment/>
    </xf>
    <xf numFmtId="3" fontId="91" fillId="0" borderId="0" xfId="0" applyNumberFormat="1" applyFont="1" applyFill="1" applyAlignment="1">
      <alignment/>
    </xf>
    <xf numFmtId="0" fontId="91" fillId="0" borderId="0" xfId="0" applyFont="1" applyFill="1" applyAlignment="1">
      <alignment/>
    </xf>
    <xf numFmtId="3" fontId="22" fillId="0" borderId="0" xfId="56" applyNumberFormat="1" applyFont="1" applyFill="1">
      <alignment/>
      <protection/>
    </xf>
    <xf numFmtId="0" fontId="22" fillId="19" borderId="0" xfId="56" applyFont="1" applyFill="1">
      <alignment/>
      <protection/>
    </xf>
    <xf numFmtId="0" fontId="52" fillId="0" borderId="19" xfId="56" applyFont="1" applyFill="1" applyBorder="1" applyAlignment="1">
      <alignment horizontal="right"/>
      <protection/>
    </xf>
    <xf numFmtId="3" fontId="9" fillId="0" borderId="2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3" fontId="76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24" xfId="0" applyFill="1" applyBorder="1" applyAlignment="1">
      <alignment wrapText="1"/>
    </xf>
    <xf numFmtId="0" fontId="0" fillId="0" borderId="54" xfId="0" applyFill="1" applyBorder="1" applyAlignment="1">
      <alignment wrapText="1"/>
    </xf>
    <xf numFmtId="3" fontId="9" fillId="0" borderId="33" xfId="0" applyNumberFormat="1" applyFont="1" applyFill="1" applyBorder="1" applyAlignment="1">
      <alignment wrapText="1"/>
    </xf>
    <xf numFmtId="3" fontId="0" fillId="0" borderId="23" xfId="0" applyNumberFormat="1" applyFill="1" applyBorder="1" applyAlignment="1">
      <alignment wrapText="1"/>
    </xf>
    <xf numFmtId="3" fontId="0" fillId="0" borderId="24" xfId="0" applyNumberFormat="1" applyFont="1" applyFill="1" applyBorder="1" applyAlignment="1">
      <alignment wrapText="1"/>
    </xf>
    <xf numFmtId="3" fontId="0" fillId="0" borderId="54" xfId="0" applyNumberFormat="1" applyFill="1" applyBorder="1" applyAlignment="1">
      <alignment wrapText="1"/>
    </xf>
    <xf numFmtId="3" fontId="0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9" fillId="0" borderId="24" xfId="0" applyNumberFormat="1" applyFont="1" applyFill="1" applyBorder="1" applyAlignment="1">
      <alignment horizontal="right"/>
    </xf>
    <xf numFmtId="3" fontId="9" fillId="0" borderId="38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 horizontal="right"/>
    </xf>
    <xf numFmtId="3" fontId="9" fillId="0" borderId="24" xfId="0" applyNumberFormat="1" applyFont="1" applyFill="1" applyBorder="1" applyAlignment="1">
      <alignment wrapText="1"/>
    </xf>
    <xf numFmtId="3" fontId="0" fillId="0" borderId="20" xfId="0" applyNumberFormat="1" applyFont="1" applyFill="1" applyBorder="1" applyAlignment="1">
      <alignment wrapText="1"/>
    </xf>
    <xf numFmtId="3" fontId="0" fillId="0" borderId="20" xfId="0" applyNumberFormat="1" applyFill="1" applyBorder="1" applyAlignment="1">
      <alignment wrapText="1"/>
    </xf>
    <xf numFmtId="3" fontId="0" fillId="0" borderId="20" xfId="0" applyNumberFormat="1" applyFill="1" applyBorder="1" applyAlignment="1">
      <alignment/>
    </xf>
    <xf numFmtId="3" fontId="34" fillId="0" borderId="19" xfId="0" applyNumberFormat="1" applyFont="1" applyFill="1" applyBorder="1" applyAlignment="1">
      <alignment horizontal="right" vertical="center" wrapText="1"/>
    </xf>
    <xf numFmtId="3" fontId="3" fillId="0" borderId="20" xfId="0" applyNumberFormat="1" applyFont="1" applyFill="1" applyBorder="1" applyAlignment="1">
      <alignment wrapText="1"/>
    </xf>
    <xf numFmtId="0" fontId="10" fillId="0" borderId="0" xfId="0" applyFont="1" applyFill="1" applyAlignment="1">
      <alignment horizontal="left" wrapText="1"/>
    </xf>
    <xf numFmtId="2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0" fontId="58" fillId="0" borderId="0" xfId="0" applyFont="1" applyFill="1" applyBorder="1" applyAlignment="1">
      <alignment horizontal="left"/>
    </xf>
    <xf numFmtId="3" fontId="8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" fillId="0" borderId="52" xfId="0" applyFont="1" applyFill="1" applyBorder="1" applyAlignment="1">
      <alignment/>
    </xf>
    <xf numFmtId="0" fontId="93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2" fontId="9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8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58" fillId="0" borderId="0" xfId="0" applyFont="1" applyFill="1" applyBorder="1" applyAlignment="1">
      <alignment horizontal="right" wrapText="1"/>
    </xf>
    <xf numFmtId="0" fontId="77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wrapText="1"/>
    </xf>
    <xf numFmtId="0" fontId="38" fillId="0" borderId="0" xfId="0" applyFont="1" applyFill="1" applyAlignment="1">
      <alignment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3" fontId="1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10" fillId="0" borderId="23" xfId="0" applyFont="1" applyFill="1" applyBorder="1" applyAlignment="1">
      <alignment horizontal="center"/>
    </xf>
    <xf numFmtId="0" fontId="3" fillId="0" borderId="56" xfId="0" applyFont="1" applyFill="1" applyBorder="1" applyAlignment="1">
      <alignment/>
    </xf>
    <xf numFmtId="0" fontId="3" fillId="0" borderId="56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10" fillId="0" borderId="54" xfId="0" applyFont="1" applyFill="1" applyBorder="1" applyAlignment="1">
      <alignment horizontal="center"/>
    </xf>
    <xf numFmtId="3" fontId="3" fillId="0" borderId="41" xfId="0" applyNumberFormat="1" applyFont="1" applyFill="1" applyBorder="1" applyAlignment="1">
      <alignment horizontal="center" wrapText="1"/>
    </xf>
    <xf numFmtId="3" fontId="3" fillId="0" borderId="52" xfId="0" applyNumberFormat="1" applyFont="1" applyFill="1" applyBorder="1" applyAlignment="1">
      <alignment horizontal="center" wrapText="1"/>
    </xf>
    <xf numFmtId="3" fontId="3" fillId="0" borderId="55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22" xfId="0" applyNumberFormat="1" applyFont="1" applyFill="1" applyBorder="1" applyAlignment="1">
      <alignment horizontal="center" wrapText="1"/>
    </xf>
    <xf numFmtId="3" fontId="3" fillId="0" borderId="26" xfId="0" applyNumberFormat="1" applyFont="1" applyFill="1" applyBorder="1" applyAlignment="1">
      <alignment horizontal="center" wrapText="1"/>
    </xf>
    <xf numFmtId="3" fontId="3" fillId="0" borderId="18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 wrapText="1"/>
    </xf>
    <xf numFmtId="3" fontId="3" fillId="0" borderId="41" xfId="0" applyNumberFormat="1" applyFont="1" applyFill="1" applyBorder="1" applyAlignment="1">
      <alignment horizontal="center"/>
    </xf>
    <xf numFmtId="3" fontId="3" fillId="0" borderId="55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/>
    </xf>
    <xf numFmtId="3" fontId="3" fillId="0" borderId="30" xfId="0" applyNumberFormat="1" applyFont="1" applyFill="1" applyBorder="1" applyAlignment="1">
      <alignment horizontal="right"/>
    </xf>
    <xf numFmtId="3" fontId="3" fillId="0" borderId="5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3" fillId="0" borderId="51" xfId="0" applyNumberFormat="1" applyFont="1" applyFill="1" applyBorder="1" applyAlignment="1">
      <alignment horizontal="right"/>
    </xf>
    <xf numFmtId="3" fontId="3" fillId="0" borderId="4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3" fillId="0" borderId="5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3" fontId="3" fillId="0" borderId="38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30" xfId="0" applyNumberFormat="1" applyFont="1" applyFill="1" applyBorder="1" applyAlignment="1">
      <alignment horizontal="right"/>
    </xf>
    <xf numFmtId="3" fontId="3" fillId="0" borderId="53" xfId="0" applyNumberFormat="1" applyFont="1" applyFill="1" applyBorder="1" applyAlignment="1">
      <alignment horizontal="right"/>
    </xf>
    <xf numFmtId="3" fontId="3" fillId="0" borderId="23" xfId="0" applyNumberFormat="1" applyFont="1" applyFill="1" applyBorder="1" applyAlignment="1">
      <alignment horizontal="right"/>
    </xf>
    <xf numFmtId="0" fontId="10" fillId="0" borderId="24" xfId="0" applyFon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38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38" xfId="0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3" fontId="8" fillId="0" borderId="38" xfId="0" applyNumberFormat="1" applyFont="1" applyFill="1" applyBorder="1" applyAlignment="1">
      <alignment/>
    </xf>
    <xf numFmtId="3" fontId="8" fillId="0" borderId="50" xfId="0" applyNumberFormat="1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10" fillId="0" borderId="41" xfId="0" applyFont="1" applyFill="1" applyBorder="1" applyAlignment="1">
      <alignment/>
    </xf>
    <xf numFmtId="3" fontId="10" fillId="0" borderId="33" xfId="0" applyNumberFormat="1" applyFont="1" applyFill="1" applyBorder="1" applyAlignment="1">
      <alignment/>
    </xf>
    <xf numFmtId="3" fontId="8" fillId="0" borderId="54" xfId="0" applyNumberFormat="1" applyFont="1" applyFill="1" applyBorder="1" applyAlignment="1">
      <alignment/>
    </xf>
    <xf numFmtId="3" fontId="8" fillId="0" borderId="55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23" xfId="0" applyFont="1" applyFill="1" applyBorder="1" applyAlignment="1">
      <alignment horizontal="left" wrapText="1"/>
    </xf>
    <xf numFmtId="3" fontId="11" fillId="0" borderId="3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11" fillId="0" borderId="57" xfId="0" applyNumberFormat="1" applyFont="1" applyFill="1" applyBorder="1" applyAlignment="1">
      <alignment/>
    </xf>
    <xf numFmtId="3" fontId="11" fillId="0" borderId="43" xfId="0" applyNumberFormat="1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1" fillId="0" borderId="13" xfId="0" applyFont="1" applyFill="1" applyBorder="1" applyAlignment="1">
      <alignment horizontal="left" wrapText="1"/>
    </xf>
    <xf numFmtId="3" fontId="11" fillId="0" borderId="53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23" xfId="0" applyNumberFormat="1" applyFont="1" applyFill="1" applyBorder="1" applyAlignment="1">
      <alignment/>
    </xf>
    <xf numFmtId="3" fontId="11" fillId="0" borderId="13" xfId="0" applyNumberFormat="1" applyFont="1" applyFill="1" applyBorder="1" applyAlignment="1">
      <alignment/>
    </xf>
    <xf numFmtId="3" fontId="11" fillId="0" borderId="51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0" fontId="11" fillId="0" borderId="13" xfId="0" applyFont="1" applyFill="1" applyBorder="1" applyAlignment="1">
      <alignment horizontal="right"/>
    </xf>
    <xf numFmtId="3" fontId="11" fillId="0" borderId="38" xfId="0" applyNumberFormat="1" applyFont="1" applyFill="1" applyBorder="1" applyAlignment="1">
      <alignment/>
    </xf>
    <xf numFmtId="3" fontId="11" fillId="0" borderId="24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38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0" fontId="10" fillId="0" borderId="24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10" fillId="0" borderId="54" xfId="0" applyFont="1" applyFill="1" applyBorder="1" applyAlignment="1">
      <alignment/>
    </xf>
    <xf numFmtId="3" fontId="10" fillId="0" borderId="41" xfId="0" applyNumberFormat="1" applyFont="1" applyFill="1" applyBorder="1" applyAlignment="1">
      <alignment/>
    </xf>
    <xf numFmtId="3" fontId="10" fillId="0" borderId="52" xfId="0" applyNumberFormat="1" applyFont="1" applyFill="1" applyBorder="1" applyAlignment="1">
      <alignment/>
    </xf>
    <xf numFmtId="3" fontId="8" fillId="0" borderId="52" xfId="0" applyNumberFormat="1" applyFont="1" applyFill="1" applyBorder="1" applyAlignment="1">
      <alignment/>
    </xf>
    <xf numFmtId="0" fontId="10" fillId="0" borderId="24" xfId="0" applyFont="1" applyFill="1" applyBorder="1" applyAlignment="1">
      <alignment horizontal="left"/>
    </xf>
    <xf numFmtId="0" fontId="11" fillId="0" borderId="13" xfId="0" applyFont="1" applyFill="1" applyBorder="1" applyAlignment="1">
      <alignment/>
    </xf>
    <xf numFmtId="0" fontId="10" fillId="0" borderId="41" xfId="0" applyFont="1" applyFill="1" applyBorder="1" applyAlignment="1">
      <alignment/>
    </xf>
    <xf numFmtId="0" fontId="11" fillId="0" borderId="54" xfId="0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3" fontId="10" fillId="0" borderId="30" xfId="0" applyNumberFormat="1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10" fillId="0" borderId="51" xfId="0" applyFont="1" applyFill="1" applyBorder="1" applyAlignment="1">
      <alignment/>
    </xf>
    <xf numFmtId="0" fontId="10" fillId="0" borderId="50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11" fillId="0" borderId="24" xfId="0" applyFont="1" applyFill="1" applyBorder="1" applyAlignment="1">
      <alignment wrapText="1"/>
    </xf>
    <xf numFmtId="0" fontId="3" fillId="0" borderId="24" xfId="0" applyFont="1" applyFill="1" applyBorder="1" applyAlignment="1">
      <alignment wrapText="1"/>
    </xf>
    <xf numFmtId="3" fontId="3" fillId="0" borderId="54" xfId="0" applyNumberFormat="1" applyFont="1" applyFill="1" applyBorder="1" applyAlignment="1">
      <alignment/>
    </xf>
    <xf numFmtId="0" fontId="3" fillId="0" borderId="54" xfId="0" applyFont="1" applyFill="1" applyBorder="1" applyAlignment="1">
      <alignment wrapText="1"/>
    </xf>
    <xf numFmtId="3" fontId="3" fillId="0" borderId="52" xfId="0" applyNumberFormat="1" applyFont="1" applyFill="1" applyBorder="1" applyAlignment="1">
      <alignment/>
    </xf>
    <xf numFmtId="0" fontId="3" fillId="0" borderId="33" xfId="0" applyFont="1" applyFill="1" applyBorder="1" applyAlignment="1">
      <alignment/>
    </xf>
    <xf numFmtId="3" fontId="3" fillId="0" borderId="39" xfId="0" applyNumberFormat="1" applyFont="1" applyFill="1" applyBorder="1" applyAlignment="1">
      <alignment/>
    </xf>
    <xf numFmtId="3" fontId="3" fillId="0" borderId="40" xfId="0" applyNumberFormat="1" applyFont="1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3" fontId="3" fillId="0" borderId="33" xfId="0" applyNumberFormat="1" applyFont="1" applyFill="1" applyBorder="1" applyAlignment="1">
      <alignment/>
    </xf>
    <xf numFmtId="3" fontId="3" fillId="0" borderId="30" xfId="0" applyNumberFormat="1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84" fillId="0" borderId="0" xfId="0" applyFont="1" applyFill="1" applyAlignment="1">
      <alignment/>
    </xf>
    <xf numFmtId="3" fontId="84" fillId="0" borderId="0" xfId="0" applyNumberFormat="1" applyFont="1" applyFill="1" applyAlignment="1">
      <alignment/>
    </xf>
    <xf numFmtId="3" fontId="85" fillId="0" borderId="0" xfId="0" applyNumberFormat="1" applyFont="1" applyFill="1" applyAlignment="1">
      <alignment horizontal="center"/>
    </xf>
    <xf numFmtId="0" fontId="86" fillId="0" borderId="0" xfId="0" applyFont="1" applyFill="1" applyAlignment="1">
      <alignment/>
    </xf>
    <xf numFmtId="3" fontId="85" fillId="0" borderId="0" xfId="0" applyNumberFormat="1" applyFont="1" applyFill="1" applyAlignment="1">
      <alignment horizontal="right"/>
    </xf>
    <xf numFmtId="3" fontId="85" fillId="0" borderId="0" xfId="0" applyNumberFormat="1" applyFont="1" applyFill="1" applyAlignment="1">
      <alignment/>
    </xf>
    <xf numFmtId="0" fontId="84" fillId="0" borderId="0" xfId="0" applyFont="1" applyFill="1" applyAlignment="1">
      <alignment wrapText="1"/>
    </xf>
    <xf numFmtId="3" fontId="24" fillId="0" borderId="0" xfId="0" applyNumberFormat="1" applyFont="1" applyFill="1" applyAlignment="1">
      <alignment/>
    </xf>
    <xf numFmtId="3" fontId="86" fillId="0" borderId="0" xfId="0" applyNumberFormat="1" applyFont="1" applyFill="1" applyAlignment="1">
      <alignment/>
    </xf>
    <xf numFmtId="4" fontId="84" fillId="0" borderId="0" xfId="0" applyNumberFormat="1" applyFont="1" applyFill="1" applyAlignment="1">
      <alignment/>
    </xf>
    <xf numFmtId="2" fontId="84" fillId="0" borderId="0" xfId="0" applyNumberFormat="1" applyFont="1" applyFill="1" applyAlignment="1">
      <alignment/>
    </xf>
    <xf numFmtId="0" fontId="85" fillId="0" borderId="0" xfId="0" applyFont="1" applyFill="1" applyAlignment="1">
      <alignment/>
    </xf>
    <xf numFmtId="177" fontId="84" fillId="0" borderId="0" xfId="0" applyNumberFormat="1" applyFont="1" applyFill="1" applyAlignment="1">
      <alignment/>
    </xf>
    <xf numFmtId="175" fontId="84" fillId="0" borderId="0" xfId="0" applyNumberFormat="1" applyFont="1" applyFill="1" applyAlignment="1">
      <alignment/>
    </xf>
    <xf numFmtId="3" fontId="88" fillId="0" borderId="0" xfId="0" applyNumberFormat="1" applyFont="1" applyFill="1" applyAlignment="1">
      <alignment/>
    </xf>
    <xf numFmtId="0" fontId="87" fillId="0" borderId="0" xfId="0" applyFont="1" applyFill="1" applyAlignment="1">
      <alignment shrinkToFit="1"/>
    </xf>
    <xf numFmtId="176" fontId="84" fillId="0" borderId="0" xfId="0" applyNumberFormat="1" applyFont="1" applyFill="1" applyAlignment="1">
      <alignment/>
    </xf>
    <xf numFmtId="49" fontId="84" fillId="0" borderId="0" xfId="0" applyNumberFormat="1" applyFont="1" applyFill="1" applyAlignment="1">
      <alignment/>
    </xf>
    <xf numFmtId="1" fontId="84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34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0" fontId="18" fillId="0" borderId="52" xfId="0" applyFont="1" applyFill="1" applyBorder="1" applyAlignment="1">
      <alignment horizontal="center"/>
    </xf>
    <xf numFmtId="0" fontId="0" fillId="0" borderId="52" xfId="0" applyFill="1" applyBorder="1" applyAlignment="1">
      <alignment/>
    </xf>
    <xf numFmtId="0" fontId="75" fillId="0" borderId="52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51" xfId="0" applyFont="1" applyFill="1" applyBorder="1" applyAlignment="1">
      <alignment horizontal="right"/>
    </xf>
    <xf numFmtId="0" fontId="78" fillId="0" borderId="0" xfId="0" applyFont="1" applyFill="1" applyBorder="1" applyAlignment="1">
      <alignment horizontal="right"/>
    </xf>
    <xf numFmtId="14" fontId="78" fillId="0" borderId="12" xfId="0" applyNumberFormat="1" applyFont="1" applyFill="1" applyBorder="1" applyAlignment="1">
      <alignment horizontal="right"/>
    </xf>
    <xf numFmtId="14" fontId="78" fillId="0" borderId="0" xfId="0" applyNumberFormat="1" applyFont="1" applyFill="1" applyAlignment="1">
      <alignment/>
    </xf>
    <xf numFmtId="0" fontId="78" fillId="0" borderId="15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19" fillId="0" borderId="51" xfId="0" applyFont="1" applyFill="1" applyBorder="1" applyAlignment="1">
      <alignment/>
    </xf>
    <xf numFmtId="0" fontId="77" fillId="0" borderId="15" xfId="0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80" fillId="0" borderId="15" xfId="0" applyNumberFormat="1" applyFont="1" applyFill="1" applyBorder="1" applyAlignment="1">
      <alignment/>
    </xf>
    <xf numFmtId="3" fontId="78" fillId="0" borderId="0" xfId="0" applyNumberFormat="1" applyFont="1" applyFill="1" applyBorder="1" applyAlignment="1">
      <alignment/>
    </xf>
    <xf numFmtId="3" fontId="78" fillId="0" borderId="15" xfId="0" applyNumberFormat="1" applyFont="1" applyFill="1" applyBorder="1" applyAlignment="1">
      <alignment/>
    </xf>
    <xf numFmtId="3" fontId="77" fillId="0" borderId="15" xfId="0" applyNumberFormat="1" applyFont="1" applyFill="1" applyBorder="1" applyAlignment="1">
      <alignment/>
    </xf>
    <xf numFmtId="0" fontId="19" fillId="0" borderId="51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51" xfId="0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0" fontId="18" fillId="0" borderId="51" xfId="0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Alignment="1">
      <alignment/>
    </xf>
    <xf numFmtId="1" fontId="18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83" fillId="0" borderId="0" xfId="0" applyNumberFormat="1" applyFont="1" applyFill="1" applyBorder="1" applyAlignment="1">
      <alignment horizontal="right"/>
    </xf>
    <xf numFmtId="1" fontId="0" fillId="0" borderId="0" xfId="0" applyNumberFormat="1" applyFill="1" applyAlignment="1">
      <alignment/>
    </xf>
    <xf numFmtId="1" fontId="78" fillId="0" borderId="0" xfId="0" applyNumberFormat="1" applyFont="1" applyFill="1" applyBorder="1" applyAlignment="1">
      <alignment/>
    </xf>
    <xf numFmtId="1" fontId="76" fillId="0" borderId="0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164" fontId="61" fillId="0" borderId="0" xfId="0" applyNumberFormat="1" applyFont="1" applyFill="1" applyBorder="1" applyAlignment="1">
      <alignment/>
    </xf>
    <xf numFmtId="3" fontId="61" fillId="0" borderId="0" xfId="0" applyNumberFormat="1" applyFont="1" applyFill="1" applyBorder="1" applyAlignment="1">
      <alignment/>
    </xf>
    <xf numFmtId="3" fontId="59" fillId="0" borderId="33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0" fontId="62" fillId="0" borderId="0" xfId="0" applyFont="1" applyFill="1" applyAlignment="1">
      <alignment/>
    </xf>
    <xf numFmtId="3" fontId="63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64" fillId="0" borderId="0" xfId="0" applyFont="1" applyFill="1" applyAlignment="1">
      <alignment/>
    </xf>
    <xf numFmtId="3" fontId="65" fillId="0" borderId="0" xfId="0" applyNumberFormat="1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horizontal="right"/>
    </xf>
    <xf numFmtId="3" fontId="65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/>
    </xf>
    <xf numFmtId="0" fontId="4" fillId="0" borderId="27" xfId="0" applyFont="1" applyFill="1" applyBorder="1" applyAlignment="1">
      <alignment/>
    </xf>
    <xf numFmtId="3" fontId="8" fillId="0" borderId="58" xfId="0" applyNumberFormat="1" applyFont="1" applyFill="1" applyBorder="1" applyAlignment="1">
      <alignment/>
    </xf>
    <xf numFmtId="3" fontId="4" fillId="0" borderId="58" xfId="0" applyNumberFormat="1" applyFont="1" applyFill="1" applyBorder="1" applyAlignment="1">
      <alignment/>
    </xf>
    <xf numFmtId="3" fontId="4" fillId="0" borderId="59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3" fontId="2" fillId="0" borderId="39" xfId="0" applyNumberFormat="1" applyFont="1" applyFill="1" applyBorder="1" applyAlignment="1">
      <alignment horizontal="left"/>
    </xf>
    <xf numFmtId="3" fontId="6" fillId="0" borderId="40" xfId="0" applyNumberFormat="1" applyFont="1" applyFill="1" applyBorder="1" applyAlignment="1">
      <alignment/>
    </xf>
    <xf numFmtId="3" fontId="2" fillId="0" borderId="40" xfId="0" applyNumberFormat="1" applyFont="1" applyFill="1" applyBorder="1" applyAlignment="1">
      <alignment/>
    </xf>
    <xf numFmtId="3" fontId="2" fillId="0" borderId="36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 horizontal="left"/>
    </xf>
    <xf numFmtId="3" fontId="31" fillId="0" borderId="58" xfId="0" applyNumberFormat="1" applyFont="1" applyFill="1" applyBorder="1" applyAlignment="1">
      <alignment/>
    </xf>
    <xf numFmtId="3" fontId="4" fillId="0" borderId="58" xfId="40" applyNumberFormat="1" applyFont="1" applyFill="1" applyBorder="1" applyAlignment="1" applyProtection="1">
      <alignment/>
      <protection/>
    </xf>
    <xf numFmtId="3" fontId="4" fillId="0" borderId="58" xfId="0" applyNumberFormat="1" applyFont="1" applyFill="1" applyBorder="1" applyAlignment="1">
      <alignment horizontal="right"/>
    </xf>
    <xf numFmtId="3" fontId="4" fillId="0" borderId="59" xfId="0" applyNumberFormat="1" applyFont="1" applyFill="1" applyBorder="1" applyAlignment="1">
      <alignment horizontal="right"/>
    </xf>
    <xf numFmtId="49" fontId="0" fillId="0" borderId="0" xfId="0" applyNumberFormat="1" applyFill="1" applyAlignment="1">
      <alignment/>
    </xf>
    <xf numFmtId="0" fontId="66" fillId="0" borderId="0" xfId="0" applyFont="1" applyFill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31" fillId="0" borderId="0" xfId="0" applyNumberFormat="1" applyFont="1" applyFill="1" applyBorder="1" applyAlignment="1">
      <alignment/>
    </xf>
    <xf numFmtId="3" fontId="4" fillId="0" borderId="0" xfId="4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64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1" fontId="4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 horizontal="right"/>
    </xf>
    <xf numFmtId="3" fontId="38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center"/>
    </xf>
    <xf numFmtId="164" fontId="4" fillId="0" borderId="27" xfId="0" applyNumberFormat="1" applyFont="1" applyFill="1" applyBorder="1" applyAlignment="1">
      <alignment horizontal="left"/>
    </xf>
    <xf numFmtId="0" fontId="8" fillId="0" borderId="58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/>
    </xf>
    <xf numFmtId="9" fontId="8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/>
    </xf>
    <xf numFmtId="164" fontId="13" fillId="0" borderId="58" xfId="0" applyNumberFormat="1" applyFont="1" applyFill="1" applyBorder="1" applyAlignment="1">
      <alignment/>
    </xf>
    <xf numFmtId="3" fontId="13" fillId="0" borderId="58" xfId="0" applyNumberFormat="1" applyFont="1" applyFill="1" applyBorder="1" applyAlignment="1">
      <alignment/>
    </xf>
    <xf numFmtId="3" fontId="12" fillId="0" borderId="58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164" fontId="67" fillId="0" borderId="0" xfId="0" applyNumberFormat="1" applyFont="1" applyFill="1" applyBorder="1" applyAlignment="1">
      <alignment horizontal="left"/>
    </xf>
    <xf numFmtId="164" fontId="13" fillId="0" borderId="0" xfId="0" applyNumberFormat="1" applyFont="1" applyFill="1" applyBorder="1" applyAlignment="1">
      <alignment horizontal="left"/>
    </xf>
    <xf numFmtId="3" fontId="38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right"/>
    </xf>
    <xf numFmtId="3" fontId="58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4" fontId="3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left"/>
    </xf>
    <xf numFmtId="3" fontId="68" fillId="0" borderId="0" xfId="0" applyNumberFormat="1" applyFont="1" applyFill="1" applyBorder="1" applyAlignment="1">
      <alignment horizontal="left"/>
    </xf>
    <xf numFmtId="0" fontId="67" fillId="0" borderId="0" xfId="0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0" fontId="67" fillId="0" borderId="0" xfId="0" applyFont="1" applyFill="1" applyAlignment="1">
      <alignment/>
    </xf>
    <xf numFmtId="164" fontId="69" fillId="0" borderId="0" xfId="0" applyNumberFormat="1" applyFont="1" applyFill="1" applyBorder="1" applyAlignment="1">
      <alignment horizontal="left"/>
    </xf>
    <xf numFmtId="0" fontId="70" fillId="0" borderId="0" xfId="0" applyFont="1" applyFill="1" applyBorder="1" applyAlignment="1">
      <alignment horizontal="left"/>
    </xf>
    <xf numFmtId="3" fontId="69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/>
    </xf>
    <xf numFmtId="0" fontId="71" fillId="0" borderId="0" xfId="0" applyFont="1" applyFill="1" applyAlignment="1">
      <alignment/>
    </xf>
    <xf numFmtId="164" fontId="58" fillId="0" borderId="0" xfId="0" applyNumberFormat="1" applyFont="1" applyFill="1" applyBorder="1" applyAlignment="1">
      <alignment/>
    </xf>
    <xf numFmtId="164" fontId="72" fillId="0" borderId="0" xfId="0" applyNumberFormat="1" applyFont="1" applyFill="1" applyBorder="1" applyAlignment="1">
      <alignment/>
    </xf>
    <xf numFmtId="0" fontId="73" fillId="0" borderId="0" xfId="0" applyFont="1" applyFill="1" applyBorder="1" applyAlignment="1">
      <alignment horizontal="right"/>
    </xf>
    <xf numFmtId="0" fontId="73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0" fontId="2" fillId="0" borderId="39" xfId="0" applyFont="1" applyFill="1" applyBorder="1" applyAlignment="1">
      <alignment horizontal="left"/>
    </xf>
    <xf numFmtId="0" fontId="2" fillId="0" borderId="40" xfId="0" applyFont="1" applyFill="1" applyBorder="1" applyAlignment="1">
      <alignment horizontal="left"/>
    </xf>
    <xf numFmtId="3" fontId="2" fillId="0" borderId="40" xfId="0" applyNumberFormat="1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3" fontId="3" fillId="0" borderId="52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38" fillId="0" borderId="0" xfId="0" applyFont="1" applyFill="1" applyAlignment="1">
      <alignment horizontal="left"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38" fillId="0" borderId="0" xfId="0" applyFont="1" applyFill="1" applyAlignment="1">
      <alignment horizontal="left" wrapText="1"/>
    </xf>
    <xf numFmtId="3" fontId="38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0" fontId="38" fillId="0" borderId="0" xfId="0" applyFont="1" applyFill="1" applyBorder="1" applyAlignment="1">
      <alignment wrapText="1"/>
    </xf>
    <xf numFmtId="2" fontId="9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1" fontId="36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 horizontal="right"/>
    </xf>
    <xf numFmtId="0" fontId="94" fillId="0" borderId="0" xfId="0" applyFont="1" applyFill="1" applyBorder="1" applyAlignment="1">
      <alignment/>
    </xf>
    <xf numFmtId="0" fontId="78" fillId="0" borderId="0" xfId="0" applyFont="1" applyFill="1" applyBorder="1" applyAlignment="1">
      <alignment/>
    </xf>
    <xf numFmtId="3" fontId="78" fillId="0" borderId="0" xfId="0" applyNumberFormat="1" applyFont="1" applyFill="1" applyBorder="1" applyAlignment="1">
      <alignment horizontal="center"/>
    </xf>
    <xf numFmtId="3" fontId="78" fillId="0" borderId="0" xfId="0" applyNumberFormat="1" applyFont="1" applyFill="1" applyBorder="1" applyAlignment="1">
      <alignment horizontal="right"/>
    </xf>
    <xf numFmtId="2" fontId="78" fillId="0" borderId="0" xfId="0" applyNumberFormat="1" applyFont="1" applyFill="1" applyBorder="1" applyAlignment="1">
      <alignment horizontal="right"/>
    </xf>
    <xf numFmtId="1" fontId="78" fillId="0" borderId="0" xfId="0" applyNumberFormat="1" applyFont="1" applyFill="1" applyBorder="1" applyAlignment="1">
      <alignment horizontal="right"/>
    </xf>
    <xf numFmtId="0" fontId="77" fillId="0" borderId="0" xfId="0" applyFont="1" applyFill="1" applyBorder="1" applyAlignment="1">
      <alignment horizontal="right"/>
    </xf>
    <xf numFmtId="0" fontId="78" fillId="0" borderId="0" xfId="0" applyFont="1" applyFill="1" applyBorder="1" applyAlignment="1">
      <alignment horizontal="left"/>
    </xf>
    <xf numFmtId="3" fontId="77" fillId="0" borderId="0" xfId="0" applyNumberFormat="1" applyFont="1" applyFill="1" applyBorder="1" applyAlignment="1">
      <alignment horizontal="right"/>
    </xf>
    <xf numFmtId="2" fontId="78" fillId="0" borderId="0" xfId="0" applyNumberFormat="1" applyFont="1" applyFill="1" applyBorder="1" applyAlignment="1">
      <alignment/>
    </xf>
    <xf numFmtId="1" fontId="77" fillId="0" borderId="0" xfId="0" applyNumberFormat="1" applyFont="1" applyFill="1" applyBorder="1" applyAlignment="1">
      <alignment horizontal="right"/>
    </xf>
    <xf numFmtId="0" fontId="94" fillId="0" borderId="0" xfId="0" applyFont="1" applyFill="1" applyBorder="1" applyAlignment="1">
      <alignment horizontal="center"/>
    </xf>
    <xf numFmtId="3" fontId="79" fillId="0" borderId="0" xfId="0" applyNumberFormat="1" applyFont="1" applyFill="1" applyBorder="1" applyAlignment="1">
      <alignment/>
    </xf>
    <xf numFmtId="1" fontId="79" fillId="0" borderId="0" xfId="0" applyNumberFormat="1" applyFont="1" applyFill="1" applyBorder="1" applyAlignment="1">
      <alignment/>
    </xf>
    <xf numFmtId="0" fontId="79" fillId="0" borderId="0" xfId="0" applyFont="1" applyFill="1" applyBorder="1" applyAlignment="1">
      <alignment/>
    </xf>
    <xf numFmtId="2" fontId="77" fillId="0" borderId="0" xfId="0" applyNumberFormat="1" applyFont="1" applyFill="1" applyBorder="1" applyAlignment="1">
      <alignment horizontal="right"/>
    </xf>
    <xf numFmtId="3" fontId="77" fillId="0" borderId="0" xfId="0" applyNumberFormat="1" applyFont="1" applyFill="1" applyBorder="1" applyAlignment="1">
      <alignment horizontal="center"/>
    </xf>
    <xf numFmtId="2" fontId="77" fillId="0" borderId="0" xfId="0" applyNumberFormat="1" applyFont="1" applyFill="1" applyBorder="1" applyAlignment="1">
      <alignment horizontal="center"/>
    </xf>
    <xf numFmtId="1" fontId="77" fillId="0" borderId="0" xfId="0" applyNumberFormat="1" applyFont="1" applyFill="1" applyBorder="1" applyAlignment="1">
      <alignment horizontal="center"/>
    </xf>
    <xf numFmtId="0" fontId="77" fillId="0" borderId="0" xfId="0" applyFont="1" applyFill="1" applyBorder="1" applyAlignment="1">
      <alignment horizontal="center"/>
    </xf>
    <xf numFmtId="2" fontId="77" fillId="0" borderId="0" xfId="0" applyNumberFormat="1" applyFont="1" applyFill="1" applyBorder="1" applyAlignment="1">
      <alignment/>
    </xf>
    <xf numFmtId="1" fontId="77" fillId="0" borderId="0" xfId="0" applyNumberFormat="1" applyFont="1" applyFill="1" applyBorder="1" applyAlignment="1">
      <alignment/>
    </xf>
    <xf numFmtId="10" fontId="77" fillId="0" borderId="0" xfId="0" applyNumberFormat="1" applyFont="1" applyFill="1" applyBorder="1" applyAlignment="1">
      <alignment horizontal="right"/>
    </xf>
    <xf numFmtId="0" fontId="95" fillId="0" borderId="23" xfId="0" applyFont="1" applyFill="1" applyBorder="1" applyAlignment="1">
      <alignment horizontal="center"/>
    </xf>
    <xf numFmtId="3" fontId="95" fillId="0" borderId="54" xfId="0" applyNumberFormat="1" applyFont="1" applyFill="1" applyBorder="1" applyAlignment="1">
      <alignment/>
    </xf>
    <xf numFmtId="3" fontId="43" fillId="0" borderId="24" xfId="0" applyNumberFormat="1" applyFont="1" applyFill="1" applyBorder="1" applyAlignment="1">
      <alignment/>
    </xf>
    <xf numFmtId="3" fontId="95" fillId="0" borderId="39" xfId="0" applyNumberFormat="1" applyFont="1" applyFill="1" applyBorder="1" applyAlignment="1">
      <alignment/>
    </xf>
    <xf numFmtId="3" fontId="95" fillId="0" borderId="13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3" fontId="97" fillId="0" borderId="0" xfId="0" applyNumberFormat="1" applyFont="1" applyFill="1" applyBorder="1" applyAlignment="1">
      <alignment/>
    </xf>
    <xf numFmtId="3" fontId="97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wrapText="1"/>
    </xf>
    <xf numFmtId="3" fontId="97" fillId="0" borderId="0" xfId="0" applyNumberFormat="1" applyFont="1" applyFill="1" applyAlignment="1">
      <alignment horizontal="right"/>
    </xf>
    <xf numFmtId="0" fontId="3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97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wrapText="1"/>
    </xf>
    <xf numFmtId="3" fontId="32" fillId="0" borderId="0" xfId="0" applyNumberFormat="1" applyFont="1" applyFill="1" applyBorder="1" applyAlignment="1">
      <alignment/>
    </xf>
    <xf numFmtId="3" fontId="3" fillId="0" borderId="60" xfId="0" applyNumberFormat="1" applyFont="1" applyFill="1" applyBorder="1" applyAlignment="1">
      <alignment horizontal="center" wrapText="1"/>
    </xf>
    <xf numFmtId="3" fontId="3" fillId="0" borderId="52" xfId="0" applyNumberFormat="1" applyFont="1" applyFill="1" applyBorder="1" applyAlignment="1">
      <alignment horizontal="center"/>
    </xf>
    <xf numFmtId="3" fontId="3" fillId="0" borderId="61" xfId="0" applyNumberFormat="1" applyFont="1" applyFill="1" applyBorder="1" applyAlignment="1">
      <alignment horizontal="center"/>
    </xf>
    <xf numFmtId="3" fontId="3" fillId="0" borderId="62" xfId="0" applyNumberFormat="1" applyFont="1" applyFill="1" applyBorder="1" applyAlignment="1">
      <alignment horizontal="center"/>
    </xf>
    <xf numFmtId="3" fontId="10" fillId="0" borderId="51" xfId="0" applyNumberFormat="1" applyFont="1" applyFill="1" applyBorder="1" applyAlignment="1">
      <alignment/>
    </xf>
    <xf numFmtId="3" fontId="10" fillId="0" borderId="50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51" xfId="0" applyNumberFormat="1" applyFont="1" applyFill="1" applyBorder="1" applyAlignment="1">
      <alignment/>
    </xf>
    <xf numFmtId="3" fontId="3" fillId="0" borderId="50" xfId="0" applyNumberFormat="1" applyFont="1" applyFill="1" applyBorder="1" applyAlignment="1">
      <alignment/>
    </xf>
    <xf numFmtId="3" fontId="11" fillId="0" borderId="41" xfId="0" applyNumberFormat="1" applyFont="1" applyFill="1" applyBorder="1" applyAlignment="1">
      <alignment/>
    </xf>
    <xf numFmtId="3" fontId="11" fillId="0" borderId="63" xfId="0" applyNumberFormat="1" applyFont="1" applyFill="1" applyBorder="1" applyAlignment="1">
      <alignment/>
    </xf>
    <xf numFmtId="3" fontId="11" fillId="0" borderId="64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10" fillId="0" borderId="57" xfId="0" applyNumberFormat="1" applyFont="1" applyFill="1" applyBorder="1" applyAlignment="1">
      <alignment/>
    </xf>
    <xf numFmtId="3" fontId="10" fillId="0" borderId="43" xfId="0" applyNumberFormat="1" applyFont="1" applyFill="1" applyBorder="1" applyAlignment="1">
      <alignment/>
    </xf>
    <xf numFmtId="0" fontId="3" fillId="0" borderId="50" xfId="0" applyFont="1" applyFill="1" applyBorder="1" applyAlignment="1">
      <alignment/>
    </xf>
    <xf numFmtId="3" fontId="3" fillId="0" borderId="41" xfId="0" applyNumberFormat="1" applyFont="1" applyFill="1" applyBorder="1" applyAlignment="1">
      <alignment/>
    </xf>
    <xf numFmtId="3" fontId="3" fillId="0" borderId="63" xfId="0" applyNumberFormat="1" applyFont="1" applyFill="1" applyBorder="1" applyAlignment="1">
      <alignment/>
    </xf>
    <xf numFmtId="3" fontId="3" fillId="0" borderId="64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57" xfId="0" applyNumberFormat="1" applyFont="1" applyFill="1" applyBorder="1" applyAlignment="1">
      <alignment/>
    </xf>
    <xf numFmtId="3" fontId="3" fillId="0" borderId="43" xfId="0" applyNumberFormat="1" applyFont="1" applyFill="1" applyBorder="1" applyAlignment="1">
      <alignment/>
    </xf>
    <xf numFmtId="3" fontId="9" fillId="0" borderId="65" xfId="0" applyNumberFormat="1" applyFont="1" applyFill="1" applyBorder="1" applyAlignment="1">
      <alignment horizontal="center" wrapText="1"/>
    </xf>
    <xf numFmtId="3" fontId="9" fillId="0" borderId="60" xfId="0" applyNumberFormat="1" applyFont="1" applyFill="1" applyBorder="1" applyAlignment="1">
      <alignment horizontal="center" wrapText="1"/>
    </xf>
    <xf numFmtId="3" fontId="9" fillId="0" borderId="62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right"/>
    </xf>
    <xf numFmtId="3" fontId="9" fillId="0" borderId="51" xfId="0" applyNumberFormat="1" applyFont="1" applyFill="1" applyBorder="1" applyAlignment="1">
      <alignment horizontal="right"/>
    </xf>
    <xf numFmtId="3" fontId="9" fillId="0" borderId="50" xfId="0" applyNumberFormat="1" applyFont="1" applyFill="1" applyBorder="1" applyAlignment="1">
      <alignment horizontal="right"/>
    </xf>
    <xf numFmtId="3" fontId="0" fillId="0" borderId="51" xfId="0" applyNumberFormat="1" applyFont="1" applyFill="1" applyBorder="1" applyAlignment="1">
      <alignment/>
    </xf>
    <xf numFmtId="3" fontId="0" fillId="0" borderId="50" xfId="0" applyNumberFormat="1" applyFont="1" applyFill="1" applyBorder="1" applyAlignment="1">
      <alignment/>
    </xf>
    <xf numFmtId="3" fontId="38" fillId="0" borderId="50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3" fontId="38" fillId="0" borderId="64" xfId="0" applyNumberFormat="1" applyFont="1" applyFill="1" applyBorder="1" applyAlignment="1">
      <alignment/>
    </xf>
    <xf numFmtId="3" fontId="36" fillId="0" borderId="10" xfId="0" applyNumberFormat="1" applyFont="1" applyFill="1" applyBorder="1" applyAlignment="1">
      <alignment/>
    </xf>
    <xf numFmtId="3" fontId="36" fillId="0" borderId="57" xfId="0" applyNumberFormat="1" applyFont="1" applyFill="1" applyBorder="1" applyAlignment="1">
      <alignment/>
    </xf>
    <xf numFmtId="3" fontId="36" fillId="0" borderId="43" xfId="0" applyNumberFormat="1" applyFont="1" applyFill="1" applyBorder="1" applyAlignment="1">
      <alignment/>
    </xf>
    <xf numFmtId="3" fontId="36" fillId="0" borderId="13" xfId="0" applyNumberFormat="1" applyFont="1" applyFill="1" applyBorder="1" applyAlignment="1">
      <alignment/>
    </xf>
    <xf numFmtId="3" fontId="36" fillId="0" borderId="51" xfId="0" applyNumberFormat="1" applyFont="1" applyFill="1" applyBorder="1" applyAlignment="1">
      <alignment/>
    </xf>
    <xf numFmtId="3" fontId="36" fillId="0" borderId="50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3" fontId="9" fillId="0" borderId="51" xfId="0" applyNumberFormat="1" applyFont="1" applyFill="1" applyBorder="1" applyAlignment="1">
      <alignment/>
    </xf>
    <xf numFmtId="3" fontId="9" fillId="0" borderId="50" xfId="0" applyNumberFormat="1" applyFont="1" applyFill="1" applyBorder="1" applyAlignment="1">
      <alignment/>
    </xf>
    <xf numFmtId="3" fontId="0" fillId="0" borderId="64" xfId="0" applyNumberFormat="1" applyFont="1" applyFill="1" applyBorder="1" applyAlignment="1">
      <alignment/>
    </xf>
    <xf numFmtId="3" fontId="0" fillId="0" borderId="57" xfId="0" applyNumberFormat="1" applyFont="1" applyFill="1" applyBorder="1" applyAlignment="1">
      <alignment/>
    </xf>
    <xf numFmtId="3" fontId="38" fillId="0" borderId="4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3" fontId="9" fillId="0" borderId="41" xfId="0" applyNumberFormat="1" applyFont="1" applyFill="1" applyBorder="1" applyAlignment="1">
      <alignment/>
    </xf>
    <xf numFmtId="3" fontId="9" fillId="0" borderId="63" xfId="0" applyNumberFormat="1" applyFont="1" applyFill="1" applyBorder="1" applyAlignment="1">
      <alignment/>
    </xf>
    <xf numFmtId="3" fontId="9" fillId="0" borderId="6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14" fontId="3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3" fontId="32" fillId="0" borderId="0" xfId="0" applyNumberFormat="1" applyFont="1" applyFill="1" applyAlignment="1">
      <alignment wrapText="1"/>
    </xf>
    <xf numFmtId="3" fontId="11" fillId="0" borderId="0" xfId="0" applyNumberFormat="1" applyFont="1" applyFill="1" applyAlignment="1">
      <alignment wrapText="1"/>
    </xf>
    <xf numFmtId="3" fontId="4" fillId="0" borderId="0" xfId="0" applyNumberFormat="1" applyFont="1" applyFill="1" applyAlignment="1">
      <alignment wrapText="1"/>
    </xf>
    <xf numFmtId="3" fontId="10" fillId="0" borderId="0" xfId="0" applyNumberFormat="1" applyFont="1" applyFill="1" applyAlignment="1">
      <alignment wrapText="1"/>
    </xf>
    <xf numFmtId="3" fontId="32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0" fontId="98" fillId="0" borderId="0" xfId="0" applyFont="1" applyFill="1" applyBorder="1" applyAlignment="1">
      <alignment horizontal="left"/>
    </xf>
    <xf numFmtId="0" fontId="34" fillId="0" borderId="0" xfId="0" applyFont="1" applyFill="1" applyAlignment="1">
      <alignment horizontal="right"/>
    </xf>
    <xf numFmtId="0" fontId="34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 horizontal="center"/>
    </xf>
    <xf numFmtId="0" fontId="33" fillId="0" borderId="0" xfId="0" applyFont="1" applyFill="1" applyBorder="1" applyAlignment="1">
      <alignment horizontal="center"/>
    </xf>
    <xf numFmtId="14" fontId="33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right"/>
    </xf>
    <xf numFmtId="3" fontId="34" fillId="0" borderId="0" xfId="0" applyNumberFormat="1" applyFont="1" applyFill="1" applyAlignment="1">
      <alignment/>
    </xf>
    <xf numFmtId="3" fontId="33" fillId="0" borderId="0" xfId="0" applyNumberFormat="1" applyFont="1" applyFill="1" applyAlignment="1">
      <alignment/>
    </xf>
    <xf numFmtId="0" fontId="34" fillId="0" borderId="0" xfId="0" applyFont="1" applyFill="1" applyAlignment="1">
      <alignment horizontal="left" wrapText="1"/>
    </xf>
    <xf numFmtId="3" fontId="34" fillId="0" borderId="0" xfId="0" applyNumberFormat="1" applyFont="1" applyFill="1" applyAlignment="1">
      <alignment horizontal="left" wrapText="1"/>
    </xf>
    <xf numFmtId="0" fontId="34" fillId="0" borderId="0" xfId="0" applyFont="1" applyFill="1" applyAlignment="1">
      <alignment horizontal="right" wrapText="1"/>
    </xf>
    <xf numFmtId="3" fontId="34" fillId="0" borderId="0" xfId="0" applyNumberFormat="1" applyFont="1" applyFill="1" applyAlignment="1">
      <alignment horizontal="right" wrapText="1"/>
    </xf>
    <xf numFmtId="3" fontId="34" fillId="0" borderId="0" xfId="0" applyNumberFormat="1" applyFont="1" applyFill="1" applyAlignment="1">
      <alignment wrapText="1"/>
    </xf>
    <xf numFmtId="3" fontId="34" fillId="0" borderId="0" xfId="0" applyNumberFormat="1" applyFont="1" applyFill="1" applyBorder="1" applyAlignment="1">
      <alignment wrapText="1"/>
    </xf>
    <xf numFmtId="3" fontId="34" fillId="0" borderId="0" xfId="0" applyNumberFormat="1" applyFont="1" applyFill="1" applyAlignment="1">
      <alignment horizontal="center"/>
    </xf>
    <xf numFmtId="3" fontId="34" fillId="0" borderId="0" xfId="0" applyNumberFormat="1" applyFont="1" applyFill="1" applyAlignment="1">
      <alignment horizontal="right"/>
    </xf>
    <xf numFmtId="3" fontId="0" fillId="0" borderId="54" xfId="0" applyNumberFormat="1" applyFont="1" applyFill="1" applyBorder="1" applyAlignment="1">
      <alignment wrapText="1"/>
    </xf>
    <xf numFmtId="3" fontId="9" fillId="0" borderId="10" xfId="0" applyNumberFormat="1" applyFont="1" applyFill="1" applyBorder="1" applyAlignment="1">
      <alignment/>
    </xf>
    <xf numFmtId="3" fontId="36" fillId="0" borderId="36" xfId="0" applyNumberFormat="1" applyFont="1" applyFill="1" applyBorder="1" applyAlignment="1">
      <alignment horizontal="center" wrapText="1"/>
    </xf>
    <xf numFmtId="0" fontId="99" fillId="0" borderId="0" xfId="0" applyFont="1" applyFill="1" applyBorder="1" applyAlignment="1" applyProtection="1">
      <alignment horizontal="right"/>
      <protection/>
    </xf>
    <xf numFmtId="0" fontId="21" fillId="0" borderId="19" xfId="56" applyFont="1" applyFill="1" applyBorder="1" applyAlignment="1" applyProtection="1">
      <alignment horizontal="center" vertical="center" wrapText="1"/>
      <protection/>
    </xf>
    <xf numFmtId="0" fontId="52" fillId="0" borderId="19" xfId="56" applyFont="1" applyFill="1" applyBorder="1" applyAlignment="1" applyProtection="1">
      <alignment horizontal="right" vertical="center"/>
      <protection/>
    </xf>
    <xf numFmtId="0" fontId="22" fillId="0" borderId="19" xfId="56" applyFont="1" applyFill="1" applyBorder="1" applyProtection="1">
      <alignment/>
      <protection/>
    </xf>
    <xf numFmtId="0" fontId="22" fillId="0" borderId="19" xfId="56" applyFont="1" applyFill="1" applyBorder="1" applyAlignment="1" applyProtection="1">
      <alignment wrapText="1"/>
      <protection/>
    </xf>
    <xf numFmtId="3" fontId="34" fillId="0" borderId="19" xfId="0" applyNumberFormat="1" applyFont="1" applyFill="1" applyBorder="1" applyAlignment="1">
      <alignment horizontal="right"/>
    </xf>
    <xf numFmtId="0" fontId="52" fillId="19" borderId="19" xfId="56" applyFont="1" applyFill="1" applyBorder="1" applyAlignment="1" applyProtection="1">
      <alignment horizontal="right" vertical="center"/>
      <protection/>
    </xf>
    <xf numFmtId="0" fontId="22" fillId="19" borderId="19" xfId="56" applyFont="1" applyFill="1" applyBorder="1" applyProtection="1">
      <alignment/>
      <protection/>
    </xf>
    <xf numFmtId="0" fontId="21" fillId="0" borderId="19" xfId="56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 vertical="center" wrapText="1"/>
    </xf>
    <xf numFmtId="0" fontId="22" fillId="0" borderId="0" xfId="56" applyFont="1" applyFill="1" applyBorder="1" applyAlignment="1">
      <alignment horizontal="justify" vertical="center" wrapText="1"/>
      <protection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49" fontId="10" fillId="0" borderId="0" xfId="0" applyNumberFormat="1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3" fontId="33" fillId="0" borderId="0" xfId="0" applyNumberFormat="1" applyFont="1" applyFill="1" applyBorder="1" applyAlignment="1">
      <alignment horizontal="right" vertical="top" wrapText="1"/>
    </xf>
    <xf numFmtId="3" fontId="36" fillId="0" borderId="39" xfId="0" applyNumberFormat="1" applyFont="1" applyFill="1" applyBorder="1" applyAlignment="1">
      <alignment/>
    </xf>
    <xf numFmtId="3" fontId="37" fillId="0" borderId="40" xfId="0" applyNumberFormat="1" applyFont="1" applyFill="1" applyBorder="1" applyAlignment="1">
      <alignment wrapText="1"/>
    </xf>
    <xf numFmtId="3" fontId="36" fillId="0" borderId="40" xfId="0" applyNumberFormat="1" applyFont="1" applyFill="1" applyBorder="1" applyAlignment="1">
      <alignment horizontal="right"/>
    </xf>
    <xf numFmtId="3" fontId="36" fillId="0" borderId="33" xfId="0" applyNumberFormat="1" applyFont="1" applyFill="1" applyBorder="1" applyAlignment="1">
      <alignment horizontal="right"/>
    </xf>
    <xf numFmtId="3" fontId="36" fillId="0" borderId="39" xfId="0" applyNumberFormat="1" applyFont="1" applyFill="1" applyBorder="1" applyAlignment="1">
      <alignment horizontal="right"/>
    </xf>
    <xf numFmtId="3" fontId="36" fillId="0" borderId="36" xfId="0" applyNumberFormat="1" applyFont="1" applyFill="1" applyBorder="1" applyAlignment="1">
      <alignment horizontal="right"/>
    </xf>
    <xf numFmtId="0" fontId="77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3" fontId="8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33" fillId="0" borderId="66" xfId="0" applyFont="1" applyFill="1" applyBorder="1" applyAlignment="1">
      <alignment vertical="top" wrapText="1"/>
    </xf>
    <xf numFmtId="3" fontId="34" fillId="0" borderId="67" xfId="0" applyNumberFormat="1" applyFont="1" applyFill="1" applyBorder="1" applyAlignment="1">
      <alignment horizontal="right" vertical="top" wrapText="1"/>
    </xf>
    <xf numFmtId="3" fontId="34" fillId="0" borderId="67" xfId="0" applyNumberFormat="1" applyFont="1" applyFill="1" applyBorder="1" applyAlignment="1">
      <alignment horizontal="right" vertical="center" wrapText="1"/>
    </xf>
    <xf numFmtId="3" fontId="33" fillId="0" borderId="67" xfId="0" applyNumberFormat="1" applyFont="1" applyFill="1" applyBorder="1" applyAlignment="1">
      <alignment horizontal="right" vertical="top" wrapText="1"/>
    </xf>
    <xf numFmtId="3" fontId="33" fillId="0" borderId="45" xfId="0" applyNumberFormat="1" applyFont="1" applyFill="1" applyBorder="1" applyAlignment="1">
      <alignment horizontal="right" vertical="top" wrapText="1"/>
    </xf>
    <xf numFmtId="0" fontId="92" fillId="0" borderId="20" xfId="0" applyFont="1" applyFill="1" applyBorder="1" applyAlignment="1">
      <alignment vertical="top" wrapText="1"/>
    </xf>
    <xf numFmtId="3" fontId="0" fillId="0" borderId="19" xfId="0" applyNumberFormat="1" applyFill="1" applyBorder="1" applyAlignment="1">
      <alignment/>
    </xf>
    <xf numFmtId="3" fontId="34" fillId="0" borderId="19" xfId="0" applyNumberFormat="1" applyFont="1" applyFill="1" applyBorder="1" applyAlignment="1">
      <alignment vertical="top" wrapText="1"/>
    </xf>
    <xf numFmtId="3" fontId="34" fillId="0" borderId="19" xfId="0" applyNumberFormat="1" applyFont="1" applyFill="1" applyBorder="1" applyAlignment="1">
      <alignment horizontal="right" vertical="top" wrapText="1"/>
    </xf>
    <xf numFmtId="3" fontId="33" fillId="0" borderId="46" xfId="0" applyNumberFormat="1" applyFont="1" applyFill="1" applyBorder="1" applyAlignment="1">
      <alignment horizontal="right" vertical="top" wrapText="1"/>
    </xf>
    <xf numFmtId="0" fontId="33" fillId="0" borderId="61" xfId="0" applyFont="1" applyFill="1" applyBorder="1" applyAlignment="1">
      <alignment vertical="top" wrapText="1"/>
    </xf>
    <xf numFmtId="3" fontId="33" fillId="0" borderId="60" xfId="0" applyNumberFormat="1" applyFont="1" applyFill="1" applyBorder="1" applyAlignment="1">
      <alignment horizontal="right" vertical="top" wrapText="1"/>
    </xf>
    <xf numFmtId="3" fontId="33" fillId="0" borderId="47" xfId="0" applyNumberFormat="1" applyFont="1" applyFill="1" applyBorder="1" applyAlignment="1">
      <alignment horizontal="right" vertical="top" wrapText="1"/>
    </xf>
    <xf numFmtId="0" fontId="33" fillId="0" borderId="0" xfId="0" applyFont="1" applyFill="1" applyBorder="1" applyAlignment="1">
      <alignment vertical="top" wrapText="1"/>
    </xf>
    <xf numFmtId="3" fontId="33" fillId="0" borderId="46" xfId="0" applyNumberFormat="1" applyFont="1" applyFill="1" applyBorder="1" applyAlignment="1">
      <alignment horizontal="right" vertical="center" wrapText="1"/>
    </xf>
    <xf numFmtId="3" fontId="0" fillId="0" borderId="19" xfId="0" applyNumberFormat="1" applyFill="1" applyBorder="1" applyAlignment="1">
      <alignment vertical="center"/>
    </xf>
    <xf numFmtId="0" fontId="34" fillId="0" borderId="20" xfId="0" applyFont="1" applyFill="1" applyBorder="1" applyAlignment="1">
      <alignment vertical="top" wrapText="1"/>
    </xf>
    <xf numFmtId="0" fontId="0" fillId="0" borderId="0" xfId="0" applyFill="1" applyBorder="1" applyAlignment="1">
      <alignment horizontal="right"/>
    </xf>
    <xf numFmtId="0" fontId="34" fillId="0" borderId="0" xfId="0" applyFont="1" applyFill="1" applyBorder="1" applyAlignment="1">
      <alignment horizontal="left" vertical="top" wrapText="1"/>
    </xf>
    <xf numFmtId="0" fontId="34" fillId="0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left"/>
    </xf>
    <xf numFmtId="0" fontId="19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right"/>
    </xf>
    <xf numFmtId="0" fontId="3" fillId="0" borderId="5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/>
    </xf>
    <xf numFmtId="0" fontId="3" fillId="0" borderId="52" xfId="0" applyFont="1" applyFill="1" applyBorder="1" applyAlignment="1">
      <alignment horizontal="right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3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33" fillId="0" borderId="23" xfId="0" applyFont="1" applyFill="1" applyBorder="1" applyAlignment="1">
      <alignment horizontal="center" vertical="top" wrapText="1"/>
    </xf>
    <xf numFmtId="0" fontId="33" fillId="0" borderId="24" xfId="0" applyFont="1" applyFill="1" applyBorder="1" applyAlignment="1">
      <alignment horizontal="center" vertical="top" wrapText="1"/>
    </xf>
    <xf numFmtId="0" fontId="33" fillId="0" borderId="30" xfId="0" applyFont="1" applyFill="1" applyBorder="1" applyAlignment="1">
      <alignment horizontal="center" vertical="top" wrapText="1"/>
    </xf>
    <xf numFmtId="0" fontId="9" fillId="0" borderId="40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6" fillId="0" borderId="0" xfId="0" applyFont="1" applyFill="1" applyAlignment="1">
      <alignment horizontal="left"/>
    </xf>
    <xf numFmtId="3" fontId="3" fillId="0" borderId="10" xfId="0" applyNumberFormat="1" applyFont="1" applyFill="1" applyBorder="1" applyAlignment="1">
      <alignment horizontal="center"/>
    </xf>
    <xf numFmtId="3" fontId="3" fillId="0" borderId="53" xfId="0" applyNumberFormat="1" applyFont="1" applyFill="1" applyBorder="1" applyAlignment="1">
      <alignment horizontal="center"/>
    </xf>
    <xf numFmtId="3" fontId="3" fillId="0" borderId="68" xfId="0" applyNumberFormat="1" applyFont="1" applyFill="1" applyBorder="1" applyAlignment="1">
      <alignment horizontal="center"/>
    </xf>
    <xf numFmtId="3" fontId="3" fillId="0" borderId="69" xfId="0" applyNumberFormat="1" applyFont="1" applyFill="1" applyBorder="1" applyAlignment="1">
      <alignment horizontal="center"/>
    </xf>
    <xf numFmtId="3" fontId="3" fillId="0" borderId="70" xfId="0" applyNumberFormat="1" applyFont="1" applyFill="1" applyBorder="1" applyAlignment="1">
      <alignment horizontal="center"/>
    </xf>
    <xf numFmtId="3" fontId="3" fillId="0" borderId="56" xfId="0" applyNumberFormat="1" applyFont="1" applyFill="1" applyBorder="1" applyAlignment="1">
      <alignment horizontal="center"/>
    </xf>
    <xf numFmtId="3" fontId="3" fillId="0" borderId="71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0" borderId="30" xfId="0" applyNumberFormat="1" applyFont="1" applyFill="1" applyBorder="1" applyAlignment="1">
      <alignment horizontal="center"/>
    </xf>
    <xf numFmtId="3" fontId="3" fillId="0" borderId="53" xfId="0" applyNumberFormat="1" applyFont="1" applyFill="1" applyBorder="1" applyAlignment="1">
      <alignment horizontal="center"/>
    </xf>
    <xf numFmtId="3" fontId="3" fillId="0" borderId="72" xfId="0" applyNumberFormat="1" applyFont="1" applyFill="1" applyBorder="1" applyAlignment="1">
      <alignment horizontal="center"/>
    </xf>
    <xf numFmtId="3" fontId="3" fillId="0" borderId="73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9" fillId="0" borderId="30" xfId="0" applyNumberFormat="1" applyFont="1" applyFill="1" applyBorder="1" applyAlignment="1">
      <alignment horizontal="center"/>
    </xf>
    <xf numFmtId="3" fontId="9" fillId="0" borderId="53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9" fillId="0" borderId="39" xfId="0" applyFont="1" applyBorder="1" applyAlignment="1">
      <alignment horizontal="center" wrapText="1"/>
    </xf>
    <xf numFmtId="0" fontId="33" fillId="0" borderId="0" xfId="0" applyFont="1" applyFill="1" applyBorder="1" applyAlignment="1">
      <alignment horizontal="center" vertical="top" wrapText="1"/>
    </xf>
    <xf numFmtId="0" fontId="15" fillId="0" borderId="73" xfId="0" applyFont="1" applyFill="1" applyBorder="1" applyAlignment="1">
      <alignment horizontal="center"/>
    </xf>
    <xf numFmtId="0" fontId="33" fillId="0" borderId="70" xfId="0" applyFont="1" applyFill="1" applyBorder="1" applyAlignment="1">
      <alignment horizontal="center" vertical="top" wrapText="1"/>
    </xf>
    <xf numFmtId="0" fontId="33" fillId="0" borderId="15" xfId="0" applyFont="1" applyFill="1" applyBorder="1" applyAlignment="1">
      <alignment horizontal="center" vertical="top" wrapText="1"/>
    </xf>
    <xf numFmtId="0" fontId="33" fillId="0" borderId="74" xfId="0" applyFont="1" applyFill="1" applyBorder="1" applyAlignment="1">
      <alignment horizontal="center" vertical="top" wrapText="1"/>
    </xf>
    <xf numFmtId="0" fontId="33" fillId="0" borderId="14" xfId="0" applyFont="1" applyFill="1" applyBorder="1" applyAlignment="1">
      <alignment horizontal="center" vertical="top" wrapText="1"/>
    </xf>
    <xf numFmtId="0" fontId="33" fillId="0" borderId="68" xfId="0" applyFont="1" applyFill="1" applyBorder="1" applyAlignment="1">
      <alignment horizontal="center" vertical="top" wrapText="1"/>
    </xf>
    <xf numFmtId="0" fontId="9" fillId="0" borderId="51" xfId="0" applyFont="1" applyFill="1" applyBorder="1" applyAlignment="1">
      <alignment/>
    </xf>
    <xf numFmtId="3" fontId="36" fillId="0" borderId="39" xfId="0" applyNumberFormat="1" applyFont="1" applyFill="1" applyBorder="1" applyAlignment="1">
      <alignment horizontal="center"/>
    </xf>
    <xf numFmtId="3" fontId="0" fillId="0" borderId="40" xfId="0" applyNumberForma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40" xfId="0" applyNumberFormat="1" applyFill="1" applyBorder="1" applyAlignment="1">
      <alignment horizontal="center"/>
    </xf>
    <xf numFmtId="3" fontId="0" fillId="0" borderId="36" xfId="0" applyNumberFormat="1" applyFill="1" applyBorder="1" applyAlignment="1">
      <alignment horizontal="center"/>
    </xf>
    <xf numFmtId="3" fontId="0" fillId="0" borderId="40" xfId="0" applyNumberFormat="1" applyFont="1" applyFill="1" applyBorder="1" applyAlignment="1">
      <alignment horizontal="center"/>
    </xf>
    <xf numFmtId="3" fontId="0" fillId="0" borderId="36" xfId="0" applyNumberFormat="1" applyFont="1" applyFill="1" applyBorder="1" applyAlignment="1">
      <alignment horizontal="center"/>
    </xf>
    <xf numFmtId="3" fontId="0" fillId="0" borderId="39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wrapText="1"/>
    </xf>
    <xf numFmtId="0" fontId="38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/>
    </xf>
    <xf numFmtId="0" fontId="6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8" fillId="0" borderId="0" xfId="0" applyFont="1" applyFill="1" applyAlignment="1">
      <alignment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22" fillId="0" borderId="0" xfId="56" applyFont="1" applyFill="1" applyBorder="1" applyAlignment="1">
      <alignment horizontal="justify" vertical="center" wrapText="1"/>
      <protection/>
    </xf>
    <xf numFmtId="168" fontId="21" fillId="0" borderId="0" xfId="56" applyNumberFormat="1" applyFont="1" applyFill="1" applyBorder="1" applyAlignment="1" applyProtection="1">
      <alignment horizontal="center" vertical="center" wrapText="1"/>
      <protection/>
    </xf>
    <xf numFmtId="0" fontId="40" fillId="0" borderId="0" xfId="58" applyFont="1" applyFill="1" applyBorder="1" applyAlignment="1" applyProtection="1">
      <alignment horizontal="center" wrapText="1"/>
      <protection locked="0"/>
    </xf>
    <xf numFmtId="0" fontId="40" fillId="0" borderId="52" xfId="58" applyFont="1" applyFill="1" applyBorder="1" applyAlignment="1" applyProtection="1">
      <alignment horizontal="center" wrapText="1"/>
      <protection locked="0"/>
    </xf>
    <xf numFmtId="0" fontId="46" fillId="0" borderId="44" xfId="58" applyFont="1" applyFill="1" applyBorder="1" applyAlignment="1" applyProtection="1">
      <alignment horizontal="left" vertical="center" indent="1"/>
      <protection/>
    </xf>
    <xf numFmtId="0" fontId="46" fillId="0" borderId="40" xfId="58" applyFont="1" applyFill="1" applyBorder="1" applyAlignment="1" applyProtection="1">
      <alignment horizontal="left" vertical="center" indent="1"/>
      <protection/>
    </xf>
    <xf numFmtId="0" fontId="46" fillId="0" borderId="53" xfId="58" applyFont="1" applyFill="1" applyBorder="1" applyAlignment="1" applyProtection="1">
      <alignment horizontal="left" vertical="center" indent="1"/>
      <protection/>
    </xf>
    <xf numFmtId="0" fontId="46" fillId="0" borderId="36" xfId="58" applyFont="1" applyFill="1" applyBorder="1" applyAlignment="1" applyProtection="1">
      <alignment horizontal="left" vertical="center" indent="1"/>
      <protection/>
    </xf>
    <xf numFmtId="0" fontId="0" fillId="0" borderId="0" xfId="0" applyAlignment="1">
      <alignment horizontal="right"/>
    </xf>
    <xf numFmtId="0" fontId="40" fillId="0" borderId="0" xfId="58" applyFont="1" applyFill="1" applyAlignment="1" applyProtection="1">
      <alignment horizontal="center" vertical="center" wrapText="1"/>
      <protection/>
    </xf>
    <xf numFmtId="0" fontId="40" fillId="0" borderId="0" xfId="58" applyFont="1" applyFill="1" applyAlignment="1" applyProtection="1">
      <alignment horizontal="center" vertical="center"/>
      <protection/>
    </xf>
    <xf numFmtId="0" fontId="40" fillId="0" borderId="0" xfId="58" applyFont="1" applyFill="1" applyAlignment="1" applyProtection="1">
      <alignment horizontal="center" wrapText="1"/>
      <protection/>
    </xf>
    <xf numFmtId="0" fontId="40" fillId="0" borderId="0" xfId="58" applyFont="1" applyFill="1" applyAlignment="1" applyProtection="1">
      <alignment horizontal="center"/>
      <protection/>
    </xf>
    <xf numFmtId="0" fontId="47" fillId="0" borderId="10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47" fillId="0" borderId="53" xfId="0" applyFont="1" applyBorder="1" applyAlignment="1">
      <alignment horizontal="center"/>
    </xf>
    <xf numFmtId="0" fontId="21" fillId="0" borderId="0" xfId="0" applyFont="1" applyBorder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VRENMUNKA" xfId="56"/>
    <cellStyle name="Normál_Munka1" xfId="57"/>
    <cellStyle name="Normál_SEGED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externalLink" Target="externalLinks/externalLink6.xml" /><Relationship Id="rId34" Type="http://schemas.openxmlformats.org/officeDocument/2006/relationships/externalLink" Target="externalLinks/externalLink7.xml" /><Relationship Id="rId35" Type="http://schemas.openxmlformats.org/officeDocument/2006/relationships/externalLink" Target="externalLinks/externalLink8.xml" /><Relationship Id="rId36" Type="http://schemas.openxmlformats.org/officeDocument/2006/relationships/externalLink" Target="externalLinks/externalLink9.xml" /><Relationship Id="rId37" Type="http://schemas.openxmlformats.org/officeDocument/2006/relationships/externalLink" Target="externalLinks/externalLink10.xml" /><Relationship Id="rId38" Type="http://schemas.openxmlformats.org/officeDocument/2006/relationships/externalLink" Target="externalLinks/externalLink11.xml" /><Relationship Id="rId39" Type="http://schemas.openxmlformats.org/officeDocument/2006/relationships/externalLink" Target="externalLinks/externalLink12.xml" /><Relationship Id="rId40" Type="http://schemas.openxmlformats.org/officeDocument/2006/relationships/externalLink" Target="externalLinks/externalLink13.xml" /><Relationship Id="rId41" Type="http://schemas.openxmlformats.org/officeDocument/2006/relationships/externalLink" Target="externalLinks/externalLink14.xml" /><Relationship Id="rId42" Type="http://schemas.openxmlformats.org/officeDocument/2006/relationships/externalLink" Target="externalLinks/externalLink15.xml" /><Relationship Id="rId43" Type="http://schemas.openxmlformats.org/officeDocument/2006/relationships/externalLink" Target="externalLinks/externalLink16.xml" /><Relationship Id="rId44" Type="http://schemas.openxmlformats.org/officeDocument/2006/relationships/externalLink" Target="externalLinks/externalLink17.xml" /><Relationship Id="rId45" Type="http://schemas.openxmlformats.org/officeDocument/2006/relationships/externalLink" Target="externalLinks/externalLink18.xml" /><Relationship Id="rId46" Type="http://schemas.openxmlformats.org/officeDocument/2006/relationships/externalLink" Target="externalLinks/externalLink19.xml" /><Relationship Id="rId4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RBNLA~1\LOCALS~1\Temp\k&#246;ltjavaslat2011csak%20seg&#237;ts&#233;gnek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2015\K&#246;lts&#233;gvet&#233;s%202015\&#214;K\&#214;K%202015.%20eredeti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ANCSA%202014\El&#337;terjeszt&#233;s%20a%202014.%20I.f&#233;l&#233;v%20gazd&#225;lkod&#225;s&#225;r&#243;l\k&#246;ltm&#243;d&#225;prilis%20el&#337;terjeszt&#233;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ANCSA%202014\El&#337;terjeszt&#233;s%20a%202014.%20I.f&#233;l&#233;v%20gazd&#225;lkod&#225;s&#225;r&#243;l\2014.%20els&#337;%20f&#233;l&#233;ves%20gazd&#225;lkod&#225;si%20adatok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2015\K&#246;lts&#233;gvet&#233;s%202015\VSZ\VSZ%20sz&#246;veges%202014%20tervezet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2015\K&#246;lts&#233;gvet&#233;s%202015\K&#214;NYVT&#193;R\K&#246;nyvt&#225;r%202015.%20&#233;vi%20sz&#246;veges%20k&#246;lts&#233;gvet&#233;s%20terveze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2015\K&#246;lts&#233;gvet&#233;s%202015\ESZESZ\ESZESZ%20%202015.%20%20%20eredeti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V&#214;01\Documents\2015\K&#246;lts&#233;gvet&#233;s%202015\2015.K&#214;LTS&#201;GVET&#201;S\ktgvet&#233;s%202.fordul&#243;\Int&#233;zm&#233;nyi%20sz&#246;veges%20ktgvet&#233;s%202015.01\PH\PH%202015.%20&#233;vi%20tervezet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V&#214;01\Documents\2015\K&#246;lts&#233;gvet&#233;s%202015\2015.K&#214;LTS&#201;GVET&#201;S\ktgvet&#233;s%202.fordul&#243;\Int&#233;zm&#233;nyi%20sz&#246;veges%20ktgvet&#233;s%202015.01\&#214;K\&#214;K%202015.%20k&#246;lts&#233;gvet&#233;s%20sz&#246;veges%20tervezet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2015\K&#246;lts&#233;gvet&#233;s%202015\2015.K&#214;LTS&#201;GVET&#201;S\ktgvet&#233;s%202.fordul&#243;\Int&#233;zm&#233;nyi%20sz&#246;veges%20ktgvet&#233;s%202015.01\PH\PH%202015.%20%20%20%20eredeti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2015\K&#246;lts&#233;gvet&#233;s%202015\2015.K&#214;LTS&#201;GVET&#201;S\ktgvet&#233;s%202.fordul&#243;\Int&#233;zm&#233;nyi%20sz&#246;veges%20ktgvet&#233;s%202015.01\VSZ\VSZ%20sz&#246;veges%20k&#246;lts&#233;gvet&#233;s%20tervezet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NT&#201;S_C\Documents%20and%20Settings\Kocsisn&#233;\Dokumentumok\Marian2012\k&#246;ltm&#243;d2012&#233;v\november\k&#246;ltm&#243;dnovember2012%20elfogadot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ENT&#201;S_C\Documents%20and%20Settings\Kocsisn&#233;\Dokumentumok\Marian2012\k&#246;lts&#233;gvet&#233;s\2012.&#233;vi%20k&#246;lts&#233;gvet&#233;s\elfogadott%202012.&#233;vi%20k&#246;lts&#233;gvet&#233;s\2012.&#233;vi%20k&#246;lts&#233;gvet&#233;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csisn&#233;\Dokumentumok\Marian2012\l&#233;tsz&#225;mcs&#246;kkent&#233;s\2012.&#233;vi%20k&#246;lts&#233;gvet&#233;s%20l&#233;tsz&#225;mcs&#246;kkent&#233;shez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ESZESZ\ESZESZ%202014%20&#233;vi%20sz&#246;veges%20k&#246;lts&#233;gvet&#233;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2015\K&#246;lts&#233;gvet&#233;s%202015\PH\PH%202015.%20%20%20%20eredet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2015\K&#246;lts&#233;gvet&#233;s%202015\PH\PH%20sz&#246;veges%20k&#246;lt.2014%20elfogadot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015.%20&#233;vi%20ktgvet&#233;s%20&#246;ssz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2015\K&#246;lts&#233;gvet&#233;s%202015\&#214;K\&#214;K%202015.%20k&#246;lts&#233;gvet&#233;s%20sz&#246;veges%20tervez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erb_ök_"/>
      <sheetName val="román ök_"/>
      <sheetName val="cigány"/>
      <sheetName val="eszesz"/>
      <sheetName val="vsz"/>
      <sheetName val="Gimi"/>
      <sheetName val="könyvtár"/>
      <sheetName val="Óvoda"/>
      <sheetName val="románok"/>
      <sheetName val="szia"/>
      <sheetName val="szerbek"/>
      <sheetName val="kultúr"/>
      <sheetName val="2mell 2ápr"/>
      <sheetName val="2mell_2"/>
      <sheetName val="Munka2"/>
      <sheetName val="2mell2011k"/>
      <sheetName val="2mell2011"/>
      <sheetName val="2mell 1ápr"/>
      <sheetName val="2mell_1"/>
      <sheetName val="létszám jó"/>
      <sheetName val="er.ei.felhalmozás09"/>
      <sheetName val="felhalmozás"/>
      <sheetName val="szoc jó"/>
      <sheetName val="felhalm2010"/>
      <sheetName val="felhmérleg"/>
      <sheetName val="felh_mérleg"/>
      <sheetName val="felh bev"/>
      <sheetName val="átadott"/>
      <sheetName val="int10"/>
      <sheetName val="norm2011"/>
      <sheetName val="Munka1"/>
      <sheetName val="norm"/>
      <sheetName val="több  éves kötelezettség"/>
      <sheetName val="polg_hiv_"/>
      <sheetName val="kincstár fin_terv"/>
      <sheetName val="_PH_ei_felh_terv_"/>
      <sheetName val="román eifelh"/>
      <sheetName val="szerbeifelh"/>
      <sheetName val="közösségi ell"/>
      <sheetName val="likviditási terv"/>
      <sheetName val="1mell1"/>
      <sheetName val="3 éves terv"/>
      <sheetName val="1mell1a"/>
      <sheetName val="1mell2"/>
    </sheetNames>
    <sheetDataSet>
      <sheetData sheetId="17">
        <row r="28">
          <cell r="A28" t="str">
            <v>Városellátó  Szervezet</v>
          </cell>
        </row>
        <row r="32">
          <cell r="A32" t="str">
            <v>Egészségügyi és Szociális Ellátó Szervezet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unka8"/>
      <sheetName val="011130"/>
      <sheetName val="Közhatalmi bevételek"/>
      <sheetName val="Állami támog."/>
      <sheetName val="intézmények finansz"/>
      <sheetName val="mezőőr"/>
      <sheetName val="Munka2"/>
      <sheetName val="Munka10"/>
      <sheetName val="közmunka"/>
      <sheetName val="tűtoltók"/>
      <sheetName val="Munka11"/>
      <sheetName val="Munka1"/>
      <sheetName val="Munka14"/>
      <sheetName val="Munka13"/>
      <sheetName val="össz."/>
      <sheetName val="összesítés"/>
      <sheetName val="üzletbér, tart.föld"/>
      <sheetName val="lakbér"/>
      <sheetName val="Munka3"/>
    </sheetNames>
    <sheetDataSet>
      <sheetData sheetId="5">
        <row r="5">
          <cell r="J5">
            <v>1524000</v>
          </cell>
        </row>
        <row r="7">
          <cell r="J7">
            <v>412000</v>
          </cell>
        </row>
        <row r="27">
          <cell r="J27">
            <v>2191000</v>
          </cell>
        </row>
      </sheetData>
      <sheetData sheetId="8">
        <row r="5">
          <cell r="I5">
            <v>2362000</v>
          </cell>
        </row>
        <row r="8">
          <cell r="I8">
            <v>638000</v>
          </cell>
        </row>
        <row r="27">
          <cell r="I27">
            <v>2000000</v>
          </cell>
        </row>
      </sheetData>
      <sheetData sheetId="9">
        <row r="15">
          <cell r="J15">
            <v>507000</v>
          </cell>
        </row>
      </sheetData>
      <sheetData sheetId="10">
        <row r="6">
          <cell r="J6">
            <v>200000</v>
          </cell>
        </row>
      </sheetData>
      <sheetData sheetId="11">
        <row r="10">
          <cell r="J10">
            <v>4800000</v>
          </cell>
        </row>
      </sheetData>
      <sheetData sheetId="15">
        <row r="121">
          <cell r="H121">
            <v>157927000</v>
          </cell>
        </row>
      </sheetData>
      <sheetData sheetId="16">
        <row r="23">
          <cell r="D23">
            <v>1643000</v>
          </cell>
        </row>
      </sheetData>
      <sheetData sheetId="17">
        <row r="22">
          <cell r="D22">
            <v>1867000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unka11"/>
      <sheetName val="ÖK likviditási terv"/>
      <sheetName val="likviditási terv 2014"/>
      <sheetName val="ÖK finansz."/>
      <sheetName val="könyvtár fin terv"/>
      <sheetName val="vsz finterv"/>
      <sheetName val="eszesz finterv"/>
      <sheetName val="PH ei.felh."/>
      <sheetName val="Munka5"/>
      <sheetName val="rendeletkönyv"/>
      <sheetName val="pfkiadás"/>
      <sheetName val="pfbevétel"/>
      <sheetName val="bevétel"/>
      <sheetName val="kiadás"/>
      <sheetName val="átadott"/>
      <sheetName val="segélyek"/>
      <sheetName val="felh."/>
      <sheetName val="több éves"/>
      <sheetName val="állami 2014"/>
      <sheetName val="állami"/>
      <sheetName val="felhalmozási bevétel"/>
      <sheetName val="felh.mérleg"/>
      <sheetName val="nem"/>
      <sheetName val="ph szakfeladatok"/>
      <sheetName val="szakfeladatonként ök összesen"/>
      <sheetName val="közösségi ellátás"/>
      <sheetName val="létszám"/>
      <sheetName val="konszolidáció"/>
      <sheetName val="Munka2"/>
      <sheetName val="Munka1"/>
      <sheetName val="Munka3"/>
      <sheetName val="Munka4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evétel részl."/>
      <sheetName val="kiadás részl."/>
      <sheetName val="bevétel"/>
      <sheetName val="kiadás"/>
      <sheetName val="átadott pe."/>
      <sheetName val="szoc. támog."/>
      <sheetName val="létszám"/>
      <sheetName val="felhalm.kiadás"/>
      <sheetName val="felhalm.bevétel"/>
      <sheetName val="felhalm.bevétel-kiadás"/>
      <sheetName val="állami támogatás"/>
      <sheetName val="saját bev-ek részl."/>
      <sheetName val="több éves kihatású köt.váll-ok"/>
    </sheetNames>
    <sheetDataSet>
      <sheetData sheetId="3">
        <row r="24">
          <cell r="G24">
            <v>18936</v>
          </cell>
        </row>
        <row r="29">
          <cell r="G29">
            <v>167707</v>
          </cell>
        </row>
      </sheetData>
      <sheetData sheetId="9">
        <row r="13">
          <cell r="H13">
            <v>1200</v>
          </cell>
        </row>
        <row r="14">
          <cell r="H14">
            <v>1867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, fedőlap"/>
      <sheetName val="BÉR 2015"/>
      <sheetName val="013320 - köztem.fennt."/>
      <sheetName val="013360 -"/>
      <sheetName val="047120 - Piac, nyilvános WC"/>
      <sheetName val="381104 - szeméttelep"/>
      <sheetName val="064010 - közvilágítás"/>
      <sheetName val="081030 - sportlét.műk."/>
      <sheetName val="900080 - konyha"/>
      <sheetName val="összesen"/>
      <sheetName val="013350 - üzletbér, tart,föld,"/>
      <sheetName val="106010 - lakbér"/>
      <sheetName val="360000 - közkifolyók"/>
      <sheetName val="Munka1"/>
      <sheetName val="összesítő új"/>
      <sheetName val="bérek 2014"/>
      <sheetName val="bérek 2013"/>
      <sheetName val="750000 - gyepmester"/>
      <sheetName val="522110 - buszváró"/>
      <sheetName val="fterv"/>
      <sheetName val="Munka3"/>
    </sheetNames>
    <sheetDataSet>
      <sheetData sheetId="2">
        <row r="9">
          <cell r="H9">
            <v>419</v>
          </cell>
        </row>
        <row r="22">
          <cell r="H22">
            <v>311</v>
          </cell>
        </row>
      </sheetData>
      <sheetData sheetId="3">
        <row r="8">
          <cell r="I8">
            <v>1651</v>
          </cell>
        </row>
      </sheetData>
      <sheetData sheetId="4">
        <row r="9">
          <cell r="H9">
            <v>2159</v>
          </cell>
        </row>
        <row r="20">
          <cell r="H20">
            <v>240</v>
          </cell>
        </row>
        <row r="23">
          <cell r="H23">
            <v>64.80000000000001</v>
          </cell>
        </row>
        <row r="26">
          <cell r="H26">
            <v>565</v>
          </cell>
        </row>
      </sheetData>
      <sheetData sheetId="5">
        <row r="15">
          <cell r="H15">
            <v>28</v>
          </cell>
        </row>
      </sheetData>
      <sheetData sheetId="6">
        <row r="15">
          <cell r="H15">
            <v>46335</v>
          </cell>
        </row>
      </sheetData>
      <sheetData sheetId="7">
        <row r="16">
          <cell r="I16">
            <v>3372</v>
          </cell>
        </row>
        <row r="21">
          <cell r="I21">
            <v>910</v>
          </cell>
        </row>
        <row r="25">
          <cell r="I25">
            <v>3527</v>
          </cell>
        </row>
      </sheetData>
      <sheetData sheetId="8">
        <row r="9">
          <cell r="I9">
            <v>76517.5</v>
          </cell>
        </row>
        <row r="27">
          <cell r="I27">
            <v>17138</v>
          </cell>
        </row>
        <row r="32">
          <cell r="I32">
            <v>4637</v>
          </cell>
        </row>
        <row r="37">
          <cell r="I37">
            <v>54204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interv"/>
      <sheetName val="előlap"/>
      <sheetName val="bér"/>
      <sheetName val="082042 Könyvt.áll.gyar."/>
      <sheetName val="082043 Könyvt.áll.védelme"/>
      <sheetName val="082044 Könyvtári szolg."/>
      <sheetName val="082061 Múzeumi tev."/>
      <sheetName val="082091  Közművelődés"/>
      <sheetName val="összes"/>
    </sheetNames>
    <sheetDataSet>
      <sheetData sheetId="3">
        <row r="10">
          <cell r="H10">
            <v>1639</v>
          </cell>
        </row>
      </sheetData>
      <sheetData sheetId="4">
        <row r="9">
          <cell r="H9">
            <v>127</v>
          </cell>
        </row>
      </sheetData>
      <sheetData sheetId="5">
        <row r="10">
          <cell r="I10">
            <v>750</v>
          </cell>
        </row>
        <row r="24">
          <cell r="I24">
            <v>6256</v>
          </cell>
        </row>
        <row r="31">
          <cell r="I31">
            <v>1695</v>
          </cell>
        </row>
        <row r="37">
          <cell r="I37">
            <v>5624</v>
          </cell>
        </row>
      </sheetData>
      <sheetData sheetId="6">
        <row r="16">
          <cell r="I16">
            <v>1729</v>
          </cell>
        </row>
        <row r="20">
          <cell r="I20">
            <v>467</v>
          </cell>
        </row>
        <row r="24">
          <cell r="I24">
            <v>648</v>
          </cell>
        </row>
      </sheetData>
      <sheetData sheetId="7">
        <row r="11">
          <cell r="I11">
            <v>3250</v>
          </cell>
        </row>
        <row r="23">
          <cell r="I23">
            <v>4584</v>
          </cell>
        </row>
        <row r="37">
          <cell r="I37">
            <v>1232</v>
          </cell>
        </row>
        <row r="41">
          <cell r="I41">
            <v>1567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Korm.funkció"/>
      <sheetName val="háziorvos"/>
      <sheetName val="fogorvos"/>
      <sheetName val="labor"/>
      <sheetName val="fizikot."/>
      <sheetName val="védőnő"/>
      <sheetName val="ifj-eü.gond."/>
      <sheetName val="közösségi ell."/>
      <sheetName val="idősek és demens nappali ell."/>
      <sheetName val="gyerekjólét"/>
      <sheetName val="szoc.étk"/>
      <sheetName val="házi seg.ny."/>
      <sheetName val="családsegítő"/>
      <sheetName val="összesen"/>
      <sheetName val="Munka1"/>
    </sheetNames>
    <sheetDataSet>
      <sheetData sheetId="1">
        <row r="9">
          <cell r="F9">
            <v>5218000</v>
          </cell>
        </row>
        <row r="13">
          <cell r="F13">
            <v>1409000</v>
          </cell>
        </row>
        <row r="52">
          <cell r="F52">
            <v>3115000</v>
          </cell>
        </row>
        <row r="56">
          <cell r="F56">
            <v>8051000</v>
          </cell>
        </row>
        <row r="61">
          <cell r="F61">
            <v>445000</v>
          </cell>
        </row>
      </sheetData>
      <sheetData sheetId="2">
        <row r="10">
          <cell r="F10">
            <v>8664000</v>
          </cell>
        </row>
        <row r="12">
          <cell r="F12">
            <v>2234000</v>
          </cell>
        </row>
        <row r="48">
          <cell r="F48">
            <v>3863000</v>
          </cell>
        </row>
        <row r="59">
          <cell r="F59">
            <v>13614000</v>
          </cell>
        </row>
      </sheetData>
      <sheetData sheetId="3">
        <row r="7">
          <cell r="F7">
            <v>1742000</v>
          </cell>
        </row>
        <row r="9">
          <cell r="F9">
            <v>470000</v>
          </cell>
        </row>
        <row r="44">
          <cell r="F44">
            <v>1258000</v>
          </cell>
        </row>
        <row r="48">
          <cell r="F48">
            <v>3383000</v>
          </cell>
        </row>
      </sheetData>
      <sheetData sheetId="4">
        <row r="9">
          <cell r="F9">
            <v>2564000</v>
          </cell>
        </row>
        <row r="11">
          <cell r="F11">
            <v>692000</v>
          </cell>
        </row>
        <row r="42">
          <cell r="F42">
            <v>2480000</v>
          </cell>
        </row>
        <row r="46">
          <cell r="F46">
            <v>862000</v>
          </cell>
        </row>
      </sheetData>
      <sheetData sheetId="5">
        <row r="12">
          <cell r="F12">
            <v>6949000</v>
          </cell>
        </row>
        <row r="14">
          <cell r="F14">
            <v>1719000</v>
          </cell>
        </row>
        <row r="50">
          <cell r="F50">
            <v>4973000</v>
          </cell>
        </row>
        <row r="54">
          <cell r="F54">
            <v>13601000</v>
          </cell>
        </row>
      </sheetData>
      <sheetData sheetId="6">
        <row r="5">
          <cell r="F5">
            <v>489000</v>
          </cell>
        </row>
        <row r="9">
          <cell r="F9">
            <v>489000</v>
          </cell>
        </row>
      </sheetData>
      <sheetData sheetId="7">
        <row r="8">
          <cell r="F8">
            <v>4731000</v>
          </cell>
        </row>
        <row r="10">
          <cell r="F10">
            <v>1180000</v>
          </cell>
        </row>
        <row r="42">
          <cell r="F42">
            <v>2089000</v>
          </cell>
        </row>
      </sheetData>
      <sheetData sheetId="8">
        <row r="9">
          <cell r="F9">
            <v>13642000</v>
          </cell>
        </row>
        <row r="11">
          <cell r="F11">
            <v>3683340.0000000005</v>
          </cell>
        </row>
        <row r="45">
          <cell r="F45">
            <v>1706000</v>
          </cell>
        </row>
        <row r="49">
          <cell r="F49">
            <v>2500000</v>
          </cell>
        </row>
      </sheetData>
      <sheetData sheetId="9">
        <row r="12">
          <cell r="F12">
            <v>7238000</v>
          </cell>
        </row>
        <row r="15">
          <cell r="F15">
            <v>1941000</v>
          </cell>
        </row>
        <row r="52">
          <cell r="F52">
            <v>1556000</v>
          </cell>
        </row>
      </sheetData>
      <sheetData sheetId="10">
        <row r="8">
          <cell r="F8">
            <v>1558000</v>
          </cell>
        </row>
        <row r="11">
          <cell r="F11">
            <v>421000</v>
          </cell>
        </row>
        <row r="30">
          <cell r="F30">
            <v>16435000</v>
          </cell>
        </row>
        <row r="36">
          <cell r="F36">
            <v>6541000</v>
          </cell>
        </row>
      </sheetData>
      <sheetData sheetId="11">
        <row r="9">
          <cell r="F9">
            <v>7861000</v>
          </cell>
        </row>
        <row r="11">
          <cell r="F11">
            <v>2122000</v>
          </cell>
        </row>
        <row r="41">
          <cell r="F41">
            <v>571000</v>
          </cell>
        </row>
        <row r="45">
          <cell r="F45">
            <v>100000</v>
          </cell>
        </row>
      </sheetData>
      <sheetData sheetId="12">
        <row r="11">
          <cell r="F11">
            <v>7755000</v>
          </cell>
        </row>
        <row r="16">
          <cell r="F16">
            <v>2080000</v>
          </cell>
        </row>
        <row r="56">
          <cell r="F56">
            <v>3454000</v>
          </cell>
        </row>
        <row r="76">
          <cell r="F76">
            <v>851000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össz"/>
      <sheetName val="BÉR 2015."/>
      <sheetName val="2015"/>
      <sheetName val="011130-1 ált.igazgatás"/>
      <sheetName val="105010-1 mnélk. aktív korúak el"/>
      <sheetName val="106020-1 lft"/>
      <sheetName val="Munka3"/>
      <sheetName val="751153"/>
      <sheetName val="emelt 08"/>
      <sheetName val="bérek08"/>
      <sheetName val="PH08"/>
      <sheetName val="PH09"/>
      <sheetName val="Munka1"/>
      <sheetName val="ÖK 2014"/>
      <sheetName val="PH 2013"/>
      <sheetName val="Munka4"/>
      <sheetName val="PH 2014"/>
      <sheetName val="bér 2014"/>
      <sheetName val="közhasznúak"/>
      <sheetName val="Munka2"/>
    </sheetNames>
    <sheetDataSet>
      <sheetData sheetId="3">
        <row r="39">
          <cell r="I39">
            <v>102667</v>
          </cell>
        </row>
        <row r="77">
          <cell r="I77">
            <v>27876</v>
          </cell>
        </row>
        <row r="83">
          <cell r="I83">
            <v>30856</v>
          </cell>
        </row>
        <row r="139">
          <cell r="I139">
            <v>2000</v>
          </cell>
        </row>
        <row r="147">
          <cell r="I147">
            <v>1000</v>
          </cell>
        </row>
      </sheetData>
      <sheetData sheetId="4">
        <row r="13">
          <cell r="I13">
            <v>23262</v>
          </cell>
        </row>
      </sheetData>
      <sheetData sheetId="5">
        <row r="13">
          <cell r="I13">
            <v>20176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össz"/>
      <sheetName val="2015"/>
      <sheetName val="igazgatás"/>
      <sheetName val="közhatalmi bevét."/>
      <sheetName val="állami támog."/>
      <sheetName val="int.finansz."/>
      <sheetName val="mezőőr"/>
      <sheetName val="013350- üzletbér, tart.föld"/>
      <sheetName val="közmunka"/>
      <sheetName val="tűzoltók"/>
      <sheetName val="gyvt"/>
      <sheetName val="családtámog."/>
      <sheetName val="106010-1 lakbér"/>
      <sheetName val="Munka3"/>
      <sheetName val="751153"/>
      <sheetName val="emelt 08"/>
      <sheetName val="bérek08"/>
      <sheetName val="PH08"/>
      <sheetName val="PH09"/>
      <sheetName val="Munka1"/>
      <sheetName val="ÖK 2014"/>
      <sheetName val="PH 2014"/>
      <sheetName val="PH 2013"/>
      <sheetName val="bér 2014"/>
      <sheetName val="közhasznúak"/>
      <sheetName val="Munka2"/>
    </sheetNames>
    <sheetDataSet>
      <sheetData sheetId="2">
        <row r="64">
          <cell r="I64">
            <v>1620</v>
          </cell>
        </row>
        <row r="71">
          <cell r="I71">
            <v>447</v>
          </cell>
        </row>
        <row r="77">
          <cell r="I77">
            <v>21202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H Korm.funkc."/>
      <sheetName val="011130 - igazgatási tev."/>
      <sheetName val="016010 - választás"/>
      <sheetName val="104051 - gyvt"/>
      <sheetName val="105010 - fht"/>
      <sheetName val="106020 - lft"/>
      <sheetName val="összes"/>
      <sheetName val="Munka1"/>
    </sheetNames>
    <sheetDataSet>
      <sheetData sheetId="7">
        <row r="111">
          <cell r="F111">
            <v>207837000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, fedőlap"/>
      <sheetName val="BÉR 2015"/>
      <sheetName val="013320 - köztem.fennt."/>
      <sheetName val="013360 -"/>
      <sheetName val="047120 - Piac, nyilvános WC"/>
      <sheetName val="381104 - szeméttelep"/>
      <sheetName val="064010 - közvilágítás"/>
      <sheetName val="081030 - sportlét.műk."/>
      <sheetName val="900080 - konyha"/>
      <sheetName val="összesen"/>
    </sheetNames>
    <sheetDataSet>
      <sheetData sheetId="3">
        <row r="20">
          <cell r="I20">
            <v>25950</v>
          </cell>
        </row>
        <row r="27">
          <cell r="I27">
            <v>7555</v>
          </cell>
        </row>
        <row r="35">
          <cell r="I35">
            <v>26998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ndeletkönyv"/>
      <sheetName val="nettó"/>
      <sheetName val="finanszírozási tábla"/>
      <sheetName val="kiadás"/>
      <sheetName val="bevétel"/>
      <sheetName val="intfinanszírozási terv"/>
      <sheetName val="phfinansz"/>
      <sheetName val="szerb fin."/>
      <sheetName val="román fin"/>
      <sheetName val="cigány fin"/>
      <sheetName val="önkei.felh."/>
      <sheetName val="ei.összesen"/>
      <sheetName val="minimálbér"/>
      <sheetName val="szakfeladatonként"/>
      <sheetName val="adósságkel."/>
      <sheetName val="cigány besz"/>
      <sheetName val="szerb besz"/>
      <sheetName val="román besz"/>
      <sheetName val="szerb"/>
      <sheetName val="cigány"/>
      <sheetName val="pfbevétel"/>
      <sheetName val="pfkiadás"/>
      <sheetName val="több éves"/>
      <sheetName val="közösségi"/>
      <sheetName val="átadott"/>
      <sheetName val="segély"/>
      <sheetName val="felh."/>
      <sheetName val="felhbevétel"/>
      <sheetName val="felhmérleg"/>
      <sheetName val="létszám jó"/>
      <sheetName val="létszám 2012"/>
      <sheetName val="norm2012"/>
    </sheetNames>
    <sheetDataSet>
      <sheetData sheetId="3">
        <row r="24">
          <cell r="B24" t="str">
            <v>Városi Művelődési Központ és Könyvtár</v>
          </cell>
        </row>
      </sheetData>
      <sheetData sheetId="4">
        <row r="34">
          <cell r="B34" t="str">
            <v>Battonya Város Önkormányzata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szírozási tábla"/>
      <sheetName val="kiadás"/>
      <sheetName val="bevétel"/>
      <sheetName val="intfinanszírozási terv"/>
      <sheetName val="phfinansz"/>
      <sheetName val="szerb fin."/>
      <sheetName val="román fin"/>
      <sheetName val="cigány fin"/>
      <sheetName val="önkei.felh."/>
      <sheetName val="ei.összesen"/>
      <sheetName val="minimálbér"/>
      <sheetName val="szakfeladatonként"/>
      <sheetName val="adósságkel."/>
      <sheetName val="román"/>
      <sheetName val="szerb"/>
      <sheetName val="cigány"/>
      <sheetName val="pfbevétel"/>
      <sheetName val="pfkiadás"/>
      <sheetName val="több éves"/>
      <sheetName val="közösségi"/>
      <sheetName val="átadott"/>
      <sheetName val="segély"/>
      <sheetName val="felh."/>
      <sheetName val="felhbevétel"/>
      <sheetName val="felhmérleg"/>
      <sheetName val="létszám 2012"/>
      <sheetName val="norm2012"/>
    </sheetNames>
    <sheetDataSet>
      <sheetData sheetId="2">
        <row r="40">
          <cell r="A40" t="str">
            <v>Városellátó  Szervezet</v>
          </cell>
        </row>
        <row r="46">
          <cell r="A46" t="str">
            <v>Egészségügyi és Szociális Ellátó Szervezet</v>
          </cell>
        </row>
        <row r="62">
          <cell r="A62" t="str">
            <v>Városi Művelődési Központ és Könyvtár</v>
          </cell>
        </row>
        <row r="78">
          <cell r="A78" t="str">
            <v>Polgármesteri Hivatal</v>
          </cell>
        </row>
      </sheetData>
      <sheetData sheetId="16">
        <row r="9">
          <cell r="G9">
            <v>99839</v>
          </cell>
        </row>
        <row r="10">
          <cell r="G10">
            <v>3</v>
          </cell>
        </row>
        <row r="11">
          <cell r="G11">
            <v>2561</v>
          </cell>
        </row>
        <row r="14">
          <cell r="G14">
            <v>1500</v>
          </cell>
        </row>
        <row r="21">
          <cell r="G21">
            <v>201456</v>
          </cell>
        </row>
        <row r="25">
          <cell r="G25">
            <v>24536</v>
          </cell>
        </row>
        <row r="26">
          <cell r="G26">
            <v>150</v>
          </cell>
        </row>
        <row r="28">
          <cell r="G28">
            <v>274385</v>
          </cell>
        </row>
      </sheetData>
      <sheetData sheetId="23">
        <row r="8">
          <cell r="F8">
            <v>12460</v>
          </cell>
        </row>
        <row r="9">
          <cell r="F9">
            <v>11500</v>
          </cell>
        </row>
        <row r="10">
          <cell r="F10">
            <v>6789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nanszírozási tábla"/>
      <sheetName val="kiadás"/>
      <sheetName val="bevétel"/>
      <sheetName val="intfinanszírozási terv"/>
      <sheetName val="phfinansz"/>
      <sheetName val="szerb fin."/>
      <sheetName val="román fin"/>
      <sheetName val="cigány fin"/>
      <sheetName val="önkei.felh."/>
      <sheetName val="ei.összesen"/>
      <sheetName val="minimálbér"/>
      <sheetName val="szakfeladatonként"/>
      <sheetName val="adósságkel."/>
      <sheetName val="román"/>
      <sheetName val="szerb"/>
      <sheetName val="cigány"/>
      <sheetName val="pfbevétel"/>
      <sheetName val="pfkiadás"/>
      <sheetName val="több éves"/>
      <sheetName val="közösségi"/>
      <sheetName val="átadott"/>
      <sheetName val="segély"/>
      <sheetName val="felh."/>
      <sheetName val="felhbevétel"/>
      <sheetName val="felhmérleg"/>
      <sheetName val="létszám 2012"/>
      <sheetName val="norm2012"/>
    </sheetNames>
    <sheetDataSet>
      <sheetData sheetId="2">
        <row r="40">
          <cell r="A40" t="str">
            <v>Városellátó  Szervezet</v>
          </cell>
        </row>
        <row r="46">
          <cell r="A46" t="str">
            <v>Egészségügyi és Szociális Ellátó Szervezet</v>
          </cell>
        </row>
        <row r="62">
          <cell r="A62" t="str">
            <v>Városi Művelődési Központ és Könyvtár</v>
          </cell>
        </row>
        <row r="76">
          <cell r="A76" t="str">
            <v>Battonya Város Önkormányzata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nterv"/>
      <sheetName val="2013bérek"/>
      <sheetName val="normatíva2014"/>
      <sheetName val="2015.BÉR"/>
      <sheetName val="Munka1"/>
      <sheetName val="2014 bérek"/>
      <sheetName val="összesítő"/>
      <sheetName val="összesítő 2015."/>
      <sheetName val="862101 háziorv."/>
      <sheetName val="862301 fogorvosi ell."/>
      <sheetName val="869031 labor"/>
      <sheetName val="869037 fizikoterápiás szolg."/>
      <sheetName val="869041 védőnők"/>
      <sheetName val="869042 ifjuság-eü.gondozás"/>
      <sheetName val="889926 közösségiell."/>
      <sheetName val="nappali+demens"/>
      <sheetName val="889201 gyermekjólét"/>
      <sheetName val="889921 szoc.étk."/>
      <sheetName val="889922 házis.ny."/>
      <sheetName val="889924 családs."/>
      <sheetName val="NINCS 881012 demens"/>
      <sheetName val="NINCS856012 Korai fejl.gondozás"/>
      <sheetName val="ESZESZ BEVÉTEL"/>
      <sheetName val="ESZESZ2_es"/>
    </sheetNames>
    <sheetDataSet>
      <sheetData sheetId="3">
        <row r="66">
          <cell r="Q66">
            <v>282100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H Korm.funkc."/>
      <sheetName val="011130 - igazgatási tev."/>
      <sheetName val="016010 - választás"/>
      <sheetName val="104051 - gyvt"/>
      <sheetName val="105010 - fht"/>
      <sheetName val="106020 - lft"/>
      <sheetName val="összes"/>
      <sheetName val="Munka1"/>
    </sheetNames>
    <sheetDataSet>
      <sheetData sheetId="7">
        <row r="111">
          <cell r="F111">
            <v>212569000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unka3"/>
      <sheetName val="751153"/>
      <sheetName val="emelt 08"/>
      <sheetName val="bérek08"/>
      <sheetName val="PH08"/>
      <sheetName val="PH09"/>
      <sheetName val="össz"/>
      <sheetName val="Munka1"/>
      <sheetName val="ÖK 2014"/>
      <sheetName val="PH 2013"/>
      <sheetName val="Munka4"/>
      <sheetName val="PH 2014"/>
      <sheetName val="2015"/>
      <sheetName val="011130-1 ált.igazgatás"/>
      <sheetName val="105010-1 mnélk. aktív korúak el"/>
      <sheetName val="106020-1 lft"/>
      <sheetName val="BÉR 2015."/>
      <sheetName val="bér 2014"/>
      <sheetName val="közhasznúak"/>
      <sheetName val="Munka2"/>
    </sheetNames>
    <sheetDataSet>
      <sheetData sheetId="12">
        <row r="169">
          <cell r="I169">
            <v>212569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evétel 1."/>
      <sheetName val="BEV.2015."/>
      <sheetName val="KIAD.2015."/>
      <sheetName val="Munka1"/>
      <sheetName val="kiadás 1."/>
      <sheetName val="átadott pénzeszköz"/>
      <sheetName val="létszám"/>
      <sheetName val="felhalm.kiad"/>
      <sheetName val="felhalm.bev."/>
      <sheetName val="Munka4"/>
      <sheetName val="felhalm.bevétel-kiadás"/>
      <sheetName val="Önk.működési tám."/>
      <sheetName val="saját bevételek részletezése "/>
      <sheetName val="több éves kihatású köt.váll-ok"/>
      <sheetName val="Társ.és szoc.pol.jut."/>
    </sheetNames>
    <sheetDataSet>
      <sheetData sheetId="0">
        <row r="5">
          <cell r="F5">
            <v>133977.5</v>
          </cell>
        </row>
        <row r="15">
          <cell r="F15">
            <v>3100</v>
          </cell>
        </row>
      </sheetData>
      <sheetData sheetId="1">
        <row r="5">
          <cell r="P5">
            <v>187262.8</v>
          </cell>
        </row>
        <row r="12">
          <cell r="P12">
            <v>127862</v>
          </cell>
        </row>
        <row r="20">
          <cell r="P20">
            <v>25568</v>
          </cell>
        </row>
      </sheetData>
      <sheetData sheetId="2">
        <row r="5">
          <cell r="P5">
            <v>187262.8</v>
          </cell>
        </row>
        <row r="12">
          <cell r="P12">
            <v>127862</v>
          </cell>
        </row>
        <row r="20">
          <cell r="P20">
            <v>25568</v>
          </cell>
        </row>
        <row r="28">
          <cell r="N28">
            <v>157926.6</v>
          </cell>
        </row>
        <row r="36">
          <cell r="N36">
            <v>212569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unka3"/>
      <sheetName val="751153"/>
      <sheetName val="emelt 08"/>
      <sheetName val="bérek08"/>
      <sheetName val="PH08"/>
      <sheetName val="PH09"/>
      <sheetName val="össz"/>
      <sheetName val="Munka1"/>
      <sheetName val="ÖK 2014"/>
      <sheetName val="013350- üzletbér, tart.föld"/>
      <sheetName val="106010-1 lakbér"/>
      <sheetName val="2015"/>
      <sheetName val="PH 2014"/>
      <sheetName val="PH 2013"/>
      <sheetName val="bér 2014"/>
      <sheetName val="közhasznúak"/>
      <sheetName val="Munk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S77"/>
  <sheetViews>
    <sheetView view="pageLayout" zoomScaleSheetLayoutView="100" workbookViewId="0" topLeftCell="A1">
      <selection activeCell="D47" sqref="D47"/>
    </sheetView>
  </sheetViews>
  <sheetFormatPr defaultColWidth="9.140625" defaultRowHeight="24.75" customHeight="1"/>
  <cols>
    <col min="1" max="1" width="5.00390625" style="185" customWidth="1"/>
    <col min="2" max="2" width="4.57421875" style="185" customWidth="1"/>
    <col min="3" max="3" width="50.28125" style="185" customWidth="1"/>
    <col min="4" max="4" width="11.28125" style="232" customWidth="1"/>
    <col min="5" max="5" width="15.8515625" style="232" customWidth="1"/>
    <col min="6" max="14" width="15.00390625" style="232" customWidth="1"/>
    <col min="15" max="15" width="10.28125" style="756" bestFit="1" customWidth="1"/>
    <col min="16" max="16" width="16.57421875" style="232" bestFit="1" customWidth="1"/>
    <col min="17" max="17" width="13.140625" style="232" bestFit="1" customWidth="1"/>
    <col min="18" max="18" width="16.57421875" style="232" bestFit="1" customWidth="1"/>
    <col min="19" max="21" width="17.8515625" style="232" bestFit="1" customWidth="1"/>
    <col min="22" max="27" width="19.140625" style="232" customWidth="1"/>
    <col min="28" max="28" width="14.421875" style="232" bestFit="1" customWidth="1"/>
    <col min="29" max="29" width="22.28125" style="754" customWidth="1"/>
    <col min="30" max="30" width="19.00390625" style="754" customWidth="1"/>
    <col min="31" max="32" width="10.57421875" style="754" customWidth="1"/>
    <col min="33" max="40" width="14.421875" style="754" customWidth="1"/>
    <col min="41" max="41" width="14.421875" style="185" customWidth="1"/>
    <col min="42" max="42" width="14.57421875" style="185" customWidth="1"/>
    <col min="43" max="44" width="14.421875" style="185" customWidth="1"/>
    <col min="45" max="45" width="9.140625" style="185" customWidth="1"/>
    <col min="46" max="46" width="14.140625" style="185" customWidth="1"/>
    <col min="47" max="16384" width="9.140625" style="185" customWidth="1"/>
  </cols>
  <sheetData>
    <row r="1" spans="1:39" ht="24.75" customHeight="1">
      <c r="A1" s="752" t="s">
        <v>92</v>
      </c>
      <c r="C1" s="197"/>
      <c r="D1" s="430" t="s">
        <v>313</v>
      </c>
      <c r="E1" s="430" t="s">
        <v>369</v>
      </c>
      <c r="F1" s="431"/>
      <c r="G1" s="431"/>
      <c r="H1" s="431"/>
      <c r="I1" s="431"/>
      <c r="J1" s="431"/>
      <c r="K1" s="431"/>
      <c r="L1" s="431"/>
      <c r="M1" s="431"/>
      <c r="N1" s="431"/>
      <c r="O1" s="753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</row>
    <row r="2" spans="1:40" ht="24.75" customHeight="1">
      <c r="A2" s="752"/>
      <c r="C2" s="755"/>
      <c r="D2" s="430" t="s">
        <v>454</v>
      </c>
      <c r="E2" s="430" t="s">
        <v>454</v>
      </c>
      <c r="F2" s="431"/>
      <c r="G2" s="431"/>
      <c r="H2" s="431"/>
      <c r="I2" s="431"/>
      <c r="J2" s="431"/>
      <c r="K2" s="431"/>
      <c r="L2" s="431"/>
      <c r="M2" s="431"/>
      <c r="N2" s="431"/>
      <c r="O2" s="753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</row>
    <row r="3" spans="4:33" ht="24.75" customHeight="1"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753"/>
      <c r="P3" s="431"/>
      <c r="Q3" s="431"/>
      <c r="R3" s="431"/>
      <c r="U3" s="431"/>
      <c r="V3" s="431"/>
      <c r="W3" s="431"/>
      <c r="X3" s="431"/>
      <c r="Y3" s="431"/>
      <c r="Z3" s="431"/>
      <c r="AA3" s="431"/>
      <c r="AB3" s="431"/>
      <c r="AC3" s="216"/>
      <c r="AD3" s="216"/>
      <c r="AE3" s="216"/>
      <c r="AF3" s="216"/>
      <c r="AG3" s="216"/>
    </row>
    <row r="4" spans="2:45" s="197" customFormat="1" ht="24.75" customHeight="1">
      <c r="B4" s="197" t="s">
        <v>114</v>
      </c>
      <c r="C4" s="197" t="s">
        <v>597</v>
      </c>
      <c r="D4" s="99">
        <f>SUM(D5:D11)</f>
        <v>296199</v>
      </c>
      <c r="E4" s="99">
        <f>SUM(E5:E11)</f>
        <v>313678</v>
      </c>
      <c r="F4" s="99"/>
      <c r="G4" s="99"/>
      <c r="H4" s="99"/>
      <c r="I4" s="99"/>
      <c r="J4" s="99"/>
      <c r="K4" s="99"/>
      <c r="L4" s="99"/>
      <c r="M4" s="99"/>
      <c r="N4" s="99"/>
      <c r="O4" s="256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P4" s="185"/>
      <c r="AR4" s="185"/>
      <c r="AS4" s="185"/>
    </row>
    <row r="5" spans="3:40" ht="24.75" customHeight="1">
      <c r="C5" s="185" t="s">
        <v>93</v>
      </c>
      <c r="D5" s="232">
        <f>'3.mell. bevétel'!D24</f>
        <v>99471</v>
      </c>
      <c r="E5" s="232">
        <f>'3.mell. bevétel'!D26</f>
        <v>134978</v>
      </c>
      <c r="S5" s="431"/>
      <c r="AN5" s="216"/>
    </row>
    <row r="6" spans="3:40" ht="24.75" customHeight="1">
      <c r="C6" s="185" t="s">
        <v>94</v>
      </c>
      <c r="D6" s="232">
        <v>15214</v>
      </c>
      <c r="E6" s="232">
        <v>18400</v>
      </c>
      <c r="G6" s="232">
        <f>E6+E7+E8+E9</f>
        <v>145600</v>
      </c>
      <c r="AN6" s="216"/>
    </row>
    <row r="7" spans="3:40" ht="24.75" customHeight="1">
      <c r="C7" s="185" t="s">
        <v>95</v>
      </c>
      <c r="D7" s="232">
        <v>125000</v>
      </c>
      <c r="E7" s="232">
        <v>125000</v>
      </c>
      <c r="AD7" s="232"/>
      <c r="AE7" s="232"/>
      <c r="AN7" s="216"/>
    </row>
    <row r="8" spans="3:40" ht="24.75" customHeight="1">
      <c r="C8" s="185" t="s">
        <v>96</v>
      </c>
      <c r="D8" s="232">
        <v>3</v>
      </c>
      <c r="E8" s="232">
        <v>100</v>
      </c>
      <c r="S8" s="757"/>
      <c r="T8" s="431"/>
      <c r="AN8" s="216"/>
    </row>
    <row r="9" spans="3:40" ht="24.75" customHeight="1">
      <c r="C9" s="185" t="s">
        <v>97</v>
      </c>
      <c r="D9" s="232">
        <v>2561</v>
      </c>
      <c r="E9" s="232">
        <v>2100</v>
      </c>
      <c r="AN9" s="216"/>
    </row>
    <row r="10" spans="3:40" ht="24.75" customHeight="1">
      <c r="C10" s="185" t="s">
        <v>98</v>
      </c>
      <c r="D10" s="232">
        <v>2500</v>
      </c>
      <c r="E10" s="232">
        <v>3100</v>
      </c>
      <c r="AH10" s="185"/>
      <c r="AI10" s="185"/>
      <c r="AJ10" s="185"/>
      <c r="AN10" s="216"/>
    </row>
    <row r="11" spans="3:40" ht="24.75" customHeight="1">
      <c r="C11" s="185" t="s">
        <v>347</v>
      </c>
      <c r="D11" s="232">
        <f>7000+35000+9450</f>
        <v>51450</v>
      </c>
      <c r="E11" s="232">
        <f>10000+20000</f>
        <v>30000</v>
      </c>
      <c r="F11" s="232">
        <f>7000+35000+9450</f>
        <v>51450</v>
      </c>
      <c r="AH11" s="185"/>
      <c r="AI11" s="185"/>
      <c r="AJ11" s="185"/>
      <c r="AN11" s="216"/>
    </row>
    <row r="12" spans="34:40" ht="24.75" customHeight="1">
      <c r="AH12" s="185"/>
      <c r="AI12" s="185"/>
      <c r="AJ12" s="185"/>
      <c r="AN12" s="216"/>
    </row>
    <row r="13" spans="2:43" s="197" customFormat="1" ht="24.75" customHeight="1">
      <c r="B13" s="197" t="s">
        <v>121</v>
      </c>
      <c r="C13" s="197" t="s">
        <v>624</v>
      </c>
      <c r="D13" s="99">
        <f>+D14+D15</f>
        <v>9964</v>
      </c>
      <c r="E13" s="99">
        <f>+E14+E15</f>
        <v>10064</v>
      </c>
      <c r="F13" s="99"/>
      <c r="G13" s="99"/>
      <c r="H13" s="99"/>
      <c r="I13" s="99"/>
      <c r="J13" s="99"/>
      <c r="K13" s="99"/>
      <c r="L13" s="99"/>
      <c r="M13" s="99"/>
      <c r="N13" s="99"/>
      <c r="O13" s="256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O13" s="185"/>
      <c r="AP13" s="185"/>
      <c r="AQ13" s="185"/>
    </row>
    <row r="14" spans="3:40" ht="24.75" customHeight="1">
      <c r="C14" s="185" t="s">
        <v>99</v>
      </c>
      <c r="D14" s="419">
        <v>9814</v>
      </c>
      <c r="E14" s="419">
        <v>9814</v>
      </c>
      <c r="F14" s="185"/>
      <c r="G14" s="185"/>
      <c r="H14" s="185"/>
      <c r="I14" s="185"/>
      <c r="J14" s="185"/>
      <c r="K14" s="185"/>
      <c r="L14" s="185"/>
      <c r="M14" s="185"/>
      <c r="N14" s="185"/>
      <c r="AC14" s="232"/>
      <c r="AD14" s="232"/>
      <c r="AG14" s="232"/>
      <c r="AH14" s="232"/>
      <c r="AN14" s="197"/>
    </row>
    <row r="15" spans="3:40" ht="24.75" customHeight="1">
      <c r="C15" s="185" t="s">
        <v>100</v>
      </c>
      <c r="D15" s="232">
        <v>150</v>
      </c>
      <c r="E15" s="232">
        <v>250</v>
      </c>
      <c r="AC15" s="232"/>
      <c r="AD15" s="232"/>
      <c r="AG15" s="232"/>
      <c r="AH15" s="232"/>
      <c r="AN15" s="197"/>
    </row>
    <row r="16" ht="24.75" customHeight="1">
      <c r="AN16" s="197"/>
    </row>
    <row r="17" spans="2:43" s="197" customFormat="1" ht="24.75" customHeight="1">
      <c r="B17" s="197" t="s">
        <v>119</v>
      </c>
      <c r="C17" s="197" t="s">
        <v>625</v>
      </c>
      <c r="D17" s="99">
        <f>SUM(D18:D18)</f>
        <v>241074</v>
      </c>
      <c r="E17" s="99">
        <f>SUM(E18:E18)</f>
        <v>265453.629</v>
      </c>
      <c r="F17" s="99"/>
      <c r="G17" s="99"/>
      <c r="H17" s="99"/>
      <c r="I17" s="99"/>
      <c r="J17" s="99"/>
      <c r="K17" s="99"/>
      <c r="L17" s="99"/>
      <c r="M17" s="99"/>
      <c r="N17" s="99"/>
      <c r="O17" s="256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H17" s="99"/>
      <c r="AP17" s="185"/>
      <c r="AQ17" s="185"/>
    </row>
    <row r="18" spans="3:40" ht="24.75" customHeight="1">
      <c r="C18" s="185" t="s">
        <v>10</v>
      </c>
      <c r="D18" s="232">
        <v>241074</v>
      </c>
      <c r="E18" s="232">
        <f>'10.mell. állami 2015.'!E5/1000</f>
        <v>265453.629</v>
      </c>
      <c r="AC18" s="232"/>
      <c r="AD18" s="232"/>
      <c r="AE18" s="232"/>
      <c r="AG18" s="232"/>
      <c r="AH18" s="232"/>
      <c r="AN18" s="216"/>
    </row>
    <row r="19" spans="29:40" ht="24.75" customHeight="1">
      <c r="AC19" s="232"/>
      <c r="AD19" s="232"/>
      <c r="AE19" s="232"/>
      <c r="AG19" s="232"/>
      <c r="AH19" s="232"/>
      <c r="AN19" s="216"/>
    </row>
    <row r="20" spans="2:34" ht="24.75" customHeight="1">
      <c r="B20" s="197" t="s">
        <v>120</v>
      </c>
      <c r="C20" s="197" t="s">
        <v>626</v>
      </c>
      <c r="D20" s="99">
        <f>+D22</f>
        <v>150344</v>
      </c>
      <c r="E20" s="99">
        <f>E22+E31</f>
        <v>154843</v>
      </c>
      <c r="F20" s="99"/>
      <c r="G20" s="99"/>
      <c r="H20" s="99"/>
      <c r="I20" s="99"/>
      <c r="J20" s="99"/>
      <c r="K20" s="99"/>
      <c r="L20" s="99"/>
      <c r="M20" s="99"/>
      <c r="N20" s="99"/>
      <c r="O20" s="256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419"/>
      <c r="AD20" s="197"/>
      <c r="AE20" s="197"/>
      <c r="AF20" s="197"/>
      <c r="AG20" s="197"/>
      <c r="AH20" s="197"/>
    </row>
    <row r="21" spans="2:34" ht="24.75" customHeight="1">
      <c r="B21" s="197"/>
      <c r="C21" s="197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256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419"/>
      <c r="AD21" s="197"/>
      <c r="AE21" s="197"/>
      <c r="AF21" s="197"/>
      <c r="AG21" s="197"/>
      <c r="AH21" s="197"/>
    </row>
    <row r="22" spans="2:40" s="762" customFormat="1" ht="24.75" customHeight="1">
      <c r="B22" s="197"/>
      <c r="C22" s="758" t="s">
        <v>101</v>
      </c>
      <c r="D22" s="187">
        <f>SUM(D23:D29)</f>
        <v>150344</v>
      </c>
      <c r="E22" s="187">
        <f>SUM(E23:E29)</f>
        <v>83463</v>
      </c>
      <c r="F22" s="187"/>
      <c r="G22" s="187"/>
      <c r="H22" s="187"/>
      <c r="I22" s="187"/>
      <c r="J22" s="187"/>
      <c r="K22" s="187"/>
      <c r="L22" s="187"/>
      <c r="M22" s="187"/>
      <c r="N22" s="187"/>
      <c r="O22" s="759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760"/>
      <c r="AI22" s="761"/>
      <c r="AJ22" s="761"/>
      <c r="AK22" s="761"/>
      <c r="AL22" s="761"/>
      <c r="AM22" s="761"/>
      <c r="AN22" s="761"/>
    </row>
    <row r="23" spans="3:40" s="762" customFormat="1" ht="24.75" customHeight="1">
      <c r="C23" s="762" t="s">
        <v>102</v>
      </c>
      <c r="D23" s="763">
        <f>'3.mell. bevétel'!F8</f>
        <v>32500</v>
      </c>
      <c r="E23" s="763">
        <f>+'3.mell. bevétel'!F10</f>
        <v>40000</v>
      </c>
      <c r="F23" s="763"/>
      <c r="G23" s="763"/>
      <c r="H23" s="763"/>
      <c r="I23" s="763"/>
      <c r="J23" s="763"/>
      <c r="K23" s="763"/>
      <c r="L23" s="763"/>
      <c r="M23" s="763"/>
      <c r="N23" s="763"/>
      <c r="O23" s="764"/>
      <c r="P23" s="763"/>
      <c r="Q23" s="763"/>
      <c r="R23" s="763"/>
      <c r="S23" s="763"/>
      <c r="T23" s="763"/>
      <c r="U23" s="763"/>
      <c r="V23" s="763"/>
      <c r="W23" s="763"/>
      <c r="X23" s="763"/>
      <c r="Y23" s="763"/>
      <c r="Z23" s="763"/>
      <c r="AA23" s="763"/>
      <c r="AB23" s="763"/>
      <c r="AC23" s="761"/>
      <c r="AD23" s="761"/>
      <c r="AE23" s="761"/>
      <c r="AF23" s="761"/>
      <c r="AG23" s="763"/>
      <c r="AH23" s="761"/>
      <c r="AI23" s="761"/>
      <c r="AJ23" s="761"/>
      <c r="AK23" s="761"/>
      <c r="AL23" s="761"/>
      <c r="AM23" s="761"/>
      <c r="AN23" s="761"/>
    </row>
    <row r="24" spans="3:40" s="762" customFormat="1" ht="24.75" customHeight="1">
      <c r="C24" s="762" t="s">
        <v>103</v>
      </c>
      <c r="D24" s="763">
        <v>94553</v>
      </c>
      <c r="E24" s="763">
        <v>23638</v>
      </c>
      <c r="F24" s="763">
        <f>+'6.mell. segélyek'!X30</f>
        <v>94552.5</v>
      </c>
      <c r="G24" s="763"/>
      <c r="H24" s="763"/>
      <c r="I24" s="763"/>
      <c r="J24" s="763"/>
      <c r="K24" s="763"/>
      <c r="L24" s="763"/>
      <c r="M24" s="763"/>
      <c r="N24" s="763"/>
      <c r="O24" s="764"/>
      <c r="P24" s="763"/>
      <c r="Q24" s="763"/>
      <c r="R24" s="763"/>
      <c r="S24" s="763"/>
      <c r="T24" s="763"/>
      <c r="U24" s="763"/>
      <c r="V24" s="765"/>
      <c r="W24" s="763"/>
      <c r="X24" s="763"/>
      <c r="Y24" s="763"/>
      <c r="Z24" s="763"/>
      <c r="AA24" s="763"/>
      <c r="AB24" s="763"/>
      <c r="AC24" s="763"/>
      <c r="AD24" s="763"/>
      <c r="AE24" s="763"/>
      <c r="AF24" s="763"/>
      <c r="AG24" s="761"/>
      <c r="AH24" s="761"/>
      <c r="AI24" s="761"/>
      <c r="AJ24" s="761"/>
      <c r="AK24" s="761"/>
      <c r="AL24" s="761"/>
      <c r="AM24" s="761"/>
      <c r="AN24" s="761"/>
    </row>
    <row r="25" spans="3:40" s="762" customFormat="1" ht="24.75" customHeight="1">
      <c r="C25" s="762" t="s">
        <v>104</v>
      </c>
      <c r="D25" s="763">
        <v>600</v>
      </c>
      <c r="E25" s="763">
        <v>1080</v>
      </c>
      <c r="F25" s="763"/>
      <c r="G25" s="763"/>
      <c r="H25" s="763"/>
      <c r="I25" s="763"/>
      <c r="J25" s="763"/>
      <c r="K25" s="763"/>
      <c r="L25" s="763"/>
      <c r="M25" s="763"/>
      <c r="N25" s="763"/>
      <c r="O25" s="764"/>
      <c r="P25" s="763"/>
      <c r="Q25" s="763"/>
      <c r="R25" s="763"/>
      <c r="S25" s="763"/>
      <c r="T25" s="763"/>
      <c r="U25" s="763"/>
      <c r="V25" s="763"/>
      <c r="W25" s="763"/>
      <c r="X25" s="763"/>
      <c r="Y25" s="763"/>
      <c r="Z25" s="763"/>
      <c r="AA25" s="763"/>
      <c r="AB25" s="763"/>
      <c r="AC25" s="761"/>
      <c r="AD25" s="761"/>
      <c r="AE25" s="761"/>
      <c r="AF25" s="761"/>
      <c r="AG25" s="761"/>
      <c r="AH25" s="761"/>
      <c r="AI25" s="761"/>
      <c r="AJ25" s="761"/>
      <c r="AK25" s="761"/>
      <c r="AL25" s="761"/>
      <c r="AM25" s="761"/>
      <c r="AN25" s="761"/>
    </row>
    <row r="26" spans="3:40" s="762" customFormat="1" ht="24.75" customHeight="1">
      <c r="C26" s="762" t="s">
        <v>105</v>
      </c>
      <c r="D26" s="763">
        <v>4500</v>
      </c>
      <c r="E26" s="763">
        <v>4500</v>
      </c>
      <c r="F26" s="763"/>
      <c r="G26" s="763"/>
      <c r="H26" s="763"/>
      <c r="I26" s="763"/>
      <c r="J26" s="763"/>
      <c r="K26" s="763"/>
      <c r="L26" s="763"/>
      <c r="M26" s="763"/>
      <c r="N26" s="763"/>
      <c r="O26" s="764"/>
      <c r="P26" s="763"/>
      <c r="Q26" s="763"/>
      <c r="R26" s="763"/>
      <c r="S26" s="763"/>
      <c r="T26" s="763"/>
      <c r="U26" s="763"/>
      <c r="V26" s="763"/>
      <c r="W26" s="763"/>
      <c r="X26" s="763"/>
      <c r="Y26" s="763"/>
      <c r="Z26" s="763"/>
      <c r="AA26" s="763"/>
      <c r="AB26" s="763"/>
      <c r="AC26" s="761"/>
      <c r="AD26" s="761"/>
      <c r="AE26" s="761"/>
      <c r="AF26" s="761"/>
      <c r="AG26" s="761"/>
      <c r="AH26" s="761"/>
      <c r="AI26" s="761"/>
      <c r="AJ26" s="761"/>
      <c r="AK26" s="761"/>
      <c r="AL26" s="761"/>
      <c r="AM26" s="761"/>
      <c r="AN26" s="761"/>
    </row>
    <row r="27" spans="3:40" s="762" customFormat="1" ht="24.75" customHeight="1">
      <c r="C27" s="762" t="s">
        <v>106</v>
      </c>
      <c r="D27" s="763">
        <v>8000</v>
      </c>
      <c r="E27" s="763">
        <v>8000</v>
      </c>
      <c r="F27" s="763"/>
      <c r="G27" s="763"/>
      <c r="H27" s="763"/>
      <c r="I27" s="763"/>
      <c r="J27" s="763"/>
      <c r="K27" s="763"/>
      <c r="L27" s="763"/>
      <c r="M27" s="763"/>
      <c r="N27" s="763"/>
      <c r="O27" s="764"/>
      <c r="P27" s="763"/>
      <c r="Q27" s="763"/>
      <c r="R27" s="763"/>
      <c r="S27" s="763"/>
      <c r="T27" s="763"/>
      <c r="U27" s="763"/>
      <c r="V27" s="763"/>
      <c r="W27" s="763"/>
      <c r="X27" s="763"/>
      <c r="Y27" s="763"/>
      <c r="Z27" s="763"/>
      <c r="AA27" s="763"/>
      <c r="AB27" s="763"/>
      <c r="AC27" s="761"/>
      <c r="AD27" s="761"/>
      <c r="AE27" s="761"/>
      <c r="AF27" s="761"/>
      <c r="AG27" s="761"/>
      <c r="AH27" s="761"/>
      <c r="AI27" s="761"/>
      <c r="AJ27" s="761"/>
      <c r="AK27" s="761"/>
      <c r="AL27" s="761"/>
      <c r="AM27" s="761"/>
      <c r="AN27" s="761"/>
    </row>
    <row r="28" spans="3:40" s="762" customFormat="1" ht="24.75" customHeight="1">
      <c r="C28" s="762" t="s">
        <v>192</v>
      </c>
      <c r="D28" s="763">
        <v>6245</v>
      </c>
      <c r="E28" s="763">
        <v>6245</v>
      </c>
      <c r="F28" s="763"/>
      <c r="G28" s="763"/>
      <c r="H28" s="763"/>
      <c r="I28" s="763"/>
      <c r="J28" s="763"/>
      <c r="K28" s="763"/>
      <c r="L28" s="763"/>
      <c r="M28" s="763"/>
      <c r="N28" s="763"/>
      <c r="O28" s="764"/>
      <c r="P28" s="763"/>
      <c r="Q28" s="763"/>
      <c r="R28" s="763"/>
      <c r="S28" s="763"/>
      <c r="T28" s="763"/>
      <c r="U28" s="763"/>
      <c r="V28" s="763"/>
      <c r="W28" s="763"/>
      <c r="X28" s="763"/>
      <c r="Y28" s="763"/>
      <c r="Z28" s="763"/>
      <c r="AA28" s="763"/>
      <c r="AB28" s="763"/>
      <c r="AC28" s="761"/>
      <c r="AD28" s="761"/>
      <c r="AE28" s="761"/>
      <c r="AF28" s="761"/>
      <c r="AG28" s="761"/>
      <c r="AH28" s="761"/>
      <c r="AI28" s="761"/>
      <c r="AJ28" s="761"/>
      <c r="AK28" s="761"/>
      <c r="AL28" s="761"/>
      <c r="AM28" s="761"/>
      <c r="AN28" s="761"/>
    </row>
    <row r="29" spans="3:40" s="762" customFormat="1" ht="24.75" customHeight="1">
      <c r="C29" s="762" t="s">
        <v>354</v>
      </c>
      <c r="D29" s="763">
        <v>3946</v>
      </c>
      <c r="E29" s="763">
        <v>0</v>
      </c>
      <c r="F29" s="763"/>
      <c r="G29" s="763"/>
      <c r="H29" s="763"/>
      <c r="I29" s="763"/>
      <c r="J29" s="763"/>
      <c r="K29" s="763"/>
      <c r="L29" s="763"/>
      <c r="M29" s="763"/>
      <c r="N29" s="763"/>
      <c r="O29" s="764"/>
      <c r="P29" s="763"/>
      <c r="Q29" s="763"/>
      <c r="R29" s="763"/>
      <c r="S29" s="763"/>
      <c r="T29" s="763"/>
      <c r="U29" s="763"/>
      <c r="V29" s="763"/>
      <c r="W29" s="763"/>
      <c r="X29" s="763"/>
      <c r="Y29" s="763"/>
      <c r="Z29" s="763"/>
      <c r="AA29" s="763"/>
      <c r="AB29" s="763"/>
      <c r="AC29" s="761"/>
      <c r="AD29" s="761"/>
      <c r="AE29" s="761"/>
      <c r="AF29" s="761"/>
      <c r="AG29" s="761"/>
      <c r="AH29" s="761"/>
      <c r="AI29" s="761"/>
      <c r="AJ29" s="761"/>
      <c r="AK29" s="761"/>
      <c r="AL29" s="761"/>
      <c r="AM29" s="761"/>
      <c r="AN29" s="761"/>
    </row>
    <row r="30" spans="4:40" s="762" customFormat="1" ht="24.75" customHeight="1">
      <c r="D30" s="763"/>
      <c r="E30" s="763"/>
      <c r="F30" s="763"/>
      <c r="G30" s="763"/>
      <c r="H30" s="763"/>
      <c r="I30" s="763"/>
      <c r="J30" s="763"/>
      <c r="K30" s="763"/>
      <c r="L30" s="763"/>
      <c r="M30" s="763"/>
      <c r="N30" s="763"/>
      <c r="O30" s="764"/>
      <c r="P30" s="763"/>
      <c r="Q30" s="763"/>
      <c r="R30" s="763"/>
      <c r="S30" s="763"/>
      <c r="T30" s="763"/>
      <c r="U30" s="763"/>
      <c r="V30" s="763"/>
      <c r="W30" s="763"/>
      <c r="X30" s="763"/>
      <c r="Y30" s="763"/>
      <c r="Z30" s="763"/>
      <c r="AA30" s="763"/>
      <c r="AB30" s="763"/>
      <c r="AC30" s="761"/>
      <c r="AD30" s="761"/>
      <c r="AE30" s="761"/>
      <c r="AF30" s="761"/>
      <c r="AG30" s="761"/>
      <c r="AH30" s="761"/>
      <c r="AI30" s="761"/>
      <c r="AJ30" s="761"/>
      <c r="AK30" s="761"/>
      <c r="AL30" s="761"/>
      <c r="AM30" s="761"/>
      <c r="AN30" s="761"/>
    </row>
    <row r="31" spans="2:6" ht="24.75" customHeight="1">
      <c r="B31" s="762"/>
      <c r="C31" s="758" t="s">
        <v>598</v>
      </c>
      <c r="D31" s="432">
        <v>0</v>
      </c>
      <c r="E31" s="431">
        <f>SUM(E32)</f>
        <v>71380</v>
      </c>
      <c r="F31" s="431"/>
    </row>
    <row r="32" spans="3:5" ht="80.25" customHeight="1">
      <c r="C32" s="200" t="s">
        <v>606</v>
      </c>
      <c r="D32" s="197"/>
      <c r="E32" s="232">
        <v>71380</v>
      </c>
    </row>
    <row r="34" spans="2:41" ht="24.75" customHeight="1">
      <c r="B34" s="197" t="s">
        <v>123</v>
      </c>
      <c r="C34" s="197" t="s">
        <v>627</v>
      </c>
      <c r="D34" s="431">
        <f>SUM(D35:D35)</f>
        <v>150</v>
      </c>
      <c r="E34" s="431">
        <f>SUM(E35:E35)</f>
        <v>150</v>
      </c>
      <c r="F34" s="431"/>
      <c r="G34" s="431"/>
      <c r="H34" s="431"/>
      <c r="I34" s="431"/>
      <c r="J34" s="431"/>
      <c r="K34" s="431"/>
      <c r="L34" s="431"/>
      <c r="M34" s="431"/>
      <c r="N34" s="431"/>
      <c r="O34" s="753"/>
      <c r="P34" s="431"/>
      <c r="Q34" s="431"/>
      <c r="R34" s="431"/>
      <c r="S34" s="431"/>
      <c r="T34" s="431"/>
      <c r="U34" s="431"/>
      <c r="V34" s="431"/>
      <c r="W34" s="431"/>
      <c r="X34" s="431"/>
      <c r="Y34" s="431"/>
      <c r="Z34" s="431"/>
      <c r="AA34" s="431"/>
      <c r="AB34" s="431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197"/>
    </row>
    <row r="35" spans="2:41" ht="19.5" customHeight="1">
      <c r="B35" s="197"/>
      <c r="C35" s="185" t="s">
        <v>107</v>
      </c>
      <c r="D35" s="232">
        <v>150</v>
      </c>
      <c r="E35" s="232">
        <v>150</v>
      </c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197"/>
    </row>
    <row r="36" spans="2:41" ht="24.75" customHeight="1">
      <c r="B36" s="197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197"/>
    </row>
    <row r="37" spans="1:41" ht="24.75" customHeight="1">
      <c r="A37" s="197"/>
      <c r="B37" s="197" t="s">
        <v>124</v>
      </c>
      <c r="C37" s="197" t="s">
        <v>108</v>
      </c>
      <c r="D37" s="431">
        <f>+D34+D20+D17+D13+D4+D32</f>
        <v>697731</v>
      </c>
      <c r="E37" s="431">
        <f>+E34+E20+E17+E13+E4</f>
        <v>744188.629</v>
      </c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197"/>
    </row>
    <row r="38" spans="2:41" ht="24.75" customHeight="1">
      <c r="B38" s="197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197"/>
    </row>
    <row r="39" spans="4:40" s="197" customFormat="1" ht="24.75" customHeight="1">
      <c r="D39" s="419"/>
      <c r="E39" s="419"/>
      <c r="F39" s="419"/>
      <c r="G39" s="419"/>
      <c r="H39" s="419"/>
      <c r="I39" s="419"/>
      <c r="J39" s="419"/>
      <c r="K39" s="419"/>
      <c r="L39" s="419"/>
      <c r="M39" s="419"/>
      <c r="N39" s="419"/>
      <c r="O39" s="256"/>
      <c r="P39" s="99"/>
      <c r="Q39" s="99"/>
      <c r="R39" s="99"/>
      <c r="S39" s="99"/>
      <c r="T39" s="99"/>
      <c r="U39" s="99"/>
      <c r="V39" s="419"/>
      <c r="W39" s="419"/>
      <c r="X39" s="419"/>
      <c r="Y39" s="419"/>
      <c r="Z39" s="419"/>
      <c r="AA39" s="419"/>
      <c r="AB39" s="419"/>
      <c r="AC39" s="185"/>
      <c r="AD39" s="185"/>
      <c r="AE39" s="185"/>
      <c r="AF39" s="185"/>
      <c r="AG39" s="419"/>
      <c r="AI39" s="185"/>
      <c r="AJ39" s="185"/>
      <c r="AL39" s="754"/>
      <c r="AM39" s="754"/>
      <c r="AN39" s="754"/>
    </row>
    <row r="40" spans="2:40" s="197" customFormat="1" ht="24.75" customHeight="1">
      <c r="B40" s="197" t="s">
        <v>109</v>
      </c>
      <c r="D40" s="99">
        <f>+D37</f>
        <v>697731</v>
      </c>
      <c r="E40" s="99">
        <f>+E37</f>
        <v>744188.629</v>
      </c>
      <c r="F40" s="419">
        <f>'3.mell. bevétel'!K26</f>
        <v>744188.629</v>
      </c>
      <c r="G40" s="419"/>
      <c r="H40" s="419"/>
      <c r="I40" s="419"/>
      <c r="J40" s="419"/>
      <c r="K40" s="419"/>
      <c r="L40" s="419"/>
      <c r="M40" s="419"/>
      <c r="N40" s="419"/>
      <c r="O40" s="256"/>
      <c r="P40" s="99"/>
      <c r="Q40" s="99"/>
      <c r="R40" s="99"/>
      <c r="S40" s="99"/>
      <c r="T40" s="99"/>
      <c r="U40" s="99"/>
      <c r="V40" s="419"/>
      <c r="W40" s="419"/>
      <c r="X40" s="419"/>
      <c r="Y40" s="419"/>
      <c r="Z40" s="419"/>
      <c r="AA40" s="419"/>
      <c r="AB40" s="419"/>
      <c r="AC40" s="185"/>
      <c r="AD40" s="185"/>
      <c r="AE40" s="185"/>
      <c r="AF40" s="185"/>
      <c r="AG40" s="419"/>
      <c r="AI40" s="185"/>
      <c r="AJ40" s="185"/>
      <c r="AL40" s="754"/>
      <c r="AM40" s="754"/>
      <c r="AN40" s="754"/>
    </row>
    <row r="41" spans="2:6" ht="24.75" customHeight="1">
      <c r="B41" s="197" t="s">
        <v>110</v>
      </c>
      <c r="C41" s="197"/>
      <c r="D41" s="431">
        <f>'4.mell. kiadás'!M28</f>
        <v>697731</v>
      </c>
      <c r="E41" s="431">
        <f>'2.mell. pfkiadás'!E29</f>
        <v>744189</v>
      </c>
      <c r="F41" s="232">
        <f>'4.mell. kiadás'!M30</f>
        <v>744189</v>
      </c>
    </row>
    <row r="42" spans="2:40" s="197" customFormat="1" ht="24.75" customHeight="1">
      <c r="B42" s="185"/>
      <c r="C42" s="185"/>
      <c r="D42" s="419"/>
      <c r="E42" s="419">
        <v>744189</v>
      </c>
      <c r="F42" s="419"/>
      <c r="G42" s="419"/>
      <c r="H42" s="419"/>
      <c r="I42" s="419"/>
      <c r="J42" s="419"/>
      <c r="K42" s="419"/>
      <c r="L42" s="419"/>
      <c r="M42" s="419"/>
      <c r="N42" s="419"/>
      <c r="O42" s="186"/>
      <c r="P42" s="419"/>
      <c r="Q42" s="419"/>
      <c r="R42" s="419"/>
      <c r="S42" s="419"/>
      <c r="T42" s="419"/>
      <c r="U42" s="419"/>
      <c r="V42" s="419"/>
      <c r="W42" s="419"/>
      <c r="X42" s="419"/>
      <c r="Y42" s="419"/>
      <c r="Z42" s="419"/>
      <c r="AA42" s="419"/>
      <c r="AB42" s="419"/>
      <c r="AC42" s="185"/>
      <c r="AD42" s="185"/>
      <c r="AE42" s="185"/>
      <c r="AF42" s="185"/>
      <c r="AG42" s="185"/>
      <c r="AH42" s="185"/>
      <c r="AI42" s="185"/>
      <c r="AJ42" s="185"/>
      <c r="AK42" s="754"/>
      <c r="AL42" s="754"/>
      <c r="AM42" s="754"/>
      <c r="AN42" s="754"/>
    </row>
    <row r="43" spans="1:40" ht="24.75" customHeight="1">
      <c r="A43" s="197"/>
      <c r="AB43" s="99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</row>
    <row r="45" spans="1:40" ht="24.75" customHeight="1">
      <c r="A45" s="197"/>
      <c r="B45" s="197"/>
      <c r="AB45" s="419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</row>
    <row r="46" spans="4:39" ht="24.75" customHeight="1">
      <c r="D46" s="433"/>
      <c r="E46" s="433"/>
      <c r="F46" s="433"/>
      <c r="G46" s="433"/>
      <c r="H46" s="433"/>
      <c r="I46" s="433"/>
      <c r="J46" s="433"/>
      <c r="K46" s="433"/>
      <c r="L46" s="433"/>
      <c r="M46" s="433"/>
      <c r="N46" s="433"/>
      <c r="O46" s="766"/>
      <c r="P46" s="433"/>
      <c r="Q46" s="433"/>
      <c r="R46" s="433"/>
      <c r="S46" s="433"/>
      <c r="T46" s="433"/>
      <c r="U46" s="433"/>
      <c r="V46" s="433"/>
      <c r="W46" s="433"/>
      <c r="X46" s="433"/>
      <c r="Y46" s="433"/>
      <c r="Z46" s="433"/>
      <c r="AA46" s="433"/>
      <c r="AB46" s="433"/>
      <c r="AC46" s="767"/>
      <c r="AD46" s="767"/>
      <c r="AE46" s="767"/>
      <c r="AF46" s="767"/>
      <c r="AG46" s="185"/>
      <c r="AH46" s="185"/>
      <c r="AI46" s="185"/>
      <c r="AJ46" s="185"/>
      <c r="AK46" s="767"/>
      <c r="AL46" s="767"/>
      <c r="AM46" s="767"/>
    </row>
    <row r="47" spans="4:39" ht="24.75" customHeight="1">
      <c r="D47" s="419"/>
      <c r="E47" s="419"/>
      <c r="F47" s="419"/>
      <c r="G47" s="419"/>
      <c r="H47" s="419"/>
      <c r="I47" s="419"/>
      <c r="J47" s="419"/>
      <c r="K47" s="419"/>
      <c r="L47" s="419"/>
      <c r="M47" s="419"/>
      <c r="N47" s="419"/>
      <c r="O47" s="186"/>
      <c r="P47" s="419"/>
      <c r="Q47" s="419"/>
      <c r="R47" s="419"/>
      <c r="S47" s="419"/>
      <c r="T47" s="419"/>
      <c r="U47" s="419"/>
      <c r="V47" s="419"/>
      <c r="W47" s="419"/>
      <c r="X47" s="419"/>
      <c r="Y47" s="419"/>
      <c r="Z47" s="419"/>
      <c r="AA47" s="419"/>
      <c r="AB47" s="419"/>
      <c r="AC47" s="185"/>
      <c r="AD47" s="185"/>
      <c r="AE47" s="185"/>
      <c r="AF47" s="185"/>
      <c r="AG47" s="185"/>
      <c r="AH47" s="185"/>
      <c r="AI47" s="185"/>
      <c r="AJ47" s="185"/>
      <c r="AK47" s="767"/>
      <c r="AL47" s="767"/>
      <c r="AM47" s="767"/>
    </row>
    <row r="48" spans="4:36" ht="24.75" customHeight="1">
      <c r="D48" s="433"/>
      <c r="E48" s="433"/>
      <c r="F48" s="433"/>
      <c r="G48" s="433"/>
      <c r="H48" s="433"/>
      <c r="I48" s="433"/>
      <c r="J48" s="433"/>
      <c r="K48" s="433"/>
      <c r="L48" s="433"/>
      <c r="M48" s="433"/>
      <c r="N48" s="433"/>
      <c r="O48" s="766"/>
      <c r="P48" s="433"/>
      <c r="Q48" s="433"/>
      <c r="R48" s="433"/>
      <c r="S48" s="433"/>
      <c r="T48" s="433"/>
      <c r="U48" s="433"/>
      <c r="V48" s="433"/>
      <c r="W48" s="433"/>
      <c r="X48" s="433"/>
      <c r="Y48" s="433"/>
      <c r="Z48" s="433"/>
      <c r="AA48" s="433"/>
      <c r="AB48" s="433"/>
      <c r="AC48" s="767"/>
      <c r="AD48" s="767"/>
      <c r="AE48" s="767"/>
      <c r="AF48" s="767"/>
      <c r="AG48" s="767"/>
      <c r="AH48" s="767"/>
      <c r="AI48" s="767"/>
      <c r="AJ48" s="767"/>
    </row>
    <row r="49" ht="24.75" customHeight="1">
      <c r="B49" s="767"/>
    </row>
    <row r="50" spans="2:40" ht="24.75" customHeight="1">
      <c r="B50" s="767"/>
      <c r="AC50" s="768"/>
      <c r="AD50" s="768"/>
      <c r="AE50" s="768"/>
      <c r="AF50" s="768"/>
      <c r="AG50" s="768"/>
      <c r="AH50" s="768"/>
      <c r="AI50" s="768"/>
      <c r="AJ50" s="768"/>
      <c r="AK50" s="768"/>
      <c r="AL50" s="768"/>
      <c r="AM50" s="768"/>
      <c r="AN50" s="768"/>
    </row>
    <row r="51" spans="29:40" ht="24.75" customHeight="1">
      <c r="AC51" s="756"/>
      <c r="AD51" s="768"/>
      <c r="AE51" s="768"/>
      <c r="AF51" s="768"/>
      <c r="AG51" s="768"/>
      <c r="AH51" s="768"/>
      <c r="AI51" s="768"/>
      <c r="AJ51" s="768"/>
      <c r="AK51" s="768"/>
      <c r="AL51" s="768"/>
      <c r="AM51" s="768"/>
      <c r="AN51" s="768"/>
    </row>
    <row r="52" ht="24.75" customHeight="1">
      <c r="AP52" s="197"/>
    </row>
    <row r="53" spans="29:40" ht="24.75" customHeight="1">
      <c r="AC53" s="756"/>
      <c r="AD53" s="756"/>
      <c r="AE53" s="756"/>
      <c r="AF53" s="756"/>
      <c r="AG53" s="756"/>
      <c r="AH53" s="756"/>
      <c r="AI53" s="756"/>
      <c r="AJ53" s="756"/>
      <c r="AK53" s="768"/>
      <c r="AL53" s="768"/>
      <c r="AM53" s="768"/>
      <c r="AN53" s="768"/>
    </row>
    <row r="56" spans="29:39" ht="24.75" customHeight="1">
      <c r="AC56" s="768"/>
      <c r="AD56" s="768"/>
      <c r="AE56" s="768"/>
      <c r="AF56" s="768"/>
      <c r="AG56" s="768"/>
      <c r="AH56" s="768"/>
      <c r="AI56" s="768"/>
      <c r="AJ56" s="768"/>
      <c r="AK56" s="768"/>
      <c r="AL56" s="768"/>
      <c r="AM56" s="768"/>
    </row>
    <row r="70" ht="24.75" customHeight="1">
      <c r="C70" s="767" t="s">
        <v>111</v>
      </c>
    </row>
    <row r="71" ht="24.75" customHeight="1">
      <c r="C71" s="767"/>
    </row>
    <row r="75" ht="24.75" customHeight="1">
      <c r="C75" s="754"/>
    </row>
    <row r="76" ht="24.75" customHeight="1">
      <c r="C76" s="754"/>
    </row>
    <row r="77" ht="24.75" customHeight="1">
      <c r="C77" s="754"/>
    </row>
  </sheetData>
  <sheetProtection/>
  <printOptions/>
  <pageMargins left="0.5905511811023623" right="0.5905511811023623" top="0.55" bottom="0.37" header="0.25" footer="0.21"/>
  <pageSetup horizontalDpi="600" verticalDpi="600" orientation="portrait" paperSize="9" scale="73" r:id="rId1"/>
  <headerFooter alignWithMargins="0">
    <oddHeader>&amp;L1. melléklet a 2015. évi 3/2015.(II.25.) Önkormányzati költségvetési rendelethez&amp;R2015.02.25</oddHeader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S27"/>
  <sheetViews>
    <sheetView view="pageLayout" zoomScaleSheetLayoutView="100" workbookViewId="0" topLeftCell="A1">
      <selection activeCell="C10" sqref="C10"/>
    </sheetView>
  </sheetViews>
  <sheetFormatPr defaultColWidth="9.140625" defaultRowHeight="12.75"/>
  <cols>
    <col min="1" max="1" width="5.28125" style="611" customWidth="1"/>
    <col min="2" max="2" width="31.7109375" style="33" customWidth="1"/>
    <col min="3" max="3" width="20.8515625" style="33" customWidth="1"/>
    <col min="4" max="4" width="38.421875" style="33" customWidth="1"/>
    <col min="5" max="5" width="19.57421875" style="33" customWidth="1"/>
    <col min="6" max="7" width="9.140625" style="33" customWidth="1"/>
    <col min="8" max="8" width="45.28125" style="33" customWidth="1"/>
    <col min="9" max="9" width="8.140625" style="33" customWidth="1"/>
    <col min="10" max="10" width="15.421875" style="33" customWidth="1"/>
    <col min="11" max="11" width="12.7109375" style="33" customWidth="1"/>
    <col min="12" max="12" width="0.13671875" style="33" customWidth="1"/>
    <col min="13" max="13" width="12.28125" style="33" customWidth="1"/>
    <col min="14" max="14" width="31.7109375" style="33" customWidth="1"/>
    <col min="15" max="15" width="16.57421875" style="33" customWidth="1"/>
    <col min="16" max="16" width="16.57421875" style="258" customWidth="1"/>
    <col min="17" max="17" width="9.28125" style="33" customWidth="1"/>
    <col min="18" max="18" width="0.13671875" style="33" customWidth="1"/>
    <col min="19" max="19" width="10.421875" style="33" bestFit="1" customWidth="1"/>
    <col min="20" max="16384" width="9.140625" style="33" customWidth="1"/>
  </cols>
  <sheetData>
    <row r="1" spans="1:18" ht="15.75">
      <c r="A1" s="1001" t="s">
        <v>371</v>
      </c>
      <c r="B1" s="1001"/>
      <c r="C1" s="1001"/>
      <c r="D1" s="1001"/>
      <c r="E1" s="1001"/>
      <c r="P1" s="33"/>
      <c r="R1" s="282"/>
    </row>
    <row r="2" spans="1:19" ht="18">
      <c r="A2" s="474"/>
      <c r="B2" s="282"/>
      <c r="C2" s="282"/>
      <c r="D2" s="282"/>
      <c r="E2" s="282"/>
      <c r="H2" s="282"/>
      <c r="I2" s="282"/>
      <c r="J2" s="282"/>
      <c r="K2" s="282"/>
      <c r="L2" s="282"/>
      <c r="M2" s="282"/>
      <c r="N2" s="282"/>
      <c r="O2" s="282"/>
      <c r="P2" s="283"/>
      <c r="Q2" s="282"/>
      <c r="R2" s="282"/>
      <c r="S2" s="282"/>
    </row>
    <row r="3" spans="2:19" ht="18.75" thickBot="1">
      <c r="B3" s="612" t="s">
        <v>138</v>
      </c>
      <c r="C3" s="612"/>
      <c r="D3" s="612" t="s">
        <v>139</v>
      </c>
      <c r="E3" s="613"/>
      <c r="H3" s="612" t="s">
        <v>138</v>
      </c>
      <c r="I3" s="612"/>
      <c r="J3" s="612"/>
      <c r="K3" s="612"/>
      <c r="L3" s="612"/>
      <c r="M3" s="612"/>
      <c r="N3" s="612" t="s">
        <v>139</v>
      </c>
      <c r="O3" s="613"/>
      <c r="P3" s="614"/>
      <c r="Q3" s="613"/>
      <c r="R3" s="613"/>
      <c r="S3" s="613"/>
    </row>
    <row r="4" spans="2:19" ht="18">
      <c r="B4" s="615" t="s">
        <v>140</v>
      </c>
      <c r="C4" s="616" t="s">
        <v>369</v>
      </c>
      <c r="D4" s="617" t="s">
        <v>140</v>
      </c>
      <c r="E4" s="616" t="s">
        <v>369</v>
      </c>
      <c r="H4" s="422" t="s">
        <v>140</v>
      </c>
      <c r="I4" s="618" t="s">
        <v>313</v>
      </c>
      <c r="J4" s="482" t="s">
        <v>369</v>
      </c>
      <c r="K4" s="618" t="s">
        <v>313</v>
      </c>
      <c r="L4" s="284">
        <v>41820</v>
      </c>
      <c r="M4" s="619">
        <v>41820</v>
      </c>
      <c r="N4" s="616" t="s">
        <v>140</v>
      </c>
      <c r="O4" s="267" t="s">
        <v>313</v>
      </c>
      <c r="P4" s="283" t="s">
        <v>369</v>
      </c>
      <c r="Q4" s="285" t="s">
        <v>313</v>
      </c>
      <c r="R4" s="286">
        <v>41820</v>
      </c>
      <c r="S4" s="620">
        <v>41820</v>
      </c>
    </row>
    <row r="5" spans="2:19" ht="18">
      <c r="B5" s="616"/>
      <c r="C5" s="616" t="s">
        <v>464</v>
      </c>
      <c r="D5" s="617"/>
      <c r="E5" s="616" t="s">
        <v>464</v>
      </c>
      <c r="H5" s="423"/>
      <c r="I5" s="618" t="s">
        <v>61</v>
      </c>
      <c r="J5" s="482" t="s">
        <v>500</v>
      </c>
      <c r="K5" s="618" t="s">
        <v>435</v>
      </c>
      <c r="L5" s="287" t="s">
        <v>436</v>
      </c>
      <c r="M5" s="621" t="s">
        <v>437</v>
      </c>
      <c r="N5" s="616"/>
      <c r="O5" s="288" t="s">
        <v>61</v>
      </c>
      <c r="P5" s="283" t="s">
        <v>500</v>
      </c>
      <c r="Q5" s="285" t="s">
        <v>435</v>
      </c>
      <c r="R5" s="285" t="s">
        <v>436</v>
      </c>
      <c r="S5" s="288" t="s">
        <v>437</v>
      </c>
    </row>
    <row r="6" spans="2:19" ht="18">
      <c r="B6" s="622"/>
      <c r="C6" s="622"/>
      <c r="D6" s="623"/>
      <c r="H6" s="32"/>
      <c r="I6" s="469"/>
      <c r="J6" s="482" t="s">
        <v>438</v>
      </c>
      <c r="K6" s="469"/>
      <c r="L6" s="469"/>
      <c r="M6" s="624"/>
      <c r="N6" s="622"/>
      <c r="O6" s="262"/>
      <c r="P6" s="283" t="s">
        <v>438</v>
      </c>
      <c r="Q6" s="262"/>
      <c r="R6" s="262"/>
      <c r="S6" s="262"/>
    </row>
    <row r="7" spans="1:19" ht="18">
      <c r="A7" s="611" t="s">
        <v>20</v>
      </c>
      <c r="B7" s="957" t="s">
        <v>635</v>
      </c>
      <c r="C7" s="625">
        <f>'8.mell. felhalmozási bevétel'!C8</f>
        <v>150</v>
      </c>
      <c r="D7" s="623" t="s">
        <v>631</v>
      </c>
      <c r="E7" s="609">
        <f>'7.mell. felhalmozási kiadás'!C9</f>
        <v>3000</v>
      </c>
      <c r="H7" s="32"/>
      <c r="I7" s="469"/>
      <c r="J7" s="482"/>
      <c r="K7" s="469"/>
      <c r="L7" s="469"/>
      <c r="M7" s="624"/>
      <c r="N7" s="622"/>
      <c r="O7" s="262"/>
      <c r="P7" s="283"/>
      <c r="Q7" s="262"/>
      <c r="R7" s="262"/>
      <c r="S7" s="262"/>
    </row>
    <row r="8" spans="1:19" ht="18.75">
      <c r="A8" s="611" t="s">
        <v>21</v>
      </c>
      <c r="B8" s="622" t="s">
        <v>134</v>
      </c>
      <c r="C8" s="625">
        <f>'8.mell. felhalmozási bevétel'!C13</f>
        <v>101380</v>
      </c>
      <c r="D8" s="623" t="s">
        <v>632</v>
      </c>
      <c r="E8" s="609">
        <f>+'2.mell. pfkiadás'!E21</f>
        <v>28500</v>
      </c>
      <c r="H8" s="279" t="s">
        <v>136</v>
      </c>
      <c r="I8" s="280">
        <v>150</v>
      </c>
      <c r="J8" s="278">
        <v>150</v>
      </c>
      <c r="K8" s="280">
        <v>150</v>
      </c>
      <c r="L8" s="280">
        <v>150</v>
      </c>
      <c r="M8" s="626">
        <v>134</v>
      </c>
      <c r="N8" s="270" t="s">
        <v>440</v>
      </c>
      <c r="O8" s="271">
        <v>22241</v>
      </c>
      <c r="P8" s="259">
        <v>1000</v>
      </c>
      <c r="Q8" s="290">
        <v>77939</v>
      </c>
      <c r="R8" s="290">
        <v>61254</v>
      </c>
      <c r="S8" s="271">
        <v>23824</v>
      </c>
    </row>
    <row r="9" spans="1:19" ht="20.25" customHeight="1">
      <c r="A9" s="611" t="s">
        <v>22</v>
      </c>
      <c r="B9" s="622" t="s">
        <v>587</v>
      </c>
      <c r="C9" s="625">
        <f>'7.mell. felhalmozási kiadás'!C12</f>
        <v>7000</v>
      </c>
      <c r="D9" s="623" t="s">
        <v>63</v>
      </c>
      <c r="E9" s="609">
        <f>+'5.mell. átadott'!C23</f>
        <v>74380</v>
      </c>
      <c r="H9" s="279" t="s">
        <v>358</v>
      </c>
      <c r="I9" s="281" t="e">
        <f>+'[12]felhalm.bevétel'!I28</f>
        <v>#REF!</v>
      </c>
      <c r="J9" s="257">
        <v>10000</v>
      </c>
      <c r="K9" s="627">
        <v>343822</v>
      </c>
      <c r="L9" s="627">
        <f>51450+150+270029+12492</f>
        <v>334121</v>
      </c>
      <c r="M9" s="628">
        <f>134+12593+236+12492+10591+6094+1000+8900+800+235624</f>
        <v>288464</v>
      </c>
      <c r="N9" s="270" t="s">
        <v>370</v>
      </c>
      <c r="O9" s="271">
        <v>13637</v>
      </c>
      <c r="P9" s="259">
        <v>71380</v>
      </c>
      <c r="Q9" s="290">
        <v>18220</v>
      </c>
      <c r="R9" s="290">
        <v>25015</v>
      </c>
      <c r="S9" s="271">
        <v>11315</v>
      </c>
    </row>
    <row r="10" spans="1:19" ht="21" customHeight="1">
      <c r="A10" s="611" t="s">
        <v>23</v>
      </c>
      <c r="B10" s="622"/>
      <c r="C10" s="625"/>
      <c r="D10" s="623" t="s">
        <v>633</v>
      </c>
      <c r="E10" s="609">
        <f>'2.mell. pfkiadás'!E23</f>
        <v>1000</v>
      </c>
      <c r="H10" s="289" t="s">
        <v>458</v>
      </c>
      <c r="I10" s="281"/>
      <c r="J10" s="257">
        <v>71380</v>
      </c>
      <c r="K10" s="627">
        <v>343822</v>
      </c>
      <c r="L10" s="627">
        <f>51450+150+270029+12492</f>
        <v>334121</v>
      </c>
      <c r="M10" s="628">
        <f>134+12593+236+12492+10591+6094+1000+8900+800+235624</f>
        <v>288464</v>
      </c>
      <c r="N10" s="270" t="s">
        <v>372</v>
      </c>
      <c r="O10" s="271"/>
      <c r="P10" s="259">
        <v>1800</v>
      </c>
      <c r="Q10" s="290"/>
      <c r="R10" s="290"/>
      <c r="S10" s="271"/>
    </row>
    <row r="11" spans="2:19" ht="29.25">
      <c r="B11" s="622"/>
      <c r="C11" s="625"/>
      <c r="D11" s="623"/>
      <c r="H11" s="32" t="s">
        <v>501</v>
      </c>
      <c r="I11" s="281"/>
      <c r="J11" s="257">
        <v>7000</v>
      </c>
      <c r="K11" s="281"/>
      <c r="L11" s="281"/>
      <c r="M11" s="629"/>
      <c r="N11" s="275" t="s">
        <v>450</v>
      </c>
      <c r="O11" s="271">
        <v>3000</v>
      </c>
      <c r="P11" s="259">
        <v>1500</v>
      </c>
      <c r="Q11" s="290">
        <v>4000</v>
      </c>
      <c r="R11" s="290">
        <v>4000</v>
      </c>
      <c r="S11" s="271">
        <v>1000</v>
      </c>
    </row>
    <row r="12" spans="2:19" ht="18" hidden="1">
      <c r="B12" s="622"/>
      <c r="C12" s="625"/>
      <c r="D12" s="623" t="s">
        <v>132</v>
      </c>
      <c r="H12" s="32"/>
      <c r="I12" s="281"/>
      <c r="J12" s="257"/>
      <c r="K12" s="281"/>
      <c r="L12" s="281"/>
      <c r="M12" s="629"/>
      <c r="N12" s="622"/>
      <c r="O12" s="271"/>
      <c r="P12" s="259"/>
      <c r="Q12" s="271"/>
      <c r="R12" s="271"/>
      <c r="S12" s="271"/>
    </row>
    <row r="13" spans="2:19" ht="18">
      <c r="B13" s="622"/>
      <c r="C13" s="625"/>
      <c r="D13" s="623"/>
      <c r="H13" s="32"/>
      <c r="I13" s="281"/>
      <c r="J13" s="257"/>
      <c r="K13" s="281"/>
      <c r="L13" s="281"/>
      <c r="M13" s="629"/>
      <c r="N13" s="622"/>
      <c r="O13" s="271"/>
      <c r="P13" s="259">
        <v>7000</v>
      </c>
      <c r="Q13" s="290"/>
      <c r="R13" s="290">
        <f>SUM(R14:R15)</f>
        <v>0</v>
      </c>
      <c r="S13" s="290"/>
    </row>
    <row r="14" spans="2:19" ht="18">
      <c r="B14" s="622"/>
      <c r="C14" s="625"/>
      <c r="D14" s="630"/>
      <c r="E14" s="609"/>
      <c r="H14" s="32"/>
      <c r="I14" s="281"/>
      <c r="J14" s="257"/>
      <c r="K14" s="281"/>
      <c r="L14" s="281"/>
      <c r="M14" s="629"/>
      <c r="N14" s="631"/>
      <c r="O14" s="271"/>
      <c r="P14" s="259">
        <v>3000</v>
      </c>
      <c r="Q14" s="290"/>
      <c r="R14" s="290"/>
      <c r="S14" s="271"/>
    </row>
    <row r="15" spans="2:19" ht="18">
      <c r="B15" s="622"/>
      <c r="C15" s="625"/>
      <c r="D15" s="623"/>
      <c r="E15" s="609"/>
      <c r="H15" s="32"/>
      <c r="I15" s="281"/>
      <c r="J15" s="257"/>
      <c r="K15" s="281"/>
      <c r="L15" s="281"/>
      <c r="M15" s="629"/>
      <c r="N15" s="622"/>
      <c r="O15" s="271"/>
      <c r="P15" s="259">
        <v>1000</v>
      </c>
      <c r="Q15" s="290"/>
      <c r="R15" s="290"/>
      <c r="S15" s="271"/>
    </row>
    <row r="16" spans="2:19" ht="18">
      <c r="B16" s="622"/>
      <c r="C16" s="625"/>
      <c r="D16" s="630"/>
      <c r="H16" s="32"/>
      <c r="I16" s="281"/>
      <c r="J16" s="257"/>
      <c r="K16" s="281"/>
      <c r="L16" s="281"/>
      <c r="M16" s="629"/>
      <c r="N16" s="631"/>
      <c r="O16" s="271"/>
      <c r="P16" s="259"/>
      <c r="Q16" s="290"/>
      <c r="R16" s="290"/>
      <c r="S16" s="271"/>
    </row>
    <row r="17" spans="2:19" ht="18">
      <c r="B17" s="622"/>
      <c r="C17" s="625"/>
      <c r="D17" s="623"/>
      <c r="E17" s="609"/>
      <c r="H17" s="32"/>
      <c r="I17" s="281"/>
      <c r="J17" s="257"/>
      <c r="K17" s="281"/>
      <c r="L17" s="281"/>
      <c r="M17" s="629"/>
      <c r="N17" s="622"/>
      <c r="O17" s="271"/>
      <c r="P17" s="259"/>
      <c r="Q17" s="271"/>
      <c r="R17" s="271"/>
      <c r="S17" s="271"/>
    </row>
    <row r="18" spans="2:19" ht="18">
      <c r="B18" s="622"/>
      <c r="C18" s="625"/>
      <c r="D18" s="623"/>
      <c r="H18" s="32"/>
      <c r="I18" s="281"/>
      <c r="J18" s="257"/>
      <c r="K18" s="281"/>
      <c r="L18" s="281"/>
      <c r="M18" s="629"/>
      <c r="N18" s="622"/>
      <c r="O18" s="271"/>
      <c r="P18" s="259"/>
      <c r="Q18" s="271"/>
      <c r="R18" s="271"/>
      <c r="S18" s="271"/>
    </row>
    <row r="19" spans="2:19" ht="18">
      <c r="B19" s="622"/>
      <c r="C19" s="625"/>
      <c r="D19" s="623"/>
      <c r="E19" s="609"/>
      <c r="H19" s="32"/>
      <c r="I19" s="281"/>
      <c r="J19" s="257"/>
      <c r="K19" s="281"/>
      <c r="L19" s="281"/>
      <c r="M19" s="629"/>
      <c r="N19" s="622" t="s">
        <v>502</v>
      </c>
      <c r="O19" s="271"/>
      <c r="P19" s="259"/>
      <c r="Q19" s="271">
        <v>162405</v>
      </c>
      <c r="R19" s="271">
        <v>162405</v>
      </c>
      <c r="S19" s="271">
        <v>162405</v>
      </c>
    </row>
    <row r="20" spans="2:19" ht="18">
      <c r="B20" s="622"/>
      <c r="C20" s="625"/>
      <c r="D20" s="632"/>
      <c r="H20" s="32"/>
      <c r="I20" s="281"/>
      <c r="J20" s="257"/>
      <c r="K20" s="281"/>
      <c r="L20" s="281"/>
      <c r="M20" s="629"/>
      <c r="N20" s="622" t="s">
        <v>503</v>
      </c>
      <c r="O20" s="271"/>
      <c r="P20" s="259"/>
      <c r="Q20" s="271">
        <v>70000</v>
      </c>
      <c r="R20" s="271">
        <v>70000</v>
      </c>
      <c r="S20" s="271">
        <v>70000</v>
      </c>
    </row>
    <row r="21" spans="2:19" ht="18">
      <c r="B21" s="622"/>
      <c r="C21" s="625"/>
      <c r="D21" s="632"/>
      <c r="H21" s="32"/>
      <c r="I21" s="281"/>
      <c r="J21" s="257"/>
      <c r="K21" s="281"/>
      <c r="L21" s="281"/>
      <c r="M21" s="629"/>
      <c r="N21" s="622" t="s">
        <v>504</v>
      </c>
      <c r="O21" s="271"/>
      <c r="P21" s="259">
        <f>'[8]felhalm.kiad'!J28</f>
        <v>0</v>
      </c>
      <c r="Q21" s="271"/>
      <c r="R21" s="271"/>
      <c r="S21" s="271"/>
    </row>
    <row r="22" spans="2:19" ht="18">
      <c r="B22" s="622"/>
      <c r="C22" s="625"/>
      <c r="D22" s="632"/>
      <c r="H22" s="32"/>
      <c r="I22" s="281"/>
      <c r="J22" s="257"/>
      <c r="K22" s="281"/>
      <c r="L22" s="281"/>
      <c r="M22" s="629"/>
      <c r="N22" s="31" t="s">
        <v>505</v>
      </c>
      <c r="O22" s="271"/>
      <c r="P22" s="259">
        <f>'[8]átadott pénzeszköz'!J53</f>
        <v>0</v>
      </c>
      <c r="Q22" s="271"/>
      <c r="R22" s="271"/>
      <c r="S22" s="271"/>
    </row>
    <row r="23" spans="2:19" ht="30.75">
      <c r="B23" s="622"/>
      <c r="C23" s="625"/>
      <c r="D23" s="632"/>
      <c r="H23" s="32"/>
      <c r="I23" s="281"/>
      <c r="J23" s="257"/>
      <c r="K23" s="281"/>
      <c r="L23" s="281"/>
      <c r="M23" s="629"/>
      <c r="N23" s="252" t="s">
        <v>499</v>
      </c>
      <c r="O23" s="271"/>
      <c r="P23" s="259">
        <f>'[8]átadott pénzeszköz'!J55</f>
        <v>0</v>
      </c>
      <c r="Q23" s="271"/>
      <c r="R23" s="271"/>
      <c r="S23" s="271"/>
    </row>
    <row r="24" spans="1:19" ht="18">
      <c r="A24" s="611" t="s">
        <v>24</v>
      </c>
      <c r="B24" s="615" t="s">
        <v>137</v>
      </c>
      <c r="C24" s="633">
        <f>SUM(C7:C23)</f>
        <v>108530</v>
      </c>
      <c r="D24" s="634" t="s">
        <v>141</v>
      </c>
      <c r="E24" s="635">
        <f>SUM(E7:E23)</f>
        <v>106880</v>
      </c>
      <c r="H24" s="32"/>
      <c r="I24" s="281"/>
      <c r="J24" s="257"/>
      <c r="K24" s="281"/>
      <c r="L24" s="281"/>
      <c r="M24" s="629"/>
      <c r="N24" s="252"/>
      <c r="O24" s="271"/>
      <c r="P24" s="259"/>
      <c r="Q24" s="271"/>
      <c r="R24" s="271"/>
      <c r="S24" s="271"/>
    </row>
    <row r="25" spans="1:19" ht="18">
      <c r="A25" s="611" t="s">
        <v>25</v>
      </c>
      <c r="B25" s="636" t="s">
        <v>142</v>
      </c>
      <c r="C25" s="637">
        <f>+C24-E24</f>
        <v>1650</v>
      </c>
      <c r="D25" s="634"/>
      <c r="H25" s="32"/>
      <c r="I25" s="281"/>
      <c r="J25" s="257"/>
      <c r="K25" s="281"/>
      <c r="L25" s="281"/>
      <c r="M25" s="629"/>
      <c r="N25" s="638"/>
      <c r="O25" s="271"/>
      <c r="P25" s="259"/>
      <c r="Q25" s="271"/>
      <c r="R25" s="271"/>
      <c r="S25" s="271"/>
    </row>
    <row r="26" spans="8:19" ht="18">
      <c r="H26" s="422" t="s">
        <v>137</v>
      </c>
      <c r="I26" s="627" t="e">
        <f>SUM(I9:I25)</f>
        <v>#REF!</v>
      </c>
      <c r="J26" s="426">
        <f>SUM(J8:J25)</f>
        <v>88530</v>
      </c>
      <c r="K26" s="627">
        <f>SUM(K9:K25)</f>
        <v>687644</v>
      </c>
      <c r="L26" s="627">
        <f>SUM(L9:L25)</f>
        <v>668242</v>
      </c>
      <c r="M26" s="628">
        <f>SUM(M9:M25)</f>
        <v>576928</v>
      </c>
      <c r="N26" s="615" t="s">
        <v>141</v>
      </c>
      <c r="O26" s="639">
        <f>SUM(O8:O25)</f>
        <v>38878</v>
      </c>
      <c r="P26" s="291">
        <f>SUM(P8:P25)</f>
        <v>86680</v>
      </c>
      <c r="Q26" s="639">
        <f>SUM(Q8:Q25)</f>
        <v>332564</v>
      </c>
      <c r="R26" s="639">
        <f>SUM(R8:R20)</f>
        <v>322674</v>
      </c>
      <c r="S26" s="639">
        <f>SUM(S8:S25)</f>
        <v>268544</v>
      </c>
    </row>
    <row r="27" spans="2:19" ht="18">
      <c r="B27" s="33" t="s">
        <v>143</v>
      </c>
      <c r="C27" s="640">
        <f>+C25</f>
        <v>1650</v>
      </c>
      <c r="H27" s="1" t="s">
        <v>142</v>
      </c>
      <c r="I27" s="641" t="e">
        <f>+I26-O26</f>
        <v>#REF!</v>
      </c>
      <c r="J27" s="642">
        <f>+J26-P26</f>
        <v>1850</v>
      </c>
      <c r="K27" s="641">
        <f>+K26-Q26</f>
        <v>355080</v>
      </c>
      <c r="L27" s="627">
        <f>+L26-R26</f>
        <v>345568</v>
      </c>
      <c r="M27" s="628">
        <f>+M26-S26</f>
        <v>308384</v>
      </c>
      <c r="N27" s="615"/>
      <c r="O27" s="262"/>
      <c r="Q27" s="262"/>
      <c r="R27" s="262"/>
      <c r="S27" s="262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landscape" paperSize="9" scale="85" r:id="rId1"/>
  <headerFooter alignWithMargins="0">
    <oddHeader>&amp;L9. melléklet a 2015. évi 3/2015.(II.25.) Önkormányzati költségvetési rendelethez&amp;R2015.02.25</oddHeader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X47"/>
  <sheetViews>
    <sheetView view="pageLayout" zoomScaleSheetLayoutView="100" workbookViewId="0" topLeftCell="A1">
      <selection activeCell="G34" sqref="G34"/>
    </sheetView>
  </sheetViews>
  <sheetFormatPr defaultColWidth="9.140625" defaultRowHeight="12.75"/>
  <cols>
    <col min="1" max="1" width="80.28125" style="33" customWidth="1"/>
    <col min="2" max="2" width="11.140625" style="33" customWidth="1"/>
    <col min="3" max="4" width="9.140625" style="33" customWidth="1"/>
    <col min="5" max="5" width="15.57421875" style="33" customWidth="1"/>
    <col min="6" max="6" width="12.140625" style="593" customWidth="1"/>
    <col min="7" max="7" width="9.140625" style="590" customWidth="1"/>
    <col min="8" max="8" width="91.28125" style="590" customWidth="1"/>
    <col min="9" max="9" width="8.8515625" style="590" customWidth="1"/>
    <col min="10" max="10" width="7.00390625" style="590" customWidth="1"/>
    <col min="11" max="11" width="15.8515625" style="591" bestFit="1" customWidth="1"/>
    <col min="12" max="12" width="11.28125" style="591" customWidth="1"/>
    <col min="13" max="13" width="11.140625" style="590" customWidth="1"/>
    <col min="14" max="14" width="10.140625" style="590" bestFit="1" customWidth="1"/>
    <col min="15" max="18" width="9.140625" style="590" customWidth="1"/>
    <col min="19" max="19" width="9.140625" style="591" customWidth="1"/>
    <col min="20" max="16384" width="9.140625" style="590" customWidth="1"/>
  </cols>
  <sheetData>
    <row r="1" spans="1:12" ht="12.75" customHeight="1">
      <c r="A1" s="590"/>
      <c r="B1" s="590"/>
      <c r="C1" s="590"/>
      <c r="D1" s="591"/>
      <c r="E1" s="592" t="s">
        <v>553</v>
      </c>
      <c r="K1" s="594" t="s">
        <v>312</v>
      </c>
      <c r="L1" s="594"/>
    </row>
    <row r="2" spans="1:12" ht="12.75" customHeight="1">
      <c r="A2" s="590" t="s">
        <v>361</v>
      </c>
      <c r="B2" s="590" t="s">
        <v>53</v>
      </c>
      <c r="C2" s="590"/>
      <c r="D2" s="591"/>
      <c r="E2" s="592" t="s">
        <v>438</v>
      </c>
      <c r="H2" s="590" t="s">
        <v>361</v>
      </c>
      <c r="I2" s="590" t="s">
        <v>53</v>
      </c>
      <c r="K2" s="595"/>
      <c r="L2" s="595"/>
    </row>
    <row r="3" spans="1:12" ht="12.75">
      <c r="A3" s="590" t="s">
        <v>135</v>
      </c>
      <c r="B3" s="596" t="s">
        <v>348</v>
      </c>
      <c r="C3" s="590" t="s">
        <v>316</v>
      </c>
      <c r="D3" s="591" t="s">
        <v>554</v>
      </c>
      <c r="E3" s="595"/>
      <c r="H3" s="590" t="s">
        <v>135</v>
      </c>
      <c r="I3" s="596" t="s">
        <v>348</v>
      </c>
      <c r="J3" s="590" t="s">
        <v>316</v>
      </c>
      <c r="K3" s="595">
        <f>+K7+K8+K18+K22+K27+K28+K40+K41</f>
        <v>241073596</v>
      </c>
      <c r="L3" s="595"/>
    </row>
    <row r="4" spans="1:8" ht="12.75" customHeight="1">
      <c r="A4" s="590"/>
      <c r="B4" s="596"/>
      <c r="C4" s="590"/>
      <c r="D4" s="591"/>
      <c r="E4" s="595"/>
      <c r="H4" s="590" t="s">
        <v>317</v>
      </c>
    </row>
    <row r="5" spans="1:8" ht="22.5" customHeight="1">
      <c r="A5" s="590" t="s">
        <v>317</v>
      </c>
      <c r="B5" s="590"/>
      <c r="C5" s="590"/>
      <c r="D5" s="591"/>
      <c r="E5" s="597">
        <f>E8+E10+E20+E22+E24+E25+E26+E32+E33+E45</f>
        <v>265453629</v>
      </c>
      <c r="F5" s="598">
        <f>F29+F44+F45</f>
        <v>265453629</v>
      </c>
      <c r="H5" s="590" t="s">
        <v>318</v>
      </c>
    </row>
    <row r="6" spans="1:24" ht="12.75" customHeight="1">
      <c r="A6" s="590" t="s">
        <v>318</v>
      </c>
      <c r="B6" s="590"/>
      <c r="C6" s="590"/>
      <c r="D6" s="591"/>
      <c r="E6" s="591"/>
      <c r="H6" s="590" t="s">
        <v>319</v>
      </c>
      <c r="I6" s="590" t="s">
        <v>115</v>
      </c>
      <c r="J6" s="599">
        <v>20.41</v>
      </c>
      <c r="K6" s="591">
        <v>93477800</v>
      </c>
      <c r="L6" s="591">
        <f>J6*4580000</f>
        <v>93477800</v>
      </c>
      <c r="M6" s="600">
        <f>19+(6011-5001)/(10000-5001)*(25-19)</f>
        <v>20.212242448489697</v>
      </c>
      <c r="N6" s="590" t="s">
        <v>555</v>
      </c>
      <c r="S6" s="599">
        <f>19+(6043-5001)/(10000-5001)*(26-19)</f>
        <v>20.459091818363675</v>
      </c>
      <c r="T6" s="590" t="s">
        <v>556</v>
      </c>
      <c r="X6" s="591">
        <v>4580000</v>
      </c>
    </row>
    <row r="7" spans="1:11" ht="12.75" customHeight="1">
      <c r="A7" s="590" t="s">
        <v>319</v>
      </c>
      <c r="B7" s="590" t="s">
        <v>115</v>
      </c>
      <c r="C7" s="599">
        <v>20.459091818363675</v>
      </c>
      <c r="D7" s="591">
        <v>4580000</v>
      </c>
      <c r="E7" s="591">
        <v>93706800</v>
      </c>
      <c r="H7" s="590" t="s">
        <v>320</v>
      </c>
      <c r="I7" s="590" t="s">
        <v>115</v>
      </c>
      <c r="J7" s="591">
        <v>0</v>
      </c>
      <c r="K7" s="591">
        <v>93477800</v>
      </c>
    </row>
    <row r="8" spans="1:11" ht="12.75" customHeight="1">
      <c r="A8" s="590" t="s">
        <v>320</v>
      </c>
      <c r="B8" s="590"/>
      <c r="C8" s="591">
        <v>0</v>
      </c>
      <c r="D8" s="591"/>
      <c r="E8" s="597">
        <v>93706800</v>
      </c>
      <c r="H8" s="590" t="s">
        <v>321</v>
      </c>
      <c r="I8" s="590" t="s">
        <v>115</v>
      </c>
      <c r="J8" s="591">
        <v>0</v>
      </c>
      <c r="K8" s="591">
        <v>55853688</v>
      </c>
    </row>
    <row r="9" spans="1:11" ht="12.75" customHeight="1">
      <c r="A9" s="590" t="s">
        <v>321</v>
      </c>
      <c r="B9" s="601"/>
      <c r="C9" s="591">
        <v>0</v>
      </c>
      <c r="D9" s="595"/>
      <c r="E9" s="591">
        <v>58590191.9999879</v>
      </c>
      <c r="H9" s="590" t="s">
        <v>322</v>
      </c>
      <c r="I9" s="590" t="s">
        <v>115</v>
      </c>
      <c r="J9" s="591">
        <v>0</v>
      </c>
      <c r="K9" s="591">
        <v>55853688</v>
      </c>
    </row>
    <row r="10" spans="1:11" ht="12.75" customHeight="1">
      <c r="A10" s="590" t="s">
        <v>322</v>
      </c>
      <c r="B10" s="590"/>
      <c r="C10" s="591">
        <v>0</v>
      </c>
      <c r="D10" s="591"/>
      <c r="E10" s="597">
        <v>58590192</v>
      </c>
      <c r="H10" s="590" t="s">
        <v>323</v>
      </c>
      <c r="I10" s="590" t="s">
        <v>115</v>
      </c>
      <c r="J10" s="591">
        <v>0</v>
      </c>
      <c r="K10" s="591">
        <v>18963920</v>
      </c>
    </row>
    <row r="11" spans="1:11" ht="12.75" customHeight="1">
      <c r="A11" s="590" t="s">
        <v>323</v>
      </c>
      <c r="B11" s="590" t="s">
        <v>557</v>
      </c>
      <c r="C11" s="602">
        <v>850.77</v>
      </c>
      <c r="D11" s="591">
        <v>22300</v>
      </c>
      <c r="E11" s="591">
        <v>18972181.9999879</v>
      </c>
      <c r="H11" s="590" t="s">
        <v>324</v>
      </c>
      <c r="I11" s="590" t="s">
        <v>115</v>
      </c>
      <c r="J11" s="591">
        <v>0</v>
      </c>
      <c r="K11" s="591">
        <v>18963920</v>
      </c>
    </row>
    <row r="12" spans="1:14" ht="12.75" customHeight="1">
      <c r="A12" s="590" t="s">
        <v>324</v>
      </c>
      <c r="B12" s="590"/>
      <c r="C12" s="591">
        <v>0</v>
      </c>
      <c r="D12" s="591"/>
      <c r="E12" s="591">
        <v>18972182</v>
      </c>
      <c r="H12" s="590" t="s">
        <v>116</v>
      </c>
      <c r="I12" s="590" t="s">
        <v>115</v>
      </c>
      <c r="J12" s="591">
        <v>0</v>
      </c>
      <c r="K12" s="595">
        <v>20985120</v>
      </c>
      <c r="M12" s="591">
        <f>K19+K10</f>
        <v>35193620</v>
      </c>
      <c r="N12" s="591">
        <f>K11+K13+K15+K17</f>
        <v>55853688</v>
      </c>
    </row>
    <row r="13" spans="1:11" ht="12.75" customHeight="1">
      <c r="A13" s="590" t="s">
        <v>116</v>
      </c>
      <c r="B13" s="590" t="s">
        <v>558</v>
      </c>
      <c r="C13" s="602">
        <v>74.1</v>
      </c>
      <c r="D13" s="591">
        <v>320000</v>
      </c>
      <c r="E13" s="591">
        <v>23712000</v>
      </c>
      <c r="H13" s="590" t="s">
        <v>325</v>
      </c>
      <c r="I13" s="590" t="s">
        <v>115</v>
      </c>
      <c r="J13" s="591">
        <v>0</v>
      </c>
      <c r="K13" s="591">
        <v>20985120</v>
      </c>
    </row>
    <row r="14" spans="1:11" ht="12.75" customHeight="1">
      <c r="A14" s="590" t="s">
        <v>325</v>
      </c>
      <c r="B14" s="590"/>
      <c r="C14" s="591">
        <v>0</v>
      </c>
      <c r="D14" s="591"/>
      <c r="E14" s="591">
        <v>23712000</v>
      </c>
      <c r="H14" s="590" t="s">
        <v>117</v>
      </c>
      <c r="I14" s="590" t="s">
        <v>115</v>
      </c>
      <c r="J14" s="591">
        <v>0</v>
      </c>
      <c r="K14" s="595">
        <v>100000</v>
      </c>
    </row>
    <row r="15" spans="1:11" ht="12.75" customHeight="1">
      <c r="A15" s="590" t="s">
        <v>117</v>
      </c>
      <c r="B15" s="590"/>
      <c r="C15" s="591">
        <v>0</v>
      </c>
      <c r="D15" s="591"/>
      <c r="E15" s="591">
        <v>100000</v>
      </c>
      <c r="H15" s="590" t="s">
        <v>326</v>
      </c>
      <c r="I15" s="590" t="s">
        <v>115</v>
      </c>
      <c r="J15" s="591">
        <v>0</v>
      </c>
      <c r="K15" s="591">
        <v>100000</v>
      </c>
    </row>
    <row r="16" spans="1:11" ht="12.75" customHeight="1">
      <c r="A16" s="590" t="s">
        <v>326</v>
      </c>
      <c r="B16" s="590"/>
      <c r="C16" s="591">
        <v>0</v>
      </c>
      <c r="D16" s="591"/>
      <c r="E16" s="591">
        <v>100000</v>
      </c>
      <c r="H16" s="590" t="s">
        <v>118</v>
      </c>
      <c r="I16" s="590" t="s">
        <v>115</v>
      </c>
      <c r="J16" s="591">
        <v>0</v>
      </c>
      <c r="K16" s="595">
        <v>15804648</v>
      </c>
    </row>
    <row r="17" spans="1:11" ht="12.75" customHeight="1">
      <c r="A17" s="590" t="s">
        <v>118</v>
      </c>
      <c r="B17" s="590" t="s">
        <v>558</v>
      </c>
      <c r="C17" s="603">
        <v>69.63</v>
      </c>
      <c r="D17" s="591">
        <v>227000</v>
      </c>
      <c r="E17" s="591">
        <v>15806009.999999998</v>
      </c>
      <c r="H17" s="590" t="s">
        <v>327</v>
      </c>
      <c r="I17" s="590" t="s">
        <v>115</v>
      </c>
      <c r="J17" s="591">
        <v>0</v>
      </c>
      <c r="K17" s="591">
        <v>15804648</v>
      </c>
    </row>
    <row r="18" spans="1:11" ht="12.75" customHeight="1">
      <c r="A18" s="590" t="s">
        <v>327</v>
      </c>
      <c r="B18" s="590"/>
      <c r="C18" s="591">
        <v>0</v>
      </c>
      <c r="D18" s="591"/>
      <c r="E18" s="591">
        <v>15806010</v>
      </c>
      <c r="H18" s="590" t="s">
        <v>328</v>
      </c>
      <c r="I18" s="590" t="s">
        <v>115</v>
      </c>
      <c r="J18" s="591">
        <v>0</v>
      </c>
      <c r="K18" s="591">
        <v>16229700</v>
      </c>
    </row>
    <row r="19" spans="1:11" ht="12.75" customHeight="1">
      <c r="A19" s="590" t="s">
        <v>328</v>
      </c>
      <c r="B19" s="590" t="s">
        <v>115</v>
      </c>
      <c r="C19" s="591">
        <v>6043</v>
      </c>
      <c r="D19" s="591">
        <v>2700</v>
      </c>
      <c r="E19" s="591">
        <v>16316100</v>
      </c>
      <c r="H19" s="590" t="s">
        <v>329</v>
      </c>
      <c r="I19" s="590" t="s">
        <v>115</v>
      </c>
      <c r="J19" s="591">
        <v>0</v>
      </c>
      <c r="K19" s="591">
        <v>16229700</v>
      </c>
    </row>
    <row r="20" spans="1:10" ht="12.75" customHeight="1">
      <c r="A20" s="590" t="s">
        <v>329</v>
      </c>
      <c r="B20" s="590"/>
      <c r="C20" s="591">
        <v>0</v>
      </c>
      <c r="D20" s="591"/>
      <c r="E20" s="597">
        <v>4471419</v>
      </c>
      <c r="J20" s="591"/>
    </row>
    <row r="21" spans="1:10" ht="12.75" customHeight="1">
      <c r="A21" s="590" t="s">
        <v>559</v>
      </c>
      <c r="B21" s="590" t="s">
        <v>560</v>
      </c>
      <c r="C21" s="591">
        <v>4</v>
      </c>
      <c r="D21" s="591">
        <v>2550</v>
      </c>
      <c r="E21" s="604">
        <v>10200</v>
      </c>
      <c r="J21" s="591"/>
    </row>
    <row r="22" spans="1:12" ht="12.75" customHeight="1">
      <c r="A22" s="590" t="s">
        <v>561</v>
      </c>
      <c r="B22" s="590"/>
      <c r="C22" s="591">
        <v>0</v>
      </c>
      <c r="D22" s="591"/>
      <c r="E22" s="597">
        <v>10200</v>
      </c>
      <c r="H22" s="590" t="s">
        <v>330</v>
      </c>
      <c r="I22" s="590" t="s">
        <v>331</v>
      </c>
      <c r="J22" s="591">
        <v>131</v>
      </c>
      <c r="K22" s="591">
        <v>13100</v>
      </c>
      <c r="L22" s="591">
        <f>J22*100</f>
        <v>13100</v>
      </c>
    </row>
    <row r="23" spans="1:10" ht="12.75" customHeight="1">
      <c r="A23" s="590" t="s">
        <v>562</v>
      </c>
      <c r="B23" s="590" t="s">
        <v>563</v>
      </c>
      <c r="C23" s="591">
        <v>16000</v>
      </c>
      <c r="D23" s="599">
        <v>1.55</v>
      </c>
      <c r="E23" s="604">
        <v>24800</v>
      </c>
      <c r="J23" s="591"/>
    </row>
    <row r="24" spans="1:14" ht="12.75" customHeight="1">
      <c r="A24" s="590" t="s">
        <v>564</v>
      </c>
      <c r="B24" s="590"/>
      <c r="C24" s="591">
        <v>0</v>
      </c>
      <c r="D24" s="599"/>
      <c r="E24" s="597">
        <v>24800</v>
      </c>
      <c r="H24" s="590" t="s">
        <v>332</v>
      </c>
      <c r="I24" s="590" t="s">
        <v>115</v>
      </c>
      <c r="J24" s="591">
        <v>0</v>
      </c>
      <c r="K24" s="591">
        <v>20651160</v>
      </c>
      <c r="N24" s="591"/>
    </row>
    <row r="25" spans="1:8" ht="12.75" customHeight="1">
      <c r="A25" s="590" t="s">
        <v>330</v>
      </c>
      <c r="B25" s="590" t="s">
        <v>331</v>
      </c>
      <c r="C25" s="591">
        <v>115</v>
      </c>
      <c r="D25" s="591">
        <v>100</v>
      </c>
      <c r="E25" s="597">
        <v>11500</v>
      </c>
      <c r="H25" s="590" t="s">
        <v>333</v>
      </c>
    </row>
    <row r="26" spans="1:11" ht="12.75" customHeight="1">
      <c r="A26" s="590" t="s">
        <v>565</v>
      </c>
      <c r="B26" s="605" t="s">
        <v>566</v>
      </c>
      <c r="C26" s="591">
        <v>646384</v>
      </c>
      <c r="D26" s="591">
        <v>2</v>
      </c>
      <c r="E26" s="597">
        <v>1292768</v>
      </c>
      <c r="F26" s="598">
        <f>E26+E25+E24+E22-E25</f>
        <v>1327768</v>
      </c>
      <c r="H26" s="590" t="s">
        <v>334</v>
      </c>
      <c r="I26" s="590" t="s">
        <v>115</v>
      </c>
      <c r="J26" s="591">
        <v>0</v>
      </c>
      <c r="K26" s="591">
        <v>57411388</v>
      </c>
    </row>
    <row r="27" spans="1:13" ht="12.75" customHeight="1">
      <c r="A27" s="590" t="s">
        <v>332</v>
      </c>
      <c r="B27" s="590" t="s">
        <v>115</v>
      </c>
      <c r="C27" s="591">
        <v>0</v>
      </c>
      <c r="D27" s="591"/>
      <c r="E27" s="591">
        <v>11844681</v>
      </c>
      <c r="H27" s="590" t="s">
        <v>335</v>
      </c>
      <c r="I27" s="590" t="s">
        <v>115</v>
      </c>
      <c r="J27" s="591">
        <v>0</v>
      </c>
      <c r="K27" s="591">
        <v>36760228</v>
      </c>
      <c r="M27" s="591"/>
    </row>
    <row r="28" spans="1:11" ht="13.5" customHeight="1">
      <c r="A28" s="590" t="s">
        <v>567</v>
      </c>
      <c r="B28" s="590"/>
      <c r="C28" s="591">
        <v>0</v>
      </c>
      <c r="D28" s="591"/>
      <c r="E28" s="591">
        <v>0</v>
      </c>
      <c r="H28" s="590" t="s">
        <v>336</v>
      </c>
      <c r="K28" s="591">
        <f>+K30+K32+K34+K35+K37+K39</f>
        <v>31607690</v>
      </c>
    </row>
    <row r="29" spans="1:8" ht="12.75" customHeight="1">
      <c r="A29" s="590" t="s">
        <v>568</v>
      </c>
      <c r="B29" s="590"/>
      <c r="C29" s="591"/>
      <c r="D29" s="591"/>
      <c r="E29" s="591">
        <v>156803411</v>
      </c>
      <c r="F29" s="598">
        <f>E8+E10+E20+E22+E24+E25+E26</f>
        <v>158107679</v>
      </c>
      <c r="H29" s="590" t="s">
        <v>337</v>
      </c>
    </row>
    <row r="30" spans="1:15" ht="12.75" customHeight="1">
      <c r="A30" s="590"/>
      <c r="B30" s="590"/>
      <c r="C30" s="591"/>
      <c r="D30" s="591"/>
      <c r="E30" s="591"/>
      <c r="H30" s="590" t="s">
        <v>569</v>
      </c>
      <c r="I30" s="590" t="s">
        <v>115</v>
      </c>
      <c r="J30" s="606">
        <v>1.2022</v>
      </c>
      <c r="K30" s="591">
        <v>2374345</v>
      </c>
      <c r="L30" s="607" t="s">
        <v>570</v>
      </c>
      <c r="M30" s="590">
        <f>6011/5000</f>
        <v>1.2022</v>
      </c>
      <c r="N30" s="590" t="s">
        <v>571</v>
      </c>
      <c r="O30" s="590" t="s">
        <v>572</v>
      </c>
    </row>
    <row r="31" spans="1:14" ht="12.75" customHeight="1">
      <c r="A31" s="590" t="s">
        <v>333</v>
      </c>
      <c r="B31" s="590"/>
      <c r="C31" s="590"/>
      <c r="D31" s="591"/>
      <c r="E31" s="591"/>
      <c r="H31" s="590" t="s">
        <v>338</v>
      </c>
      <c r="L31" s="608">
        <f>K30+K32</f>
        <v>4748690</v>
      </c>
      <c r="M31" s="590">
        <f>6011/5000*3950000</f>
        <v>4748690</v>
      </c>
      <c r="N31" s="590" t="s">
        <v>573</v>
      </c>
    </row>
    <row r="32" spans="1:12" ht="12.75" customHeight="1">
      <c r="A32" s="590" t="s">
        <v>615</v>
      </c>
      <c r="B32" s="590" t="s">
        <v>115</v>
      </c>
      <c r="C32" s="591">
        <v>0</v>
      </c>
      <c r="D32" s="591"/>
      <c r="E32" s="597">
        <v>71657840</v>
      </c>
      <c r="H32" s="590" t="s">
        <v>574</v>
      </c>
      <c r="I32" s="590" t="s">
        <v>115</v>
      </c>
      <c r="J32" s="606">
        <v>1.2022</v>
      </c>
      <c r="K32" s="591">
        <v>2374345</v>
      </c>
      <c r="L32" s="607" t="s">
        <v>570</v>
      </c>
    </row>
    <row r="33" spans="1:11" ht="12.75" customHeight="1">
      <c r="A33" s="590" t="s">
        <v>336</v>
      </c>
      <c r="B33" s="590"/>
      <c r="C33" s="590"/>
      <c r="D33" s="591"/>
      <c r="E33" s="597">
        <v>28799090</v>
      </c>
      <c r="H33" s="590" t="s">
        <v>339</v>
      </c>
      <c r="I33" s="590" t="s">
        <v>340</v>
      </c>
      <c r="J33" s="591">
        <v>0</v>
      </c>
      <c r="K33" s="591">
        <v>0</v>
      </c>
    </row>
    <row r="34" spans="1:15" ht="12.75" customHeight="1">
      <c r="A34" s="590" t="s">
        <v>337</v>
      </c>
      <c r="B34" s="590"/>
      <c r="C34" s="590"/>
      <c r="D34" s="591"/>
      <c r="E34" s="591"/>
      <c r="H34" s="590" t="s">
        <v>341</v>
      </c>
      <c r="I34" s="590" t="s">
        <v>115</v>
      </c>
      <c r="J34" s="591">
        <v>75</v>
      </c>
      <c r="K34" s="591">
        <v>4152000</v>
      </c>
      <c r="L34" s="591">
        <f>J34*55360</f>
        <v>4152000</v>
      </c>
      <c r="N34" s="590" t="s">
        <v>575</v>
      </c>
      <c r="O34" s="590" t="s">
        <v>576</v>
      </c>
    </row>
    <row r="35" spans="1:15" ht="12.75" customHeight="1">
      <c r="A35" s="590" t="s">
        <v>569</v>
      </c>
      <c r="B35" s="590" t="s">
        <v>115</v>
      </c>
      <c r="C35" s="606">
        <v>1.2086</v>
      </c>
      <c r="D35" s="591">
        <v>3950000</v>
      </c>
      <c r="E35" s="591">
        <v>2386985</v>
      </c>
      <c r="H35" s="590" t="s">
        <v>342</v>
      </c>
      <c r="I35" s="590" t="s">
        <v>115</v>
      </c>
      <c r="J35" s="591">
        <v>39</v>
      </c>
      <c r="K35" s="591">
        <v>5655000</v>
      </c>
      <c r="L35" s="591">
        <f>J35*145000</f>
        <v>5655000</v>
      </c>
      <c r="N35" s="590" t="s">
        <v>577</v>
      </c>
      <c r="O35" s="590" t="s">
        <v>578</v>
      </c>
    </row>
    <row r="36" spans="1:8" ht="12.75" customHeight="1">
      <c r="A36" s="590" t="s">
        <v>338</v>
      </c>
      <c r="B36" s="590"/>
      <c r="C36" s="590"/>
      <c r="D36" s="591"/>
      <c r="E36" s="591"/>
      <c r="H36" s="590" t="s">
        <v>343</v>
      </c>
    </row>
    <row r="37" spans="1:15" ht="12.75" customHeight="1">
      <c r="A37" s="590" t="s">
        <v>574</v>
      </c>
      <c r="B37" s="590" t="s">
        <v>115</v>
      </c>
      <c r="C37" s="606">
        <v>1.2086</v>
      </c>
      <c r="D37" s="591">
        <v>3950000</v>
      </c>
      <c r="E37" s="591">
        <v>2386985</v>
      </c>
      <c r="H37" s="590" t="s">
        <v>344</v>
      </c>
      <c r="I37" s="590" t="s">
        <v>115</v>
      </c>
      <c r="J37" s="591">
        <v>28</v>
      </c>
      <c r="K37" s="591">
        <v>3052000</v>
      </c>
      <c r="L37" s="591">
        <f>J37*109000</f>
        <v>3052000</v>
      </c>
      <c r="N37" s="590" t="s">
        <v>579</v>
      </c>
      <c r="O37" s="590" t="s">
        <v>580</v>
      </c>
    </row>
    <row r="38" spans="1:8" ht="12.75" customHeight="1">
      <c r="A38" s="590" t="s">
        <v>339</v>
      </c>
      <c r="B38" s="590" t="s">
        <v>340</v>
      </c>
      <c r="C38" s="591">
        <v>0</v>
      </c>
      <c r="D38" s="591"/>
      <c r="E38" s="591">
        <v>0</v>
      </c>
      <c r="H38" s="590" t="s">
        <v>345</v>
      </c>
    </row>
    <row r="39" spans="1:15" ht="12.75" customHeight="1">
      <c r="A39" s="590" t="s">
        <v>341</v>
      </c>
      <c r="B39" s="590" t="s">
        <v>115</v>
      </c>
      <c r="C39" s="591">
        <v>67</v>
      </c>
      <c r="D39" s="591">
        <v>55360</v>
      </c>
      <c r="E39" s="591">
        <v>3709120</v>
      </c>
      <c r="H39" s="590" t="s">
        <v>346</v>
      </c>
      <c r="I39" s="590" t="s">
        <v>115</v>
      </c>
      <c r="J39" s="591">
        <v>28</v>
      </c>
      <c r="K39" s="591">
        <v>14000000</v>
      </c>
      <c r="L39" s="591">
        <f>J39*500000</f>
        <v>14000000</v>
      </c>
      <c r="N39" s="590" t="s">
        <v>581</v>
      </c>
      <c r="O39" s="590" t="s">
        <v>582</v>
      </c>
    </row>
    <row r="40" spans="1:14" ht="12.75">
      <c r="A40" s="590" t="s">
        <v>342</v>
      </c>
      <c r="B40" s="590" t="s">
        <v>115</v>
      </c>
      <c r="C40" s="591">
        <v>39</v>
      </c>
      <c r="D40" s="591">
        <v>145000</v>
      </c>
      <c r="E40" s="591">
        <v>5655000</v>
      </c>
      <c r="H40" s="590" t="s">
        <v>583</v>
      </c>
      <c r="I40" s="590">
        <v>1140</v>
      </c>
      <c r="J40" s="590">
        <v>6011</v>
      </c>
      <c r="K40" s="591">
        <f>+J40*I40</f>
        <v>6852540</v>
      </c>
      <c r="N40" s="590" t="s">
        <v>584</v>
      </c>
    </row>
    <row r="41" spans="1:14" ht="12.75">
      <c r="A41" s="590" t="s">
        <v>343</v>
      </c>
      <c r="B41" s="590"/>
      <c r="C41" s="590"/>
      <c r="D41" s="591"/>
      <c r="E41" s="591"/>
      <c r="H41" s="590" t="s">
        <v>585</v>
      </c>
      <c r="K41" s="591">
        <v>278850</v>
      </c>
      <c r="N41" s="590" t="s">
        <v>584</v>
      </c>
    </row>
    <row r="42" spans="1:5" ht="12.75">
      <c r="A42" s="590" t="s">
        <v>344</v>
      </c>
      <c r="B42" s="590" t="s">
        <v>115</v>
      </c>
      <c r="C42" s="591">
        <v>29</v>
      </c>
      <c r="D42" s="591">
        <v>109000</v>
      </c>
      <c r="E42" s="591">
        <v>3161000</v>
      </c>
    </row>
    <row r="43" spans="1:5" ht="12.75">
      <c r="A43" s="590" t="s">
        <v>345</v>
      </c>
      <c r="B43" s="590"/>
      <c r="C43" s="590"/>
      <c r="D43" s="591"/>
      <c r="E43" s="591"/>
    </row>
    <row r="44" spans="1:6" ht="12.75">
      <c r="A44" s="590" t="s">
        <v>346</v>
      </c>
      <c r="B44" s="590" t="s">
        <v>115</v>
      </c>
      <c r="C44" s="591">
        <v>23</v>
      </c>
      <c r="D44" s="591">
        <v>500000</v>
      </c>
      <c r="E44" s="591">
        <v>11500000</v>
      </c>
      <c r="F44" s="598">
        <f>E32+E33</f>
        <v>100456930</v>
      </c>
    </row>
    <row r="45" spans="1:6" ht="15">
      <c r="A45" s="590" t="s">
        <v>586</v>
      </c>
      <c r="B45" s="590" t="s">
        <v>115</v>
      </c>
      <c r="C45" s="590">
        <v>6043</v>
      </c>
      <c r="D45" s="591">
        <v>1140</v>
      </c>
      <c r="E45" s="597">
        <v>6889020</v>
      </c>
      <c r="F45" s="598">
        <f>E45</f>
        <v>6889020</v>
      </c>
    </row>
    <row r="47" ht="12.75">
      <c r="E47" s="609">
        <f>E12+E14+E16+E18+E20</f>
        <v>63061611</v>
      </c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4" r:id="rId1"/>
  <headerFooter alignWithMargins="0">
    <oddHeader>&amp;L10. melléklet a 2015. évi 3/2015.(II.25.) Önkormányzati költségvetési rendelethez&amp;R2015.02.25</oddHeader>
    <oddFooter>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38.00390625" style="35" customWidth="1"/>
    <col min="2" max="3" width="11.57421875" style="35" customWidth="1"/>
    <col min="4" max="4" width="13.421875" style="35" customWidth="1"/>
    <col min="5" max="5" width="12.7109375" style="35" bestFit="1" customWidth="1"/>
    <col min="6" max="6" width="11.140625" style="35" bestFit="1" customWidth="1"/>
    <col min="7" max="7" width="9.28125" style="35" bestFit="1" customWidth="1"/>
    <col min="8" max="8" width="9.140625" style="35" customWidth="1"/>
    <col min="9" max="9" width="10.140625" style="35" bestFit="1" customWidth="1"/>
    <col min="10" max="16384" width="9.140625" style="35" customWidth="1"/>
  </cols>
  <sheetData>
    <row r="1" spans="1:9" ht="18.75">
      <c r="A1" s="980" t="s">
        <v>156</v>
      </c>
      <c r="B1" s="980"/>
      <c r="C1" s="980"/>
      <c r="D1" s="980"/>
      <c r="E1" s="980"/>
      <c r="F1" s="980"/>
      <c r="G1" s="980"/>
      <c r="H1" s="980"/>
      <c r="I1" s="980"/>
    </row>
    <row r="2" spans="1:9" ht="18.75">
      <c r="A2" s="980" t="s">
        <v>157</v>
      </c>
      <c r="B2" s="980"/>
      <c r="C2" s="980"/>
      <c r="D2" s="980"/>
      <c r="E2" s="980"/>
      <c r="F2" s="980"/>
      <c r="G2" s="980"/>
      <c r="H2" s="980"/>
      <c r="I2" s="980"/>
    </row>
    <row r="3" spans="1:9" ht="18.75">
      <c r="A3" s="980" t="s">
        <v>349</v>
      </c>
      <c r="B3" s="980"/>
      <c r="C3" s="980"/>
      <c r="D3" s="980"/>
      <c r="E3" s="980"/>
      <c r="F3" s="980"/>
      <c r="G3" s="980"/>
      <c r="H3" s="980"/>
      <c r="I3" s="980"/>
    </row>
    <row r="4" ht="18.75">
      <c r="A4" s="43"/>
    </row>
    <row r="5" ht="17.25" thickBot="1">
      <c r="I5" s="44" t="s">
        <v>112</v>
      </c>
    </row>
    <row r="6" spans="1:9" ht="15" customHeight="1" thickBot="1">
      <c r="A6" s="45"/>
      <c r="B6" s="46"/>
      <c r="C6" s="46"/>
      <c r="D6" s="47"/>
      <c r="E6" s="77"/>
      <c r="F6" s="1002" t="s">
        <v>166</v>
      </c>
      <c r="G6" s="978"/>
      <c r="H6" s="978"/>
      <c r="I6" s="979"/>
    </row>
    <row r="7" spans="1:9" ht="30">
      <c r="A7" s="48" t="s">
        <v>60</v>
      </c>
      <c r="B7" s="49" t="s">
        <v>158</v>
      </c>
      <c r="C7" s="49" t="s">
        <v>159</v>
      </c>
      <c r="D7" s="50" t="s">
        <v>160</v>
      </c>
      <c r="E7" s="68" t="s">
        <v>161</v>
      </c>
      <c r="F7" s="71" t="s">
        <v>167</v>
      </c>
      <c r="G7" s="65" t="s">
        <v>168</v>
      </c>
      <c r="H7" s="74" t="s">
        <v>58</v>
      </c>
      <c r="I7" s="81" t="s">
        <v>53</v>
      </c>
    </row>
    <row r="8" spans="1:9" ht="29.25" customHeight="1">
      <c r="A8" s="51"/>
      <c r="B8" s="52" t="s">
        <v>162</v>
      </c>
      <c r="C8" s="52" t="s">
        <v>163</v>
      </c>
      <c r="D8" s="53" t="s">
        <v>164</v>
      </c>
      <c r="E8" s="69" t="s">
        <v>165</v>
      </c>
      <c r="F8" s="72"/>
      <c r="G8" s="66"/>
      <c r="H8" s="67"/>
      <c r="I8" s="82">
        <f>SUM(F8:H8)</f>
        <v>0</v>
      </c>
    </row>
    <row r="9" spans="1:9" ht="19.5" customHeight="1">
      <c r="A9" s="56" t="str">
        <f>+'[3]bevétel'!A40</f>
        <v>Városellátó  Szervezet</v>
      </c>
      <c r="B9" s="54">
        <f>+'4.mell. kiadás'!M7</f>
        <v>191835</v>
      </c>
      <c r="C9" s="55">
        <f>+'3.mell. bevétel'!D6</f>
        <v>80747</v>
      </c>
      <c r="D9" s="55"/>
      <c r="E9" s="70">
        <f>+B9-C9-D9</f>
        <v>111088</v>
      </c>
      <c r="F9" s="73"/>
      <c r="G9" s="67"/>
      <c r="H9" s="75"/>
      <c r="I9" s="82">
        <f>SUM(F9:H9)</f>
        <v>0</v>
      </c>
    </row>
    <row r="10" spans="1:11" ht="35.25" customHeight="1">
      <c r="A10" s="56" t="str">
        <f>+'[3]bevétel'!A46</f>
        <v>Egészségügyi és Szociális Ellátó Szervezet</v>
      </c>
      <c r="B10" s="96">
        <f>+'4.mell. kiadás'!M11</f>
        <v>127862</v>
      </c>
      <c r="C10" s="100">
        <f>+'3.mell. bevétel'!D10</f>
        <v>10437</v>
      </c>
      <c r="D10" s="100">
        <f>'3.mell. bevétel'!F10</f>
        <v>40000</v>
      </c>
      <c r="E10" s="70">
        <f>+B10-C10-D10</f>
        <v>77425</v>
      </c>
      <c r="F10" s="73"/>
      <c r="G10" s="67"/>
      <c r="H10" s="75"/>
      <c r="I10" s="82">
        <f>SUM(F10:H10)</f>
        <v>0</v>
      </c>
      <c r="K10" s="57"/>
    </row>
    <row r="11" spans="1:9" ht="34.5" customHeight="1">
      <c r="A11" s="58" t="str">
        <f>+'[3]bevétel'!A62</f>
        <v>Városi Művelődési Központ és Könyvtár</v>
      </c>
      <c r="B11" s="59">
        <f>+'4.mell. kiadás'!M15</f>
        <v>25568</v>
      </c>
      <c r="C11" s="60">
        <f>+'3.mell. bevétel'!D14</f>
        <v>4000</v>
      </c>
      <c r="D11" s="60"/>
      <c r="E11" s="70">
        <f>+B11-C11-D11</f>
        <v>21568</v>
      </c>
      <c r="F11" s="73"/>
      <c r="G11" s="67"/>
      <c r="H11" s="75"/>
      <c r="I11" s="82">
        <f>SUM(F11:H11)</f>
        <v>0</v>
      </c>
    </row>
    <row r="12" spans="1:11" ht="19.5" customHeight="1">
      <c r="A12" s="56" t="str">
        <f>+'[3]bevétel'!A78</f>
        <v>Polgármesteri Hivatal</v>
      </c>
      <c r="B12" s="55">
        <f>+'4.mell. kiadás'!M26</f>
        <v>207837</v>
      </c>
      <c r="C12" s="55">
        <f>+'3.mell. bevétel'!D22+'3.mell. bevétel'!J22</f>
        <v>7086</v>
      </c>
      <c r="D12" s="55"/>
      <c r="E12" s="70">
        <f>+B12-C12-D12</f>
        <v>200751</v>
      </c>
      <c r="F12" s="73"/>
      <c r="G12" s="67"/>
      <c r="H12" s="76"/>
      <c r="I12" s="82">
        <f>SUM(F12:H12)</f>
        <v>0</v>
      </c>
      <c r="K12" s="57"/>
    </row>
    <row r="13" spans="1:11" ht="19.5" customHeight="1" thickBot="1">
      <c r="A13" s="85" t="s">
        <v>175</v>
      </c>
      <c r="B13" s="86">
        <f>+'4.mell. kiadás'!M19</f>
        <v>191087</v>
      </c>
      <c r="C13" s="86">
        <f>+'3.mell. bevétel'!D18</f>
        <v>33308</v>
      </c>
      <c r="D13" s="86"/>
      <c r="E13" s="70"/>
      <c r="F13" s="87"/>
      <c r="G13" s="66"/>
      <c r="H13" s="88"/>
      <c r="I13" s="89"/>
      <c r="K13" s="57"/>
    </row>
    <row r="14" spans="1:9" s="36" customFormat="1" ht="19.5" customHeight="1" thickBot="1">
      <c r="A14" s="78" t="s">
        <v>5</v>
      </c>
      <c r="B14" s="79">
        <f>SUM(B9:B13)</f>
        <v>744189</v>
      </c>
      <c r="C14" s="79">
        <f>SUM(C9:C13)</f>
        <v>135578</v>
      </c>
      <c r="D14" s="79">
        <f>SUM(D9:D13)</f>
        <v>40000</v>
      </c>
      <c r="E14" s="79">
        <f>SUM(E9:E13)</f>
        <v>410832</v>
      </c>
      <c r="F14" s="80">
        <f>SUM(F9:F12)</f>
        <v>0</v>
      </c>
      <c r="G14" s="80">
        <f>SUM(G9:G12)</f>
        <v>0</v>
      </c>
      <c r="H14" s="80">
        <f>SUM(H9:H12)</f>
        <v>0</v>
      </c>
      <c r="I14" s="83">
        <f>SUM(I9:I12)</f>
        <v>0</v>
      </c>
    </row>
    <row r="15" spans="1:8" ht="19.5" customHeight="1">
      <c r="A15" s="61"/>
      <c r="B15" s="62">
        <f>+'4.mell. kiadás'!M30</f>
        <v>744189</v>
      </c>
      <c r="C15" s="62">
        <f>+'3.mell. bevétel'!D26</f>
        <v>134978</v>
      </c>
      <c r="D15" s="62">
        <f>+'1.mell. pfbevétel'!E18</f>
        <v>265453.629</v>
      </c>
      <c r="E15" s="62"/>
      <c r="F15" s="63"/>
      <c r="H15" s="57"/>
    </row>
    <row r="26" spans="1:7" ht="12.75">
      <c r="A26" s="35" t="e">
        <f>+#REF!</f>
        <v>#REF!</v>
      </c>
      <c r="C26" s="57" t="e">
        <f>+#REF!</f>
        <v>#REF!</v>
      </c>
      <c r="D26" s="35">
        <v>74838</v>
      </c>
      <c r="F26" s="57" t="e">
        <f>+#REF!/1000</f>
        <v>#REF!</v>
      </c>
      <c r="G26" s="57">
        <f>+'1.mell. pfbevétel'!E4+'1.mell. pfbevétel'!E13+'1.mell. pfbevétel'!E22</f>
        <v>407205</v>
      </c>
    </row>
    <row r="27" spans="1:4" ht="12.75">
      <c r="A27" s="35" t="s">
        <v>176</v>
      </c>
      <c r="D27" s="57" t="e">
        <f>+'6.mell. segélyek'!#REF!</f>
        <v>#REF!</v>
      </c>
    </row>
    <row r="28" spans="1:4" ht="12.75">
      <c r="A28" s="35" t="s">
        <v>177</v>
      </c>
      <c r="D28" s="35">
        <v>11350</v>
      </c>
    </row>
    <row r="30" ht="13.5" thickBot="1"/>
    <row r="31" spans="1:4" ht="13.5" thickBot="1">
      <c r="A31" s="90" t="s">
        <v>178</v>
      </c>
      <c r="B31" s="91"/>
      <c r="C31" s="91"/>
      <c r="D31" s="92" t="e">
        <f>+D26-D27-D28-D29-D30</f>
        <v>#REF!</v>
      </c>
    </row>
    <row r="33" ht="12.75">
      <c r="D33" s="57" t="e">
        <f>+D26-D27</f>
        <v>#REF!</v>
      </c>
    </row>
  </sheetData>
  <sheetProtection/>
  <mergeCells count="4">
    <mergeCell ref="F6:I6"/>
    <mergeCell ref="A1:I1"/>
    <mergeCell ref="A2:I2"/>
    <mergeCell ref="A3:I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&amp;L11.melléklet a 2013. évi ..../2013.(I......) Önkormányzati költségvetési rendelethez&amp;R&amp;D</oddHeader>
    <oddFooter>&amp;R&amp;F</oddFooter>
  </headerFooter>
  <rowBreaks count="1" manualBreakCount="1">
    <brk id="1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2:Q67"/>
  <sheetViews>
    <sheetView view="pageLayout" zoomScale="60" zoomScaleNormal="60" zoomScalePageLayoutView="60" workbookViewId="0" topLeftCell="A1">
      <selection activeCell="I36" sqref="I36"/>
    </sheetView>
  </sheetViews>
  <sheetFormatPr defaultColWidth="9.140625" defaultRowHeight="18.75" customHeight="1"/>
  <cols>
    <col min="1" max="1" width="6.00390625" style="33" customWidth="1"/>
    <col min="2" max="2" width="32.421875" style="33" customWidth="1"/>
    <col min="3" max="4" width="13.00390625" style="33" customWidth="1"/>
    <col min="5" max="5" width="18.421875" style="33" customWidth="1"/>
    <col min="6" max="6" width="14.140625" style="33" customWidth="1"/>
    <col min="7" max="7" width="11.00390625" style="33" customWidth="1"/>
    <col min="8" max="8" width="12.28125" style="33" customWidth="1"/>
    <col min="9" max="9" width="10.8515625" style="33" customWidth="1"/>
    <col min="10" max="10" width="14.140625" style="33" customWidth="1"/>
    <col min="11" max="11" width="13.28125" style="33" bestFit="1" customWidth="1"/>
    <col min="12" max="13" width="9.28125" style="33" bestFit="1" customWidth="1"/>
    <col min="14" max="14" width="11.28125" style="33" bestFit="1" customWidth="1"/>
    <col min="15" max="16" width="9.140625" style="33" customWidth="1"/>
    <col min="17" max="17" width="11.7109375" style="33" bestFit="1" customWidth="1"/>
    <col min="18" max="16384" width="9.140625" style="33" customWidth="1"/>
  </cols>
  <sheetData>
    <row r="2" spans="1:11" ht="18.75" customHeight="1">
      <c r="A2" s="974" t="s">
        <v>600</v>
      </c>
      <c r="B2" s="974"/>
      <c r="C2" s="974"/>
      <c r="D2" s="974"/>
      <c r="E2" s="974"/>
      <c r="F2" s="974"/>
      <c r="G2" s="974"/>
      <c r="H2" s="974"/>
      <c r="I2" s="974"/>
      <c r="J2" s="974"/>
      <c r="K2" s="974"/>
    </row>
    <row r="3" spans="2:11" ht="18.75" customHeight="1">
      <c r="B3" s="935"/>
      <c r="C3" s="935"/>
      <c r="D3" s="935"/>
      <c r="E3" s="935"/>
      <c r="F3" s="935"/>
      <c r="G3" s="935"/>
      <c r="H3" s="935"/>
      <c r="I3" s="935"/>
      <c r="J3" s="935"/>
      <c r="K3" s="474" t="s">
        <v>179</v>
      </c>
    </row>
    <row r="4" spans="2:11" ht="18.75" customHeight="1" thickBot="1">
      <c r="B4" s="935"/>
      <c r="C4" s="935"/>
      <c r="D4" s="935"/>
      <c r="E4" s="935"/>
      <c r="F4" s="935"/>
      <c r="G4" s="935"/>
      <c r="H4" s="935"/>
      <c r="I4" s="935"/>
      <c r="J4" s="935"/>
      <c r="K4" s="935"/>
    </row>
    <row r="5" spans="2:11" ht="18.75" customHeight="1">
      <c r="B5" s="975" t="s">
        <v>599</v>
      </c>
      <c r="C5" s="975" t="s">
        <v>180</v>
      </c>
      <c r="D5" s="977" t="s">
        <v>181</v>
      </c>
      <c r="E5" s="975" t="s">
        <v>182</v>
      </c>
      <c r="F5" s="975" t="s">
        <v>183</v>
      </c>
      <c r="G5" s="1004" t="s">
        <v>184</v>
      </c>
      <c r="H5" s="1004"/>
      <c r="I5" s="1004"/>
      <c r="J5" s="1004"/>
      <c r="K5" s="975" t="s">
        <v>5</v>
      </c>
    </row>
    <row r="6" spans="2:15" ht="18.75" customHeight="1">
      <c r="B6" s="976"/>
      <c r="C6" s="976"/>
      <c r="D6" s="1003"/>
      <c r="E6" s="976"/>
      <c r="F6" s="976"/>
      <c r="G6" s="1005" t="s">
        <v>185</v>
      </c>
      <c r="H6" s="1007" t="s">
        <v>186</v>
      </c>
      <c r="I6" s="1007" t="s">
        <v>378</v>
      </c>
      <c r="J6" s="1009" t="s">
        <v>187</v>
      </c>
      <c r="K6" s="976"/>
      <c r="N6" s="609"/>
      <c r="O6" s="609"/>
    </row>
    <row r="7" spans="2:11" ht="51" customHeight="1" thickBot="1">
      <c r="B7" s="976"/>
      <c r="C7" s="976"/>
      <c r="D7" s="1003"/>
      <c r="E7" s="976"/>
      <c r="F7" s="976"/>
      <c r="G7" s="1006"/>
      <c r="H7" s="1008"/>
      <c r="I7" s="1008"/>
      <c r="J7" s="1010"/>
      <c r="K7" s="976"/>
    </row>
    <row r="8" spans="2:11" ht="18.75" customHeight="1">
      <c r="B8" s="936" t="s">
        <v>65</v>
      </c>
      <c r="C8" s="937"/>
      <c r="D8" s="937"/>
      <c r="E8" s="938"/>
      <c r="F8" s="937"/>
      <c r="G8" s="937"/>
      <c r="H8" s="937"/>
      <c r="I8" s="937"/>
      <c r="J8" s="939"/>
      <c r="K8" s="940"/>
    </row>
    <row r="9" spans="2:17" ht="29.25" customHeight="1">
      <c r="B9" s="941" t="s">
        <v>207</v>
      </c>
      <c r="C9" s="942">
        <f>+'4.mell. kiadás'!D26-C10</f>
        <v>92226</v>
      </c>
      <c r="D9" s="943">
        <f>+'4.mell. kiadás'!E26-D10</f>
        <v>25057</v>
      </c>
      <c r="E9" s="943">
        <f>+'4.mell. kiadás'!F26</f>
        <v>30856</v>
      </c>
      <c r="F9" s="944">
        <v>1667</v>
      </c>
      <c r="G9" s="944"/>
      <c r="H9" s="944"/>
      <c r="I9" s="944"/>
      <c r="J9" s="944"/>
      <c r="K9" s="945">
        <f>SUM(C9:J9)</f>
        <v>149806</v>
      </c>
      <c r="M9" s="199"/>
      <c r="N9" s="94"/>
      <c r="O9" s="609"/>
      <c r="P9" s="609"/>
      <c r="Q9" s="609"/>
    </row>
    <row r="10" spans="2:14" ht="18.75" customHeight="1">
      <c r="B10" s="941" t="s">
        <v>188</v>
      </c>
      <c r="C10" s="944">
        <v>10441</v>
      </c>
      <c r="D10" s="944">
        <v>2819</v>
      </c>
      <c r="E10" s="944"/>
      <c r="F10" s="944">
        <v>1333</v>
      </c>
      <c r="G10" s="944"/>
      <c r="H10" s="944"/>
      <c r="I10" s="944"/>
      <c r="J10" s="944"/>
      <c r="K10" s="945">
        <f>+J10+F10+E10+D10+C10</f>
        <v>14593</v>
      </c>
      <c r="L10" s="94"/>
      <c r="M10" s="609"/>
      <c r="N10" s="609"/>
    </row>
    <row r="11" spans="2:14" ht="48.75" customHeight="1">
      <c r="B11" s="450" t="s">
        <v>529</v>
      </c>
      <c r="C11" s="944">
        <f>SUM(C9:C10)</f>
        <v>102667</v>
      </c>
      <c r="D11" s="944">
        <f>SUM(D9:D10)</f>
        <v>27876</v>
      </c>
      <c r="E11" s="944">
        <f>SUM(E9:E10)</f>
        <v>30856</v>
      </c>
      <c r="F11" s="944">
        <f>SUM(F9:F10)</f>
        <v>3000</v>
      </c>
      <c r="G11" s="944"/>
      <c r="H11" s="944"/>
      <c r="I11" s="944">
        <f>'12.mell korm.funkc ök össz'!H51</f>
        <v>0</v>
      </c>
      <c r="J11" s="944"/>
      <c r="K11" s="945">
        <f>SUM(C11:J11)</f>
        <v>164399</v>
      </c>
      <c r="L11" s="94"/>
      <c r="M11" s="609"/>
      <c r="N11" s="609"/>
    </row>
    <row r="12" spans="2:14" ht="26.25" customHeight="1">
      <c r="B12" s="447" t="s">
        <v>530</v>
      </c>
      <c r="C12" s="944"/>
      <c r="D12" s="944"/>
      <c r="E12" s="944"/>
      <c r="F12" s="944"/>
      <c r="G12" s="944">
        <f>'12.mell korm.funkc ök össz'!I52</f>
        <v>23262</v>
      </c>
      <c r="H12" s="944"/>
      <c r="I12" s="944"/>
      <c r="J12" s="944"/>
      <c r="K12" s="945">
        <f>SUM(C12:J12)</f>
        <v>23262</v>
      </c>
      <c r="L12" s="94"/>
      <c r="M12" s="609"/>
      <c r="N12" s="609"/>
    </row>
    <row r="13" spans="2:14" ht="33.75" customHeight="1">
      <c r="B13" s="447" t="s">
        <v>531</v>
      </c>
      <c r="C13" s="944"/>
      <c r="D13" s="944"/>
      <c r="E13" s="944"/>
      <c r="F13" s="944"/>
      <c r="G13" s="944">
        <f>'12.mell korm.funkc ök össz'!I53</f>
        <v>20176</v>
      </c>
      <c r="H13" s="944"/>
      <c r="I13" s="944"/>
      <c r="J13" s="944"/>
      <c r="K13" s="945">
        <f>SUM(C13:J13)</f>
        <v>20176</v>
      </c>
      <c r="L13" s="94"/>
      <c r="M13" s="609"/>
      <c r="N13" s="609"/>
    </row>
    <row r="14" spans="2:13" ht="18.75" customHeight="1" thickBot="1">
      <c r="B14" s="946" t="s">
        <v>189</v>
      </c>
      <c r="C14" s="947">
        <f>SUM(C11:C13)</f>
        <v>102667</v>
      </c>
      <c r="D14" s="947">
        <f aca="true" t="shared" si="0" ref="D14:K14">SUM(D11:D13)</f>
        <v>27876</v>
      </c>
      <c r="E14" s="947">
        <f t="shared" si="0"/>
        <v>30856</v>
      </c>
      <c r="F14" s="947">
        <f t="shared" si="0"/>
        <v>3000</v>
      </c>
      <c r="G14" s="947">
        <f t="shared" si="0"/>
        <v>43438</v>
      </c>
      <c r="H14" s="947">
        <f t="shared" si="0"/>
        <v>0</v>
      </c>
      <c r="I14" s="947">
        <f t="shared" si="0"/>
        <v>0</v>
      </c>
      <c r="J14" s="947">
        <f t="shared" si="0"/>
        <v>0</v>
      </c>
      <c r="K14" s="948">
        <f t="shared" si="0"/>
        <v>207837</v>
      </c>
      <c r="L14" s="94">
        <f>+'4.mell. kiadás'!M26</f>
        <v>207837</v>
      </c>
      <c r="M14" s="923">
        <f>'[18]Munka1'!$F$111/1000</f>
        <v>207837</v>
      </c>
    </row>
    <row r="15" spans="2:12" ht="18.75" customHeight="1" thickBot="1">
      <c r="B15" s="949"/>
      <c r="C15" s="923"/>
      <c r="D15" s="923"/>
      <c r="E15" s="923"/>
      <c r="F15" s="923"/>
      <c r="G15" s="923"/>
      <c r="H15" s="923"/>
      <c r="I15" s="923"/>
      <c r="J15" s="923"/>
      <c r="K15" s="923"/>
      <c r="L15" s="94"/>
    </row>
    <row r="16" spans="2:12" ht="18.75" customHeight="1">
      <c r="B16" s="936" t="s">
        <v>175</v>
      </c>
      <c r="C16" s="939"/>
      <c r="D16" s="939"/>
      <c r="E16" s="939"/>
      <c r="F16" s="939"/>
      <c r="G16" s="939"/>
      <c r="H16" s="939"/>
      <c r="I16" s="939"/>
      <c r="J16" s="939"/>
      <c r="K16" s="940"/>
      <c r="L16" s="94"/>
    </row>
    <row r="17" spans="2:11" ht="30.75" customHeight="1">
      <c r="B17" s="446" t="s">
        <v>528</v>
      </c>
      <c r="C17" s="449">
        <f>'12.mell korm.funkc ök össz'!C58</f>
        <v>1620</v>
      </c>
      <c r="D17" s="449">
        <f>'12.mell korm.funkc ök össz'!D58</f>
        <v>447</v>
      </c>
      <c r="E17" s="449">
        <f>'12.mell korm.funkc ök össz'!E58</f>
        <v>21202</v>
      </c>
      <c r="F17" s="449">
        <v>29500</v>
      </c>
      <c r="G17" s="449"/>
      <c r="H17" s="449">
        <f>'12.mell korm.funkc ök össz'!G58</f>
        <v>45794</v>
      </c>
      <c r="I17" s="449">
        <f>'12.mell korm.funkc ök össz'!H58</f>
        <v>74380</v>
      </c>
      <c r="J17" s="449"/>
      <c r="K17" s="950">
        <f aca="true" t="shared" si="1" ref="K17:K25">SUM(C17:J17)</f>
        <v>172943</v>
      </c>
    </row>
    <row r="18" spans="2:16" ht="31.5" customHeight="1">
      <c r="B18" s="446" t="s">
        <v>506</v>
      </c>
      <c r="C18" s="449">
        <f>'12.mell korm.funkc ök össz'!C59</f>
        <v>1524</v>
      </c>
      <c r="D18" s="449">
        <f>'12.mell korm.funkc ök össz'!D59</f>
        <v>412</v>
      </c>
      <c r="E18" s="449">
        <f>'12.mell korm.funkc ök össz'!E59</f>
        <v>2191</v>
      </c>
      <c r="F18" s="449"/>
      <c r="G18" s="449"/>
      <c r="H18" s="449"/>
      <c r="I18" s="449"/>
      <c r="J18" s="449"/>
      <c r="K18" s="950">
        <f t="shared" si="1"/>
        <v>4127</v>
      </c>
      <c r="L18" s="94"/>
      <c r="M18" s="199"/>
      <c r="N18" s="609"/>
      <c r="P18" s="609"/>
    </row>
    <row r="19" spans="2:11" ht="42.75" customHeight="1">
      <c r="B19" s="446" t="s">
        <v>507</v>
      </c>
      <c r="C19" s="449"/>
      <c r="D19" s="449"/>
      <c r="E19" s="449">
        <f>'12.mell korm.funkc ök össz'!E60</f>
        <v>1643</v>
      </c>
      <c r="F19" s="449"/>
      <c r="G19" s="449"/>
      <c r="H19" s="449"/>
      <c r="I19" s="449"/>
      <c r="J19" s="449"/>
      <c r="K19" s="950">
        <f t="shared" si="1"/>
        <v>1643</v>
      </c>
    </row>
    <row r="20" spans="2:11" ht="25.5" customHeight="1">
      <c r="B20" s="643" t="s">
        <v>605</v>
      </c>
      <c r="C20" s="449">
        <f>'[10]közmunka'!$I$5/1000</f>
        <v>2362</v>
      </c>
      <c r="D20" s="449">
        <f>'[10]közmunka'!$I$8/1000</f>
        <v>638</v>
      </c>
      <c r="E20" s="449">
        <f>'[10]közmunka'!$I$27/1000</f>
        <v>2000</v>
      </c>
      <c r="F20" s="449"/>
      <c r="G20" s="449"/>
      <c r="H20" s="449"/>
      <c r="I20" s="449"/>
      <c r="J20" s="449"/>
      <c r="K20" s="950">
        <f t="shared" si="1"/>
        <v>5000</v>
      </c>
    </row>
    <row r="21" spans="2:11" ht="30" customHeight="1">
      <c r="B21" s="446" t="s">
        <v>509</v>
      </c>
      <c r="C21" s="449"/>
      <c r="D21" s="449"/>
      <c r="E21" s="449">
        <f>'12.mell korm.funkc ök össz'!E62</f>
        <v>507</v>
      </c>
      <c r="F21" s="449"/>
      <c r="G21" s="449"/>
      <c r="H21" s="449"/>
      <c r="I21" s="449"/>
      <c r="J21" s="449"/>
      <c r="K21" s="950">
        <f t="shared" si="1"/>
        <v>507</v>
      </c>
    </row>
    <row r="22" spans="2:11" ht="25.5">
      <c r="B22" s="447" t="s">
        <v>510</v>
      </c>
      <c r="C22" s="449"/>
      <c r="D22" s="449"/>
      <c r="E22" s="449"/>
      <c r="F22" s="449"/>
      <c r="G22" s="449">
        <f>'12.mell korm.funkc ök össz'!I63</f>
        <v>200</v>
      </c>
      <c r="H22" s="449"/>
      <c r="I22" s="449"/>
      <c r="J22" s="449"/>
      <c r="K22" s="950">
        <f t="shared" si="1"/>
        <v>200</v>
      </c>
    </row>
    <row r="23" spans="2:11" ht="22.5" customHeight="1">
      <c r="B23" s="448" t="s">
        <v>511</v>
      </c>
      <c r="C23" s="449"/>
      <c r="D23" s="449"/>
      <c r="E23" s="449"/>
      <c r="F23" s="449"/>
      <c r="G23" s="449">
        <f>'12.mell korm.funkc ök össz'!I64</f>
        <v>4800</v>
      </c>
      <c r="H23" s="449"/>
      <c r="I23" s="449"/>
      <c r="J23" s="449"/>
      <c r="K23" s="950">
        <f t="shared" si="1"/>
        <v>4800</v>
      </c>
    </row>
    <row r="24" spans="2:11" ht="34.5" customHeight="1">
      <c r="B24" s="446" t="s">
        <v>508</v>
      </c>
      <c r="C24" s="951"/>
      <c r="D24" s="951"/>
      <c r="E24" s="951">
        <f>'12.mell korm.funkc ök össz'!E65</f>
        <v>1867</v>
      </c>
      <c r="F24" s="951"/>
      <c r="G24" s="951"/>
      <c r="H24" s="951"/>
      <c r="I24" s="951"/>
      <c r="J24" s="951"/>
      <c r="K24" s="950">
        <f t="shared" si="1"/>
        <v>1867</v>
      </c>
    </row>
    <row r="25" spans="2:11" ht="18.75" customHeight="1">
      <c r="B25" s="952" t="s">
        <v>187</v>
      </c>
      <c r="C25" s="449"/>
      <c r="D25" s="449"/>
      <c r="E25" s="449"/>
      <c r="F25" s="449"/>
      <c r="G25" s="449"/>
      <c r="H25" s="449"/>
      <c r="I25" s="449"/>
      <c r="J25" s="449">
        <f>+'3.mell. bevétel'!I6+'3.mell. bevétel'!I10+'3.mell. bevétel'!I14+'3.mell. bevétel'!I22</f>
        <v>410832</v>
      </c>
      <c r="K25" s="950">
        <f t="shared" si="1"/>
        <v>410832</v>
      </c>
    </row>
    <row r="26" spans="2:14" ht="18.75" customHeight="1" thickBot="1">
      <c r="B26" s="946" t="s">
        <v>191</v>
      </c>
      <c r="C26" s="947">
        <f>SUM(C17:C24)</f>
        <v>5506</v>
      </c>
      <c r="D26" s="947">
        <f aca="true" t="shared" si="2" ref="D26:I26">SUM(D17:D24)</f>
        <v>1497</v>
      </c>
      <c r="E26" s="947">
        <f t="shared" si="2"/>
        <v>29410</v>
      </c>
      <c r="F26" s="947">
        <f t="shared" si="2"/>
        <v>29500</v>
      </c>
      <c r="G26" s="947">
        <f t="shared" si="2"/>
        <v>5000</v>
      </c>
      <c r="H26" s="947">
        <f t="shared" si="2"/>
        <v>45794</v>
      </c>
      <c r="I26" s="947">
        <f t="shared" si="2"/>
        <v>74380</v>
      </c>
      <c r="J26" s="947">
        <f>SUM(J18:J25)</f>
        <v>410832</v>
      </c>
      <c r="K26" s="948">
        <f>SUM(K17:K25)</f>
        <v>601919</v>
      </c>
      <c r="L26" s="609">
        <f>'4.mell. kiadás'!M19+'3.mell. bevétel'!I26</f>
        <v>601919</v>
      </c>
      <c r="M26" s="609">
        <f>+L26-K26</f>
        <v>0</v>
      </c>
      <c r="N26" s="609"/>
    </row>
    <row r="27" spans="2:14" ht="18.75" customHeight="1">
      <c r="B27" s="95"/>
      <c r="C27" s="94">
        <f>+'4.mell. kiadás'!D19</f>
        <v>5506</v>
      </c>
      <c r="D27" s="94">
        <f>+'4.mell. kiadás'!E19</f>
        <v>1497</v>
      </c>
      <c r="E27" s="94">
        <f>+'4.mell. kiadás'!F19</f>
        <v>29410</v>
      </c>
      <c r="F27" s="609">
        <f>+'4.mell. kiadás'!K19</f>
        <v>29500</v>
      </c>
      <c r="G27" s="94" t="e">
        <f>+'4.mell. kiadás'!#REF!</f>
        <v>#REF!</v>
      </c>
      <c r="H27" s="94">
        <f>+'4.mell. kiadás'!I19</f>
        <v>45794</v>
      </c>
      <c r="I27" s="94">
        <f>+'4.mell. kiadás'!J19</f>
        <v>74380</v>
      </c>
      <c r="J27" s="94">
        <f>+'3.mell. bevétel'!I26</f>
        <v>410832</v>
      </c>
      <c r="K27" s="94">
        <f>+'4.mell. kiadás'!M19</f>
        <v>191087</v>
      </c>
      <c r="L27" s="199"/>
      <c r="M27" s="609"/>
      <c r="N27" s="609"/>
    </row>
    <row r="28" spans="2:14" ht="18.75" customHeight="1">
      <c r="B28" s="95"/>
      <c r="C28" s="94">
        <f>+C27-C26</f>
        <v>0</v>
      </c>
      <c r="D28" s="94">
        <f aca="true" t="shared" si="3" ref="D28:J28">+D27-D26</f>
        <v>0</v>
      </c>
      <c r="E28" s="94">
        <f t="shared" si="3"/>
        <v>0</v>
      </c>
      <c r="F28" s="94">
        <f t="shared" si="3"/>
        <v>0</v>
      </c>
      <c r="G28" s="94" t="e">
        <f t="shared" si="3"/>
        <v>#REF!</v>
      </c>
      <c r="H28" s="94">
        <f t="shared" si="3"/>
        <v>0</v>
      </c>
      <c r="I28" s="94">
        <f t="shared" si="3"/>
        <v>0</v>
      </c>
      <c r="J28" s="94">
        <f t="shared" si="3"/>
        <v>0</v>
      </c>
      <c r="K28" s="923" t="e">
        <f>SUM(C27:I27)</f>
        <v>#REF!</v>
      </c>
      <c r="L28" s="199"/>
      <c r="N28" s="609"/>
    </row>
    <row r="29" spans="2:12" ht="18.75" customHeight="1">
      <c r="B29" s="95"/>
      <c r="C29" s="94"/>
      <c r="D29" s="94"/>
      <c r="E29" s="94"/>
      <c r="F29" s="94"/>
      <c r="G29" s="94"/>
      <c r="H29" s="94"/>
      <c r="I29" s="94"/>
      <c r="J29" s="94"/>
      <c r="K29" s="923"/>
      <c r="L29" s="199"/>
    </row>
    <row r="30" spans="2:12" ht="18.75" customHeight="1">
      <c r="B30" s="95"/>
      <c r="C30" s="94"/>
      <c r="D30" s="94"/>
      <c r="E30" s="94"/>
      <c r="F30" s="94"/>
      <c r="G30" s="94"/>
      <c r="H30" s="94"/>
      <c r="I30" s="94"/>
      <c r="J30" s="94"/>
      <c r="K30" s="923"/>
      <c r="L30" s="199"/>
    </row>
    <row r="31" spans="2:12" ht="18.75" customHeight="1">
      <c r="B31" s="95"/>
      <c r="C31" s="94"/>
      <c r="D31" s="94"/>
      <c r="E31" s="94"/>
      <c r="F31" s="94"/>
      <c r="G31" s="94"/>
      <c r="H31" s="94"/>
      <c r="I31" s="94"/>
      <c r="J31" s="94"/>
      <c r="K31" s="923"/>
      <c r="L31" s="199"/>
    </row>
    <row r="32" spans="2:12" ht="18.75" customHeight="1">
      <c r="B32" s="95"/>
      <c r="C32" s="94"/>
      <c r="D32" s="94"/>
      <c r="E32" s="94"/>
      <c r="F32" s="94"/>
      <c r="G32" s="94"/>
      <c r="H32" s="94"/>
      <c r="I32" s="94"/>
      <c r="J32" s="94"/>
      <c r="K32" s="923"/>
      <c r="L32" s="199"/>
    </row>
    <row r="33" spans="2:12" ht="18.75" customHeight="1">
      <c r="B33" s="95"/>
      <c r="C33" s="94"/>
      <c r="D33" s="94"/>
      <c r="E33" s="94"/>
      <c r="F33" s="94"/>
      <c r="G33" s="94"/>
      <c r="H33" s="94"/>
      <c r="I33" s="94"/>
      <c r="J33" s="94"/>
      <c r="K33" s="923"/>
      <c r="L33" s="199"/>
    </row>
    <row r="34" spans="2:12" ht="18.75" customHeight="1">
      <c r="B34" s="95"/>
      <c r="C34" s="94"/>
      <c r="D34" s="94"/>
      <c r="E34" s="94"/>
      <c r="F34" s="94"/>
      <c r="G34" s="94"/>
      <c r="H34" s="94"/>
      <c r="I34" s="94"/>
      <c r="J34" s="94"/>
      <c r="K34" s="923"/>
      <c r="L34" s="199"/>
    </row>
    <row r="35" spans="2:12" ht="18.75" customHeight="1">
      <c r="B35" s="95"/>
      <c r="C35" s="94"/>
      <c r="D35" s="94"/>
      <c r="E35" s="94"/>
      <c r="F35" s="94"/>
      <c r="G35" s="94"/>
      <c r="H35" s="94"/>
      <c r="I35" s="94"/>
      <c r="J35" s="94"/>
      <c r="K35" s="923"/>
      <c r="L35" s="199"/>
    </row>
    <row r="36" spans="2:12" ht="30.75" customHeight="1">
      <c r="B36" s="95"/>
      <c r="C36" s="94"/>
      <c r="D36" s="94"/>
      <c r="E36" s="94"/>
      <c r="F36" s="94"/>
      <c r="G36" s="94"/>
      <c r="H36" s="94"/>
      <c r="I36" s="94"/>
      <c r="J36" s="94"/>
      <c r="K36" s="923"/>
      <c r="L36" s="199"/>
    </row>
    <row r="37" spans="2:12" ht="18.75" customHeight="1">
      <c r="B37" s="95"/>
      <c r="C37" s="94"/>
      <c r="D37" s="94"/>
      <c r="E37" s="94"/>
      <c r="F37" s="94"/>
      <c r="G37" s="94"/>
      <c r="H37" s="94"/>
      <c r="I37" s="94"/>
      <c r="J37" s="94"/>
      <c r="K37" s="923"/>
      <c r="L37" s="199"/>
    </row>
    <row r="38" spans="2:12" ht="18.75" customHeight="1">
      <c r="B38" s="95"/>
      <c r="C38" s="94"/>
      <c r="D38" s="94"/>
      <c r="E38" s="94"/>
      <c r="F38" s="94"/>
      <c r="G38" s="94"/>
      <c r="H38" s="94"/>
      <c r="I38" s="94"/>
      <c r="J38" s="94"/>
      <c r="K38" s="923"/>
      <c r="L38" s="199"/>
    </row>
    <row r="39" spans="2:12" ht="18.75" customHeight="1">
      <c r="B39" s="95"/>
      <c r="C39" s="953"/>
      <c r="D39" s="953"/>
      <c r="E39" s="94"/>
      <c r="F39" s="94"/>
      <c r="G39" s="94"/>
      <c r="H39" s="94"/>
      <c r="I39" s="94"/>
      <c r="J39" s="94"/>
      <c r="K39" s="923"/>
      <c r="L39" s="199"/>
    </row>
    <row r="40" spans="2:12" ht="18.75" customHeight="1">
      <c r="B40" s="95"/>
      <c r="C40" s="953"/>
      <c r="D40" s="953"/>
      <c r="E40" s="94"/>
      <c r="F40" s="94"/>
      <c r="G40" s="94"/>
      <c r="H40" s="94"/>
      <c r="I40" s="94"/>
      <c r="J40" s="94"/>
      <c r="K40" s="923"/>
      <c r="L40" s="199"/>
    </row>
    <row r="41" spans="2:12" ht="18.75" customHeight="1">
      <c r="B41" s="954"/>
      <c r="C41" s="94"/>
      <c r="D41" s="94"/>
      <c r="E41" s="94"/>
      <c r="F41" s="94"/>
      <c r="G41" s="94"/>
      <c r="H41" s="94"/>
      <c r="I41" s="94"/>
      <c r="J41" s="94"/>
      <c r="K41" s="923"/>
      <c r="L41" s="199"/>
    </row>
    <row r="42" spans="2:12" ht="18.75" customHeight="1">
      <c r="B42" s="95"/>
      <c r="C42" s="94"/>
      <c r="D42" s="94"/>
      <c r="E42" s="94"/>
      <c r="F42" s="94"/>
      <c r="G42" s="94"/>
      <c r="H42" s="94"/>
      <c r="I42" s="94"/>
      <c r="J42" s="94"/>
      <c r="K42" s="923"/>
      <c r="L42" s="199"/>
    </row>
    <row r="43" spans="2:12" ht="18.75" customHeight="1">
      <c r="B43" s="95"/>
      <c r="C43" s="94"/>
      <c r="D43" s="94"/>
      <c r="E43" s="94"/>
      <c r="F43" s="94"/>
      <c r="G43" s="94"/>
      <c r="H43" s="94"/>
      <c r="I43" s="94"/>
      <c r="J43" s="94"/>
      <c r="K43" s="923"/>
      <c r="L43" s="199"/>
    </row>
    <row r="44" spans="2:12" ht="18.75" customHeight="1"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</row>
    <row r="45" spans="2:12" ht="18.75" customHeight="1"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</row>
    <row r="59" spans="2:11" ht="18.75" customHeight="1">
      <c r="B59" s="973"/>
      <c r="C59" s="973"/>
      <c r="D59" s="973"/>
      <c r="E59" s="973"/>
      <c r="F59" s="973"/>
      <c r="G59" s="973"/>
      <c r="H59" s="973"/>
      <c r="I59" s="973"/>
      <c r="J59" s="973"/>
      <c r="K59" s="973"/>
    </row>
    <row r="60" spans="2:11" ht="18.75" customHeight="1">
      <c r="B60" s="956"/>
      <c r="C60" s="199"/>
      <c r="D60" s="199"/>
      <c r="E60" s="199"/>
      <c r="F60" s="199"/>
      <c r="G60" s="199"/>
      <c r="H60" s="199"/>
      <c r="I60" s="199"/>
      <c r="J60" s="199"/>
      <c r="K60" s="199"/>
    </row>
    <row r="61" spans="2:11" ht="18.75" customHeight="1">
      <c r="B61" s="956"/>
      <c r="C61" s="199"/>
      <c r="D61" s="199"/>
      <c r="E61" s="199"/>
      <c r="F61" s="199"/>
      <c r="G61" s="199"/>
      <c r="H61" s="199"/>
      <c r="I61" s="199"/>
      <c r="J61" s="199"/>
      <c r="K61" s="199"/>
    </row>
    <row r="62" spans="2:11" ht="18.75" customHeight="1">
      <c r="B62" s="956"/>
      <c r="C62" s="199"/>
      <c r="D62" s="199"/>
      <c r="E62" s="199"/>
      <c r="F62" s="199"/>
      <c r="G62" s="199"/>
      <c r="H62" s="199"/>
      <c r="I62" s="199"/>
      <c r="J62" s="199"/>
      <c r="K62" s="199"/>
    </row>
    <row r="64" ht="18.75" customHeight="1">
      <c r="B64" s="955"/>
    </row>
    <row r="66" ht="18.75" customHeight="1">
      <c r="B66" s="955"/>
    </row>
    <row r="67" ht="18.75" customHeight="1">
      <c r="B67" s="955"/>
    </row>
  </sheetData>
  <sheetProtection/>
  <mergeCells count="13">
    <mergeCell ref="H6:H7"/>
    <mergeCell ref="I6:I7"/>
    <mergeCell ref="J6:J7"/>
    <mergeCell ref="B59:K59"/>
    <mergeCell ref="A2:K2"/>
    <mergeCell ref="B5:B7"/>
    <mergeCell ref="C5:C7"/>
    <mergeCell ref="D5:D7"/>
    <mergeCell ref="E5:E7"/>
    <mergeCell ref="F5:F7"/>
    <mergeCell ref="G5:J5"/>
    <mergeCell ref="K5:K7"/>
    <mergeCell ref="G6:G7"/>
  </mergeCells>
  <printOptions/>
  <pageMargins left="0.3937007874015748" right="0.3937007874015748" top="0.24" bottom="0.76" header="0.19" footer="0.64"/>
  <pageSetup horizontalDpi="600" verticalDpi="600" orientation="landscape" paperSize="9" scale="77" r:id="rId1"/>
  <headerFooter alignWithMargins="0">
    <oddHeader>&amp;L11. melléklet a 2015. évi 3/2015.(II.25.) Önkormányzati költségvetési rendelethez&amp;R2015.02.25</oddHeader>
    <oddFooter>&amp;R&amp;F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B2:Y73"/>
  <sheetViews>
    <sheetView view="pageLayout" zoomScaleSheetLayoutView="100" workbookViewId="0" topLeftCell="A7">
      <selection activeCell="I56" sqref="I56"/>
    </sheetView>
  </sheetViews>
  <sheetFormatPr defaultColWidth="9.140625" defaultRowHeight="12.75"/>
  <cols>
    <col min="1" max="1" width="0.2890625" style="98" customWidth="1"/>
    <col min="2" max="2" width="23.8515625" style="98" customWidth="1"/>
    <col min="3" max="3" width="10.140625" style="98" bestFit="1" customWidth="1"/>
    <col min="4" max="5" width="10.28125" style="98" bestFit="1" customWidth="1"/>
    <col min="6" max="6" width="10.140625" style="98" bestFit="1" customWidth="1"/>
    <col min="7" max="7" width="12.57421875" style="98" customWidth="1"/>
    <col min="8" max="8" width="10.421875" style="98" customWidth="1"/>
    <col min="9" max="9" width="9.57421875" style="98" bestFit="1" customWidth="1"/>
    <col min="10" max="10" width="7.7109375" style="98" customWidth="1"/>
    <col min="11" max="11" width="9.57421875" style="98" customWidth="1"/>
    <col min="12" max="12" width="9.57421875" style="98" bestFit="1" customWidth="1"/>
    <col min="13" max="13" width="7.8515625" style="98" customWidth="1"/>
    <col min="14" max="14" width="10.7109375" style="98" customWidth="1"/>
    <col min="15" max="15" width="9.57421875" style="98" bestFit="1" customWidth="1"/>
    <col min="16" max="16" width="11.28125" style="98" customWidth="1"/>
    <col min="17" max="18" width="8.421875" style="98" customWidth="1"/>
    <col min="19" max="19" width="10.7109375" style="98" customWidth="1"/>
    <col min="20" max="20" width="9.421875" style="98" customWidth="1"/>
    <col min="21" max="21" width="8.7109375" style="98" customWidth="1"/>
    <col min="22" max="22" width="10.00390625" style="98" customWidth="1"/>
    <col min="23" max="24" width="11.8515625" style="98" customWidth="1"/>
    <col min="25" max="25" width="12.140625" style="98" customWidth="1"/>
    <col min="26" max="16384" width="9.140625" style="98" customWidth="1"/>
  </cols>
  <sheetData>
    <row r="2" spans="2:13" ht="12.75">
      <c r="B2" s="303" t="s">
        <v>519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</row>
    <row r="3" ht="13.5" thickBot="1"/>
    <row r="4" spans="2:22" ht="13.5" thickBot="1">
      <c r="B4" s="304" t="s">
        <v>217</v>
      </c>
      <c r="C4" s="1016" t="s">
        <v>162</v>
      </c>
      <c r="D4" s="1016"/>
      <c r="E4" s="1016"/>
      <c r="F4" s="1016"/>
      <c r="G4" s="1016"/>
      <c r="H4" s="1016"/>
      <c r="I4" s="1016"/>
      <c r="J4" s="1016"/>
      <c r="K4" s="1017"/>
      <c r="L4" s="1018" t="s">
        <v>218</v>
      </c>
      <c r="M4" s="1016"/>
      <c r="N4" s="1016"/>
      <c r="O4" s="1016"/>
      <c r="P4" s="1016"/>
      <c r="Q4" s="1016"/>
      <c r="R4" s="1016"/>
      <c r="S4" s="1016"/>
      <c r="T4" s="1016"/>
      <c r="U4" s="1016"/>
      <c r="V4" s="1017"/>
    </row>
    <row r="5" spans="2:22" ht="13.5" thickBot="1">
      <c r="B5" s="305"/>
      <c r="C5" s="306"/>
      <c r="D5" s="306"/>
      <c r="E5" s="306"/>
      <c r="F5" s="306"/>
      <c r="G5" s="306"/>
      <c r="H5" s="306"/>
      <c r="I5" s="306"/>
      <c r="J5" s="306"/>
      <c r="K5" s="305"/>
      <c r="L5" s="1011" t="s">
        <v>211</v>
      </c>
      <c r="M5" s="1014"/>
      <c r="N5" s="1014"/>
      <c r="O5" s="1014"/>
      <c r="P5" s="1014"/>
      <c r="Q5" s="1014"/>
      <c r="R5" s="1014"/>
      <c r="S5" s="1014"/>
      <c r="T5" s="1014"/>
      <c r="U5" s="1015"/>
      <c r="V5" s="308"/>
    </row>
    <row r="6" spans="2:22" s="317" customFormat="1" ht="51.75" thickBot="1">
      <c r="B6" s="309" t="s">
        <v>195</v>
      </c>
      <c r="C6" s="310" t="s">
        <v>48</v>
      </c>
      <c r="D6" s="310" t="s">
        <v>196</v>
      </c>
      <c r="E6" s="310" t="s">
        <v>197</v>
      </c>
      <c r="F6" s="310" t="s">
        <v>53</v>
      </c>
      <c r="G6" s="311" t="s">
        <v>527</v>
      </c>
      <c r="H6" s="311" t="s">
        <v>612</v>
      </c>
      <c r="I6" s="311" t="s">
        <v>54</v>
      </c>
      <c r="J6" s="311" t="s">
        <v>9</v>
      </c>
      <c r="K6" s="312" t="s">
        <v>526</v>
      </c>
      <c r="L6" s="310" t="s">
        <v>201</v>
      </c>
      <c r="M6" s="310" t="s">
        <v>200</v>
      </c>
      <c r="N6" s="311" t="s">
        <v>199</v>
      </c>
      <c r="O6" s="307" t="s">
        <v>204</v>
      </c>
      <c r="P6" s="313" t="s">
        <v>356</v>
      </c>
      <c r="Q6" s="314" t="s">
        <v>213</v>
      </c>
      <c r="R6" s="313" t="s">
        <v>214</v>
      </c>
      <c r="S6" s="315" t="s">
        <v>215</v>
      </c>
      <c r="T6" s="313" t="s">
        <v>216</v>
      </c>
      <c r="U6" s="316" t="s">
        <v>518</v>
      </c>
      <c r="V6" s="312" t="s">
        <v>525</v>
      </c>
    </row>
    <row r="7" spans="2:22" s="317" customFormat="1" ht="12.75">
      <c r="B7" s="341"/>
      <c r="C7" s="293"/>
      <c r="D7" s="293"/>
      <c r="E7" s="293"/>
      <c r="F7" s="293"/>
      <c r="G7" s="294"/>
      <c r="H7" s="294"/>
      <c r="I7" s="294"/>
      <c r="J7" s="294"/>
      <c r="K7" s="319"/>
      <c r="L7" s="293"/>
      <c r="M7" s="293"/>
      <c r="N7" s="294"/>
      <c r="O7" s="292"/>
      <c r="P7" s="189"/>
      <c r="Q7" s="189"/>
      <c r="R7" s="189"/>
      <c r="S7" s="189"/>
      <c r="T7" s="189"/>
      <c r="U7" s="320"/>
      <c r="V7" s="190"/>
    </row>
    <row r="8" spans="2:23" ht="12.75">
      <c r="B8" s="434" t="s">
        <v>532</v>
      </c>
      <c r="C8" s="419">
        <f>'[15]háziorvos'!$F$9/1000</f>
        <v>5218</v>
      </c>
      <c r="D8" s="419">
        <f>'[15]háziorvos'!$F$13/1000</f>
        <v>1409</v>
      </c>
      <c r="E8" s="419">
        <f>'[15]háziorvos'!$F$52/1000</f>
        <v>3115</v>
      </c>
      <c r="F8" s="99">
        <f>SUM(C8:E8)</f>
        <v>9742</v>
      </c>
      <c r="G8" s="99"/>
      <c r="H8" s="99"/>
      <c r="I8" s="99"/>
      <c r="J8" s="99"/>
      <c r="K8" s="418">
        <f>SUM(F8:J8)</f>
        <v>9742</v>
      </c>
      <c r="L8" s="232">
        <f>'[15]háziorvos'!$F$61/1000</f>
        <v>445</v>
      </c>
      <c r="M8" s="419">
        <f>'[15]háziorvos'!$F$56/1000</f>
        <v>8051</v>
      </c>
      <c r="N8" s="419"/>
      <c r="O8" s="193"/>
      <c r="P8" s="419"/>
      <c r="Q8" s="419"/>
      <c r="R8" s="419"/>
      <c r="S8" s="419">
        <v>1246</v>
      </c>
      <c r="T8" s="419"/>
      <c r="U8" s="198"/>
      <c r="V8" s="418">
        <f>SUM(L8:U8)</f>
        <v>9742</v>
      </c>
      <c r="W8" s="98">
        <f>+V8-K8</f>
        <v>0</v>
      </c>
    </row>
    <row r="9" spans="2:23" ht="12.75">
      <c r="B9" s="434" t="s">
        <v>533</v>
      </c>
      <c r="C9" s="419">
        <f>'[15]fogorvos'!$F$10/1000</f>
        <v>8664</v>
      </c>
      <c r="D9" s="419">
        <f>'[15]fogorvos'!$F$12/1000</f>
        <v>2234</v>
      </c>
      <c r="E9" s="419">
        <f>'[15]fogorvos'!$F$48/1000</f>
        <v>3863</v>
      </c>
      <c r="F9" s="99">
        <f>SUM(C9:E9)</f>
        <v>14761</v>
      </c>
      <c r="G9" s="99"/>
      <c r="H9" s="99"/>
      <c r="I9" s="99"/>
      <c r="J9" s="99"/>
      <c r="K9" s="418">
        <f aca="true" t="shared" si="0" ref="K9:K19">SUM(F9:J9)</f>
        <v>14761</v>
      </c>
      <c r="L9" s="419"/>
      <c r="M9" s="419">
        <f>'[15]fogorvos'!$F$59/1000</f>
        <v>13614</v>
      </c>
      <c r="N9" s="419"/>
      <c r="O9" s="193"/>
      <c r="P9" s="419"/>
      <c r="Q9" s="419"/>
      <c r="R9" s="419"/>
      <c r="S9" s="419">
        <v>1147</v>
      </c>
      <c r="T9" s="419"/>
      <c r="U9" s="198"/>
      <c r="V9" s="418">
        <f aca="true" t="shared" si="1" ref="V9:V19">SUM(L9:U9)</f>
        <v>14761</v>
      </c>
      <c r="W9" s="98">
        <f aca="true" t="shared" si="2" ref="W9:W19">+V9-K9</f>
        <v>0</v>
      </c>
    </row>
    <row r="10" spans="2:23" ht="29.25" customHeight="1">
      <c r="B10" s="434" t="s">
        <v>534</v>
      </c>
      <c r="C10" s="419">
        <f>'[15]labor'!$F$7/1000</f>
        <v>1742</v>
      </c>
      <c r="D10" s="419">
        <f>'[15]labor'!$F$9/1000</f>
        <v>470</v>
      </c>
      <c r="E10" s="419">
        <f>'[15]labor'!$F$44/1000</f>
        <v>1258</v>
      </c>
      <c r="F10" s="99">
        <f>SUM(C10:E10)</f>
        <v>3470</v>
      </c>
      <c r="G10" s="99"/>
      <c r="H10" s="99"/>
      <c r="I10" s="99"/>
      <c r="J10" s="99"/>
      <c r="K10" s="418">
        <f t="shared" si="0"/>
        <v>3470</v>
      </c>
      <c r="L10" s="419"/>
      <c r="M10" s="419">
        <f>'[15]labor'!$F$48/1000</f>
        <v>3383</v>
      </c>
      <c r="N10" s="419"/>
      <c r="O10" s="193"/>
      <c r="P10" s="419"/>
      <c r="Q10" s="419"/>
      <c r="R10" s="419"/>
      <c r="S10" s="419">
        <v>87</v>
      </c>
      <c r="T10" s="419"/>
      <c r="U10" s="198"/>
      <c r="V10" s="418">
        <f t="shared" si="1"/>
        <v>3470</v>
      </c>
      <c r="W10" s="98">
        <f t="shared" si="2"/>
        <v>0</v>
      </c>
    </row>
    <row r="11" spans="2:23" ht="19.5" customHeight="1">
      <c r="B11" s="434" t="s">
        <v>535</v>
      </c>
      <c r="C11" s="419">
        <f>'[15]fizikot.'!$F$9/1000</f>
        <v>2564</v>
      </c>
      <c r="D11" s="419">
        <f>'[15]fizikot.'!$F$11/1000</f>
        <v>692</v>
      </c>
      <c r="E11" s="419">
        <f>'[15]fizikot.'!$F$42/1000</f>
        <v>2480</v>
      </c>
      <c r="F11" s="99">
        <f aca="true" t="shared" si="3" ref="F11:F18">SUM(C11:E11)</f>
        <v>5736</v>
      </c>
      <c r="G11" s="99"/>
      <c r="H11" s="99"/>
      <c r="I11" s="99"/>
      <c r="J11" s="99"/>
      <c r="K11" s="418">
        <f t="shared" si="0"/>
        <v>5736</v>
      </c>
      <c r="L11" s="419"/>
      <c r="M11" s="419">
        <f>'[15]fizikot.'!$F$46/1000</f>
        <v>862</v>
      </c>
      <c r="N11" s="419"/>
      <c r="O11" s="193"/>
      <c r="P11" s="419"/>
      <c r="Q11" s="419"/>
      <c r="R11" s="419"/>
      <c r="S11" s="419">
        <v>4874</v>
      </c>
      <c r="T11" s="419"/>
      <c r="U11" s="198"/>
      <c r="V11" s="418">
        <f t="shared" si="1"/>
        <v>5736</v>
      </c>
      <c r="W11" s="98">
        <f t="shared" si="2"/>
        <v>0</v>
      </c>
    </row>
    <row r="12" spans="2:23" ht="35.25" customHeight="1">
      <c r="B12" s="434" t="s">
        <v>536</v>
      </c>
      <c r="C12" s="419">
        <f>'[15]védőnő'!$F$12/1000</f>
        <v>6949</v>
      </c>
      <c r="D12" s="419">
        <f>'[15]védőnő'!$F$14/1000</f>
        <v>1719</v>
      </c>
      <c r="E12" s="419">
        <f>'[15]védőnő'!$F$50/1000</f>
        <v>4973</v>
      </c>
      <c r="F12" s="99">
        <f>SUM(C12:E12)</f>
        <v>13641</v>
      </c>
      <c r="G12" s="99"/>
      <c r="H12" s="99"/>
      <c r="I12" s="99"/>
      <c r="J12" s="99"/>
      <c r="K12" s="418">
        <f t="shared" si="0"/>
        <v>13641</v>
      </c>
      <c r="L12" s="419"/>
      <c r="M12" s="419">
        <f>'[15]védőnő'!$F$54/1000</f>
        <v>13601</v>
      </c>
      <c r="N12" s="419"/>
      <c r="O12" s="193"/>
      <c r="P12" s="419"/>
      <c r="Q12" s="419"/>
      <c r="R12" s="419"/>
      <c r="S12" s="419">
        <v>40</v>
      </c>
      <c r="T12" s="419"/>
      <c r="U12" s="198"/>
      <c r="V12" s="418">
        <f t="shared" si="1"/>
        <v>13641</v>
      </c>
      <c r="W12" s="98">
        <f t="shared" si="2"/>
        <v>0</v>
      </c>
    </row>
    <row r="13" spans="2:23" ht="33" customHeight="1">
      <c r="B13" s="434" t="s">
        <v>537</v>
      </c>
      <c r="C13" s="419"/>
      <c r="D13" s="419"/>
      <c r="E13" s="419">
        <f>'[15]ifj-eü.gond.'!$F$5/1000</f>
        <v>489</v>
      </c>
      <c r="F13" s="99">
        <f t="shared" si="3"/>
        <v>489</v>
      </c>
      <c r="G13" s="99"/>
      <c r="H13" s="99"/>
      <c r="I13" s="99"/>
      <c r="J13" s="99"/>
      <c r="K13" s="418">
        <f t="shared" si="0"/>
        <v>489</v>
      </c>
      <c r="L13" s="419"/>
      <c r="M13" s="419">
        <f>'[15]ifj-eü.gond.'!$F$9/1000</f>
        <v>489</v>
      </c>
      <c r="N13" s="419"/>
      <c r="O13" s="193"/>
      <c r="P13" s="419"/>
      <c r="Q13" s="419"/>
      <c r="R13" s="419"/>
      <c r="S13" s="419"/>
      <c r="T13" s="419"/>
      <c r="U13" s="198"/>
      <c r="V13" s="418">
        <f t="shared" si="1"/>
        <v>489</v>
      </c>
      <c r="W13" s="98">
        <f t="shared" si="2"/>
        <v>0</v>
      </c>
    </row>
    <row r="14" spans="2:23" ht="42" customHeight="1">
      <c r="B14" s="434" t="s">
        <v>538</v>
      </c>
      <c r="C14" s="419">
        <f>'[15]közösségi ell.'!$F$8/1000</f>
        <v>4731</v>
      </c>
      <c r="D14" s="419">
        <f>'[15]közösségi ell.'!$F$10/1000</f>
        <v>1180</v>
      </c>
      <c r="E14" s="419">
        <f>'[15]közösségi ell.'!$F$42/1000</f>
        <v>2089</v>
      </c>
      <c r="F14" s="99">
        <f t="shared" si="3"/>
        <v>8000</v>
      </c>
      <c r="G14" s="99"/>
      <c r="H14" s="99"/>
      <c r="I14" s="99"/>
      <c r="J14" s="99"/>
      <c r="K14" s="418">
        <f t="shared" si="0"/>
        <v>8000</v>
      </c>
      <c r="L14" s="419"/>
      <c r="M14" s="419"/>
      <c r="N14" s="419"/>
      <c r="O14" s="193">
        <v>8000</v>
      </c>
      <c r="P14" s="419"/>
      <c r="Q14" s="419"/>
      <c r="R14" s="419"/>
      <c r="S14" s="419"/>
      <c r="T14" s="419"/>
      <c r="U14" s="198"/>
      <c r="V14" s="418">
        <f t="shared" si="1"/>
        <v>8000</v>
      </c>
      <c r="W14" s="98">
        <f t="shared" si="2"/>
        <v>0</v>
      </c>
    </row>
    <row r="15" spans="2:23" ht="34.5" customHeight="1">
      <c r="B15" s="434" t="s">
        <v>539</v>
      </c>
      <c r="C15" s="419">
        <f>'[15]idősek és demens nappali ell.'!$F$9/1000</f>
        <v>13642</v>
      </c>
      <c r="D15" s="419">
        <f>'[15]idősek és demens nappali ell.'!$F$11/1000</f>
        <v>3683.3400000000006</v>
      </c>
      <c r="E15" s="419">
        <f>'[15]idősek és demens nappali ell.'!$F$45/1000</f>
        <v>1706</v>
      </c>
      <c r="F15" s="99">
        <f>SUM(C15:E15)</f>
        <v>19031.34</v>
      </c>
      <c r="G15" s="99"/>
      <c r="H15" s="99"/>
      <c r="I15" s="99"/>
      <c r="J15" s="99"/>
      <c r="K15" s="418">
        <f t="shared" si="0"/>
        <v>19031.34</v>
      </c>
      <c r="L15" s="419">
        <f>'[15]idősek és demens nappali ell.'!$F$49/1000</f>
        <v>2500</v>
      </c>
      <c r="M15" s="419"/>
      <c r="N15" s="419"/>
      <c r="O15" s="193">
        <f>3161+11500</f>
        <v>14661</v>
      </c>
      <c r="P15" s="419"/>
      <c r="Q15" s="419"/>
      <c r="R15" s="419"/>
      <c r="S15" s="419">
        <v>1870</v>
      </c>
      <c r="T15" s="419"/>
      <c r="U15" s="198"/>
      <c r="V15" s="418">
        <f t="shared" si="1"/>
        <v>19031</v>
      </c>
      <c r="W15" s="98">
        <f t="shared" si="2"/>
        <v>-0.3400000000001455</v>
      </c>
    </row>
    <row r="16" spans="2:23" ht="31.5" customHeight="1">
      <c r="B16" s="434" t="s">
        <v>540</v>
      </c>
      <c r="C16" s="419">
        <f>'[15]gyerekjólét'!$F$12/1000</f>
        <v>7238</v>
      </c>
      <c r="D16" s="419">
        <f>'[15]gyerekjólét'!$F$15/1000</f>
        <v>1941</v>
      </c>
      <c r="E16" s="419">
        <f>'[15]gyerekjólét'!$F$52/1000</f>
        <v>1556</v>
      </c>
      <c r="F16" s="99">
        <f t="shared" si="3"/>
        <v>10735</v>
      </c>
      <c r="G16" s="99"/>
      <c r="H16" s="99"/>
      <c r="I16" s="99"/>
      <c r="J16" s="99"/>
      <c r="K16" s="418">
        <f t="shared" si="0"/>
        <v>10735</v>
      </c>
      <c r="L16" s="419"/>
      <c r="M16" s="419"/>
      <c r="N16" s="419"/>
      <c r="O16" s="193">
        <f>2387+6245</f>
        <v>8632</v>
      </c>
      <c r="P16" s="419"/>
      <c r="Q16" s="419">
        <v>1810</v>
      </c>
      <c r="R16" s="419"/>
      <c r="S16" s="419">
        <v>293</v>
      </c>
      <c r="T16" s="419"/>
      <c r="U16" s="198"/>
      <c r="V16" s="418">
        <f t="shared" si="1"/>
        <v>10735</v>
      </c>
      <c r="W16" s="98">
        <f t="shared" si="2"/>
        <v>0</v>
      </c>
    </row>
    <row r="17" spans="2:23" ht="21.75" customHeight="1">
      <c r="B17" s="434" t="s">
        <v>541</v>
      </c>
      <c r="C17" s="419">
        <f>'[15]szoc.étk'!$F$8/1000</f>
        <v>1558</v>
      </c>
      <c r="D17" s="419">
        <f>'[15]szoc.étk'!$F$11/1000</f>
        <v>421</v>
      </c>
      <c r="E17" s="419">
        <f>'[15]szoc.étk'!$F$30/1000</f>
        <v>16435</v>
      </c>
      <c r="F17" s="99">
        <f t="shared" si="3"/>
        <v>18414</v>
      </c>
      <c r="G17" s="99"/>
      <c r="H17" s="99"/>
      <c r="I17" s="99"/>
      <c r="J17" s="99"/>
      <c r="K17" s="418">
        <f t="shared" si="0"/>
        <v>18414</v>
      </c>
      <c r="L17" s="419">
        <f>'[15]szoc.étk'!$F$36/1000</f>
        <v>6541</v>
      </c>
      <c r="M17" s="419"/>
      <c r="N17" s="419"/>
      <c r="O17" s="193">
        <v>3709</v>
      </c>
      <c r="P17" s="419"/>
      <c r="Q17" s="419">
        <v>8164</v>
      </c>
      <c r="R17" s="419"/>
      <c r="S17" s="419"/>
      <c r="T17" s="419"/>
      <c r="U17" s="198"/>
      <c r="V17" s="418">
        <f t="shared" si="1"/>
        <v>18414</v>
      </c>
      <c r="W17" s="98">
        <f t="shared" si="2"/>
        <v>0</v>
      </c>
    </row>
    <row r="18" spans="2:23" ht="19.5" customHeight="1">
      <c r="B18" s="434" t="s">
        <v>198</v>
      </c>
      <c r="C18" s="419">
        <f>'[15]házi seg.ny.'!$F$9/1000</f>
        <v>7861</v>
      </c>
      <c r="D18" s="419">
        <f>'[15]házi seg.ny.'!$F$11/1000</f>
        <v>2122</v>
      </c>
      <c r="E18" s="419">
        <f>'[15]házi seg.ny.'!$F$41/1000</f>
        <v>571</v>
      </c>
      <c r="F18" s="99">
        <f t="shared" si="3"/>
        <v>10554</v>
      </c>
      <c r="G18" s="99"/>
      <c r="H18" s="99"/>
      <c r="I18" s="99"/>
      <c r="J18" s="99"/>
      <c r="K18" s="418">
        <f t="shared" si="0"/>
        <v>10554</v>
      </c>
      <c r="L18" s="419">
        <f>'[15]házi seg.ny.'!$F$45/1000</f>
        <v>100</v>
      </c>
      <c r="M18" s="419"/>
      <c r="N18" s="419"/>
      <c r="O18" s="193">
        <v>5655</v>
      </c>
      <c r="P18" s="419"/>
      <c r="Q18" s="419">
        <v>4799</v>
      </c>
      <c r="R18" s="419"/>
      <c r="S18" s="419"/>
      <c r="T18" s="419"/>
      <c r="U18" s="198"/>
      <c r="V18" s="418">
        <f t="shared" si="1"/>
        <v>10554</v>
      </c>
      <c r="W18" s="98">
        <f t="shared" si="2"/>
        <v>0</v>
      </c>
    </row>
    <row r="19" spans="2:23" ht="21.75" customHeight="1" thickBot="1">
      <c r="B19" s="435" t="s">
        <v>542</v>
      </c>
      <c r="C19" s="419">
        <f>'[15]családsegítő'!$F$11/1000</f>
        <v>7755</v>
      </c>
      <c r="D19" s="419">
        <f>'[15]családsegítő'!$F$16/1000</f>
        <v>2080</v>
      </c>
      <c r="E19" s="419">
        <f>'[15]családsegítő'!$F$56/1000</f>
        <v>3454</v>
      </c>
      <c r="F19" s="99">
        <f>SUM(C19:E19)</f>
        <v>13289</v>
      </c>
      <c r="G19" s="99"/>
      <c r="H19" s="99"/>
      <c r="I19" s="99"/>
      <c r="J19" s="99"/>
      <c r="K19" s="418">
        <f t="shared" si="0"/>
        <v>13289</v>
      </c>
      <c r="L19" s="419">
        <f>'[15]családsegítő'!$F$76/1000</f>
        <v>851</v>
      </c>
      <c r="M19" s="419"/>
      <c r="N19" s="419"/>
      <c r="O19" s="193">
        <v>2387</v>
      </c>
      <c r="P19" s="419"/>
      <c r="Q19" s="419">
        <v>10051</v>
      </c>
      <c r="R19" s="419"/>
      <c r="S19" s="419"/>
      <c r="T19" s="419"/>
      <c r="U19" s="198"/>
      <c r="V19" s="418">
        <f t="shared" si="1"/>
        <v>13289</v>
      </c>
      <c r="W19" s="98">
        <f t="shared" si="2"/>
        <v>0</v>
      </c>
    </row>
    <row r="20" spans="2:23" s="317" customFormat="1" ht="13.5" thickBot="1">
      <c r="B20" s="321" t="s">
        <v>208</v>
      </c>
      <c r="C20" s="192">
        <f aca="true" t="shared" si="4" ref="C20:S20">SUM(C8:C19)</f>
        <v>67922</v>
      </c>
      <c r="D20" s="192">
        <f t="shared" si="4"/>
        <v>17951.34</v>
      </c>
      <c r="E20" s="192">
        <f t="shared" si="4"/>
        <v>41989</v>
      </c>
      <c r="F20" s="192">
        <f>SUM(F8:F19)</f>
        <v>127862.34</v>
      </c>
      <c r="G20" s="192">
        <f t="shared" si="4"/>
        <v>0</v>
      </c>
      <c r="H20" s="192">
        <f t="shared" si="4"/>
        <v>0</v>
      </c>
      <c r="I20" s="192">
        <f t="shared" si="4"/>
        <v>0</v>
      </c>
      <c r="J20" s="192">
        <f t="shared" si="4"/>
        <v>0</v>
      </c>
      <c r="K20" s="302">
        <f>SUM(K8:K19)</f>
        <v>127862.34</v>
      </c>
      <c r="L20" s="192">
        <f>SUM(L8:L19)</f>
        <v>10437</v>
      </c>
      <c r="M20" s="192">
        <f t="shared" si="4"/>
        <v>40000</v>
      </c>
      <c r="N20" s="192">
        <f t="shared" si="4"/>
        <v>0</v>
      </c>
      <c r="O20" s="195">
        <f t="shared" si="4"/>
        <v>43044</v>
      </c>
      <c r="P20" s="192">
        <f t="shared" si="4"/>
        <v>0</v>
      </c>
      <c r="Q20" s="192">
        <f t="shared" si="4"/>
        <v>24824</v>
      </c>
      <c r="R20" s="192">
        <f t="shared" si="4"/>
        <v>0</v>
      </c>
      <c r="S20" s="192">
        <f t="shared" si="4"/>
        <v>9557</v>
      </c>
      <c r="T20" s="192"/>
      <c r="U20" s="196">
        <f>SUM(U8:U19)</f>
        <v>0</v>
      </c>
      <c r="V20" s="302">
        <f>SUM(V8:V19)</f>
        <v>127862</v>
      </c>
      <c r="W20" s="110">
        <f>SUM(W8:W19)</f>
        <v>-0.3400000000001455</v>
      </c>
    </row>
    <row r="21" spans="2:22" ht="12.75">
      <c r="B21" s="191"/>
      <c r="C21" s="342">
        <f>+'4.mell. kiadás'!D11</f>
        <v>67922</v>
      </c>
      <c r="D21" s="343">
        <f>+'4.mell. kiadás'!E11</f>
        <v>17951</v>
      </c>
      <c r="E21" s="343">
        <f>'4.mell. kiadás'!F11</f>
        <v>41989</v>
      </c>
      <c r="F21" s="343"/>
      <c r="G21" s="343"/>
      <c r="H21" s="343"/>
      <c r="I21" s="343"/>
      <c r="J21" s="326"/>
      <c r="K21" s="198">
        <f>+'4.mell. kiadás'!M11</f>
        <v>127862</v>
      </c>
      <c r="L21" s="419">
        <f>'3.mell. bevétel'!D10</f>
        <v>10437</v>
      </c>
      <c r="M21" s="419">
        <f>+'1.mell. pfbevétel'!E23</f>
        <v>40000</v>
      </c>
      <c r="N21" s="419"/>
      <c r="O21" s="193"/>
      <c r="P21" s="419"/>
      <c r="Q21" s="419"/>
      <c r="R21" s="419"/>
      <c r="S21" s="419">
        <f>SUM(O20:S20)</f>
        <v>77425</v>
      </c>
      <c r="T21" s="419"/>
      <c r="U21" s="198"/>
      <c r="V21" s="191">
        <f>SUM(L20:U20)</f>
        <v>127862</v>
      </c>
    </row>
    <row r="22" spans="2:23" ht="13.5" thickBot="1">
      <c r="B22" s="191"/>
      <c r="C22" s="344"/>
      <c r="D22" s="345"/>
      <c r="E22" s="345"/>
      <c r="F22" s="345"/>
      <c r="G22" s="345"/>
      <c r="H22" s="345"/>
      <c r="I22" s="345"/>
      <c r="J22" s="346"/>
      <c r="K22" s="419">
        <f>+K21-K20</f>
        <v>-0.33999999999650754</v>
      </c>
      <c r="L22" s="419"/>
      <c r="M22" s="419"/>
      <c r="N22" s="419"/>
      <c r="O22" s="193"/>
      <c r="P22" s="419"/>
      <c r="Q22" s="419"/>
      <c r="R22" s="419"/>
      <c r="S22" s="419"/>
      <c r="T22" s="419"/>
      <c r="U22" s="198"/>
      <c r="V22" s="191"/>
      <c r="W22" s="98">
        <f>SUM(L21:U21)</f>
        <v>127862</v>
      </c>
    </row>
    <row r="23" spans="2:23" ht="38.25" customHeight="1" thickBot="1">
      <c r="B23" s="436" t="str">
        <f>+'4.mell. kiadás'!B13</f>
        <v>Városi Művelődési Központ és Könyvtár</v>
      </c>
      <c r="C23" s="307"/>
      <c r="D23" s="310"/>
      <c r="E23" s="310"/>
      <c r="F23" s="310"/>
      <c r="G23" s="311"/>
      <c r="H23" s="311"/>
      <c r="I23" s="311"/>
      <c r="J23" s="311"/>
      <c r="K23" s="312"/>
      <c r="L23" s="310"/>
      <c r="M23" s="310"/>
      <c r="N23" s="311"/>
      <c r="O23" s="307"/>
      <c r="P23" s="314"/>
      <c r="Q23" s="314"/>
      <c r="R23" s="314"/>
      <c r="S23" s="314"/>
      <c r="T23" s="314"/>
      <c r="U23" s="322"/>
      <c r="V23" s="323"/>
      <c r="W23" s="317"/>
    </row>
    <row r="24" spans="2:23" ht="25.5">
      <c r="B24" s="437" t="s">
        <v>520</v>
      </c>
      <c r="C24" s="419"/>
      <c r="D24" s="419"/>
      <c r="E24" s="419">
        <f>'[14]082042 Könyvt.áll.gyar.'!$H$10</f>
        <v>1639</v>
      </c>
      <c r="F24" s="189">
        <f>SUM(C24:E24)</f>
        <v>1639</v>
      </c>
      <c r="G24" s="419"/>
      <c r="H24" s="419"/>
      <c r="I24" s="419"/>
      <c r="J24" s="419"/>
      <c r="K24" s="191">
        <f>SUM(F24:J24)</f>
        <v>1639</v>
      </c>
      <c r="L24" s="419"/>
      <c r="M24" s="419"/>
      <c r="N24" s="419"/>
      <c r="O24" s="193"/>
      <c r="P24" s="419"/>
      <c r="Q24" s="419">
        <v>1639</v>
      </c>
      <c r="R24" s="419"/>
      <c r="S24" s="419"/>
      <c r="T24" s="419"/>
      <c r="U24" s="198"/>
      <c r="V24" s="418">
        <f>SUM(L24:U24)</f>
        <v>1639</v>
      </c>
      <c r="W24" s="98">
        <f>+V24-K24</f>
        <v>0</v>
      </c>
    </row>
    <row r="25" spans="2:23" ht="38.25">
      <c r="B25" s="338" t="s">
        <v>521</v>
      </c>
      <c r="C25" s="419"/>
      <c r="D25" s="419"/>
      <c r="E25" s="419">
        <f>'[14]082043 Könyvt.áll.védelme'!$H$9</f>
        <v>127</v>
      </c>
      <c r="F25" s="189">
        <f>SUM(C25:E25)</f>
        <v>127</v>
      </c>
      <c r="G25" s="419"/>
      <c r="H25" s="419"/>
      <c r="I25" s="419"/>
      <c r="J25" s="419"/>
      <c r="K25" s="191">
        <f>SUM(F25:J25)</f>
        <v>127</v>
      </c>
      <c r="L25" s="419"/>
      <c r="M25" s="419"/>
      <c r="N25" s="419"/>
      <c r="O25" s="193"/>
      <c r="P25" s="419"/>
      <c r="Q25" s="419">
        <v>127</v>
      </c>
      <c r="R25" s="419"/>
      <c r="S25" s="419"/>
      <c r="T25" s="419"/>
      <c r="U25" s="198"/>
      <c r="V25" s="418">
        <f>SUM(L25:U25)</f>
        <v>127</v>
      </c>
      <c r="W25" s="98">
        <f>+V25-K25</f>
        <v>0</v>
      </c>
    </row>
    <row r="26" spans="2:23" ht="12.75">
      <c r="B26" s="338" t="s">
        <v>522</v>
      </c>
      <c r="C26" s="419">
        <f>'[14]082044 Könyvtári szolg.'!$I$24</f>
        <v>6256</v>
      </c>
      <c r="D26" s="419">
        <f>'[14]082044 Könyvtári szolg.'!$I$31</f>
        <v>1695</v>
      </c>
      <c r="E26" s="419">
        <f>'[14]082044 Könyvtári szolg.'!$I$37</f>
        <v>5624</v>
      </c>
      <c r="F26" s="189">
        <f>SUM(C26:E26)</f>
        <v>13575</v>
      </c>
      <c r="G26" s="419"/>
      <c r="H26" s="419"/>
      <c r="I26" s="419"/>
      <c r="J26" s="419"/>
      <c r="K26" s="191">
        <f>SUM(F26:J26)</f>
        <v>13575</v>
      </c>
      <c r="L26" s="419">
        <f>'[14]082044 Könyvtári szolg.'!$I$10</f>
        <v>750</v>
      </c>
      <c r="M26" s="419"/>
      <c r="N26" s="419"/>
      <c r="O26" s="193">
        <v>6889</v>
      </c>
      <c r="P26" s="419"/>
      <c r="Q26" s="419">
        <v>5936</v>
      </c>
      <c r="R26" s="419"/>
      <c r="S26" s="419"/>
      <c r="T26" s="419"/>
      <c r="U26" s="198"/>
      <c r="V26" s="418">
        <f>SUM(L26:U26)</f>
        <v>13575</v>
      </c>
      <c r="W26" s="98">
        <f>+V26-K26</f>
        <v>0</v>
      </c>
    </row>
    <row r="27" spans="2:23" ht="25.5">
      <c r="B27" s="438" t="s">
        <v>524</v>
      </c>
      <c r="C27" s="419">
        <f>'[14]082061 Múzeumi tev.'!$I$16</f>
        <v>1729</v>
      </c>
      <c r="D27" s="419">
        <f>'[14]082061 Múzeumi tev.'!$I$20</f>
        <v>467</v>
      </c>
      <c r="E27" s="419">
        <f>'[14]082061 Múzeumi tev.'!$I$24</f>
        <v>648</v>
      </c>
      <c r="F27" s="189">
        <f>SUM(C27:E27)</f>
        <v>2844</v>
      </c>
      <c r="G27" s="419"/>
      <c r="H27" s="419"/>
      <c r="I27" s="419"/>
      <c r="J27" s="419"/>
      <c r="K27" s="191">
        <f>SUM(F27:J27)</f>
        <v>2844</v>
      </c>
      <c r="L27" s="419"/>
      <c r="M27" s="419"/>
      <c r="N27" s="419"/>
      <c r="O27" s="193"/>
      <c r="P27" s="419"/>
      <c r="Q27" s="419">
        <v>2844</v>
      </c>
      <c r="R27" s="419"/>
      <c r="S27" s="419"/>
      <c r="T27" s="419"/>
      <c r="U27" s="198"/>
      <c r="V27" s="418">
        <f>SUM(L27:U27)</f>
        <v>2844</v>
      </c>
      <c r="W27" s="98">
        <f>+V27-K27</f>
        <v>0</v>
      </c>
    </row>
    <row r="28" spans="2:23" ht="30.75" customHeight="1" thickBot="1">
      <c r="B28" s="439" t="s">
        <v>523</v>
      </c>
      <c r="C28" s="419">
        <f>'[14]082091  Közművelődés'!$I$23</f>
        <v>4584</v>
      </c>
      <c r="D28" s="419">
        <f>'[14]082091  Közművelődés'!$I$37</f>
        <v>1232</v>
      </c>
      <c r="E28" s="419">
        <f>'[14]082091  Közművelődés'!$I$41</f>
        <v>1567</v>
      </c>
      <c r="F28" s="189">
        <f>SUM(C28:E28)</f>
        <v>7383</v>
      </c>
      <c r="G28" s="419"/>
      <c r="H28" s="419"/>
      <c r="I28" s="419"/>
      <c r="J28" s="419"/>
      <c r="K28" s="191">
        <f>SUM(F28:J28)</f>
        <v>7383</v>
      </c>
      <c r="L28" s="419">
        <f>'[14]082091  Közművelődés'!$I$11</f>
        <v>3250</v>
      </c>
      <c r="M28" s="419"/>
      <c r="N28" s="419"/>
      <c r="O28" s="193"/>
      <c r="P28" s="419"/>
      <c r="Q28" s="419">
        <v>4133</v>
      </c>
      <c r="R28" s="419"/>
      <c r="S28" s="419"/>
      <c r="T28" s="419"/>
      <c r="U28" s="198"/>
      <c r="V28" s="418">
        <f>SUM(L28:U28)</f>
        <v>7383</v>
      </c>
      <c r="W28" s="98">
        <f>+V28-K28</f>
        <v>0</v>
      </c>
    </row>
    <row r="29" spans="2:23" s="110" customFormat="1" ht="13.5" thickBot="1">
      <c r="B29" s="324" t="s">
        <v>208</v>
      </c>
      <c r="C29" s="192">
        <f aca="true" t="shared" si="5" ref="C29:L29">SUM(C24:C28)</f>
        <v>12569</v>
      </c>
      <c r="D29" s="192">
        <f t="shared" si="5"/>
        <v>3394</v>
      </c>
      <c r="E29" s="192">
        <f t="shared" si="5"/>
        <v>9605</v>
      </c>
      <c r="F29" s="192">
        <f t="shared" si="5"/>
        <v>25568</v>
      </c>
      <c r="G29" s="192">
        <f t="shared" si="5"/>
        <v>0</v>
      </c>
      <c r="H29" s="192">
        <f t="shared" si="5"/>
        <v>0</v>
      </c>
      <c r="I29" s="192">
        <f t="shared" si="5"/>
        <v>0</v>
      </c>
      <c r="J29" s="192">
        <f t="shared" si="5"/>
        <v>0</v>
      </c>
      <c r="K29" s="302">
        <f t="shared" si="5"/>
        <v>25568</v>
      </c>
      <c r="L29" s="192">
        <f t="shared" si="5"/>
        <v>4000</v>
      </c>
      <c r="M29" s="192">
        <f aca="true" t="shared" si="6" ref="M29:U29">SUM(M24:M28)</f>
        <v>0</v>
      </c>
      <c r="N29" s="192">
        <f t="shared" si="6"/>
        <v>0</v>
      </c>
      <c r="O29" s="195">
        <f t="shared" si="6"/>
        <v>6889</v>
      </c>
      <c r="P29" s="192">
        <f t="shared" si="6"/>
        <v>0</v>
      </c>
      <c r="Q29" s="192">
        <f t="shared" si="6"/>
        <v>14679</v>
      </c>
      <c r="R29" s="192">
        <f t="shared" si="6"/>
        <v>0</v>
      </c>
      <c r="S29" s="192">
        <f t="shared" si="6"/>
        <v>0</v>
      </c>
      <c r="T29" s="192"/>
      <c r="U29" s="196">
        <f t="shared" si="6"/>
        <v>0</v>
      </c>
      <c r="V29" s="302">
        <f>SUM(V24:V28)</f>
        <v>25568</v>
      </c>
      <c r="W29" s="110">
        <f>SUM(W24:W28)</f>
        <v>0</v>
      </c>
    </row>
    <row r="30" spans="3:22" ht="13.5" customHeight="1">
      <c r="C30" s="98">
        <f>+'4.mell. kiadás'!D15</f>
        <v>12569</v>
      </c>
      <c r="D30" s="98">
        <f>+'4.mell. kiadás'!E15</f>
        <v>3394</v>
      </c>
      <c r="E30" s="98">
        <f>+'4.mell. kiadás'!F15</f>
        <v>9605</v>
      </c>
      <c r="F30" s="98">
        <f>SUM(C30:E30)</f>
        <v>25568</v>
      </c>
      <c r="K30" s="98">
        <f>+'4.mell. kiadás'!M15</f>
        <v>25568</v>
      </c>
      <c r="L30" s="98">
        <f>'3.mell. bevétel'!D14</f>
        <v>4000</v>
      </c>
      <c r="Q30" s="98">
        <f>SUM(O29:Q29)</f>
        <v>21568</v>
      </c>
      <c r="V30" s="98">
        <f>SUM(L30:U30)</f>
        <v>25568</v>
      </c>
    </row>
    <row r="31" ht="9.75" customHeight="1" thickBot="1"/>
    <row r="32" spans="2:22" ht="13.5" thickBot="1">
      <c r="B32" s="304" t="s">
        <v>217</v>
      </c>
      <c r="C32" s="1018" t="s">
        <v>162</v>
      </c>
      <c r="D32" s="1016"/>
      <c r="E32" s="1016"/>
      <c r="F32" s="1016"/>
      <c r="G32" s="1016"/>
      <c r="H32" s="1016"/>
      <c r="I32" s="1016"/>
      <c r="J32" s="1016"/>
      <c r="K32" s="1017"/>
      <c r="L32" s="1019" t="s">
        <v>218</v>
      </c>
      <c r="M32" s="1020"/>
      <c r="N32" s="1020"/>
      <c r="O32" s="1020"/>
      <c r="P32" s="1020"/>
      <c r="Q32" s="1020"/>
      <c r="R32" s="1020"/>
      <c r="S32" s="1020"/>
      <c r="T32" s="1020"/>
      <c r="U32" s="1020"/>
      <c r="V32" s="1017"/>
    </row>
    <row r="33" spans="2:22" ht="13.5" thickBot="1">
      <c r="B33" s="305"/>
      <c r="C33" s="306"/>
      <c r="D33" s="306"/>
      <c r="E33" s="306"/>
      <c r="F33" s="306"/>
      <c r="G33" s="306"/>
      <c r="H33" s="306"/>
      <c r="I33" s="306"/>
      <c r="J33" s="325"/>
      <c r="K33" s="305"/>
      <c r="L33" s="1011" t="s">
        <v>211</v>
      </c>
      <c r="M33" s="1014"/>
      <c r="N33" s="1014"/>
      <c r="O33" s="1014"/>
      <c r="P33" s="1014"/>
      <c r="Q33" s="1014"/>
      <c r="R33" s="1014"/>
      <c r="S33" s="1014"/>
      <c r="T33" s="1014"/>
      <c r="U33" s="1015"/>
      <c r="V33" s="326"/>
    </row>
    <row r="34" spans="2:22" s="317" customFormat="1" ht="51.75" thickBot="1">
      <c r="B34" s="327" t="s">
        <v>209</v>
      </c>
      <c r="C34" s="328" t="s">
        <v>48</v>
      </c>
      <c r="D34" s="328" t="s">
        <v>196</v>
      </c>
      <c r="E34" s="328" t="s">
        <v>197</v>
      </c>
      <c r="F34" s="328" t="s">
        <v>53</v>
      </c>
      <c r="G34" s="329" t="s">
        <v>527</v>
      </c>
      <c r="H34" s="329" t="s">
        <v>210</v>
      </c>
      <c r="I34" s="329" t="s">
        <v>54</v>
      </c>
      <c r="J34" s="330" t="s">
        <v>9</v>
      </c>
      <c r="K34" s="312" t="s">
        <v>526</v>
      </c>
      <c r="L34" s="331" t="s">
        <v>201</v>
      </c>
      <c r="M34" s="328" t="s">
        <v>200</v>
      </c>
      <c r="N34" s="329" t="s">
        <v>199</v>
      </c>
      <c r="O34" s="331" t="s">
        <v>204</v>
      </c>
      <c r="P34" s="332" t="s">
        <v>212</v>
      </c>
      <c r="Q34" s="332" t="s">
        <v>213</v>
      </c>
      <c r="R34" s="333" t="s">
        <v>214</v>
      </c>
      <c r="S34" s="332" t="s">
        <v>215</v>
      </c>
      <c r="T34" s="333" t="s">
        <v>216</v>
      </c>
      <c r="U34" s="334" t="s">
        <v>518</v>
      </c>
      <c r="V34" s="309" t="s">
        <v>525</v>
      </c>
    </row>
    <row r="35" spans="2:22" s="317" customFormat="1" ht="12" customHeight="1">
      <c r="B35" s="335"/>
      <c r="C35" s="293"/>
      <c r="D35" s="293"/>
      <c r="E35" s="293"/>
      <c r="F35" s="293"/>
      <c r="G35" s="294"/>
      <c r="H35" s="294"/>
      <c r="I35" s="294"/>
      <c r="J35" s="294"/>
      <c r="K35" s="319"/>
      <c r="L35" s="292"/>
      <c r="M35" s="293"/>
      <c r="N35" s="294"/>
      <c r="O35" s="292"/>
      <c r="P35" s="189"/>
      <c r="Q35" s="189"/>
      <c r="R35" s="189"/>
      <c r="S35" s="189"/>
      <c r="T35" s="189"/>
      <c r="U35" s="320"/>
      <c r="V35" s="188"/>
    </row>
    <row r="36" spans="2:23" ht="33.75" customHeight="1">
      <c r="B36" s="338" t="s">
        <v>512</v>
      </c>
      <c r="C36" s="440"/>
      <c r="D36" s="440"/>
      <c r="E36" s="440">
        <f>'[13]013320 - köztem.fennt.'!$H$22</f>
        <v>311</v>
      </c>
      <c r="F36" s="441">
        <f>SUM(C36:E36)</f>
        <v>311</v>
      </c>
      <c r="G36" s="441"/>
      <c r="H36" s="441"/>
      <c r="I36" s="441"/>
      <c r="J36" s="441"/>
      <c r="K36" s="442">
        <f>SUM(F36:J36)</f>
        <v>311</v>
      </c>
      <c r="L36" s="193">
        <f>'[13]013320 - köztem.fennt.'!$H$9</f>
        <v>419</v>
      </c>
      <c r="M36" s="419"/>
      <c r="N36" s="419"/>
      <c r="O36" s="193">
        <v>100</v>
      </c>
      <c r="P36" s="419"/>
      <c r="Q36" s="419"/>
      <c r="R36" s="419"/>
      <c r="S36" s="419"/>
      <c r="T36" s="419"/>
      <c r="U36" s="198">
        <f>K36-L36-O36</f>
        <v>-208</v>
      </c>
      <c r="V36" s="443">
        <f aca="true" t="shared" si="7" ref="V36:V41">SUM(L36:U36)</f>
        <v>311</v>
      </c>
      <c r="W36" s="98">
        <f aca="true" t="shared" si="8" ref="W36:W41">+V36-K36</f>
        <v>0</v>
      </c>
    </row>
    <row r="37" spans="2:23" ht="25.5">
      <c r="B37" s="338" t="s">
        <v>513</v>
      </c>
      <c r="C37" s="440">
        <f>'[19]013360 -'!$I$20</f>
        <v>25950</v>
      </c>
      <c r="D37" s="440">
        <f>'[19]013360 -'!$I$27</f>
        <v>7555</v>
      </c>
      <c r="E37" s="440">
        <f>'[19]013360 -'!$I$35</f>
        <v>26998</v>
      </c>
      <c r="F37" s="441">
        <f aca="true" t="shared" si="9" ref="F37:F42">SUM(C37:E37)</f>
        <v>60503</v>
      </c>
      <c r="G37" s="441"/>
      <c r="H37" s="441"/>
      <c r="I37" s="441"/>
      <c r="J37" s="441"/>
      <c r="K37" s="442">
        <f aca="true" t="shared" si="10" ref="K37:K42">SUM(F37:J37)</f>
        <v>60503</v>
      </c>
      <c r="L37" s="193">
        <f>'[13]013360 -'!$I$8</f>
        <v>1651</v>
      </c>
      <c r="M37" s="419"/>
      <c r="N37" s="419"/>
      <c r="O37" s="193">
        <f>15806+18972+4472+1328</f>
        <v>40578</v>
      </c>
      <c r="P37" s="419"/>
      <c r="Q37" s="419">
        <f>13494+4572</f>
        <v>18066</v>
      </c>
      <c r="R37" s="419"/>
      <c r="S37" s="419"/>
      <c r="T37" s="419"/>
      <c r="U37" s="198">
        <v>208</v>
      </c>
      <c r="V37" s="443">
        <f t="shared" si="7"/>
        <v>60503</v>
      </c>
      <c r="W37" s="98">
        <f t="shared" si="8"/>
        <v>0</v>
      </c>
    </row>
    <row r="38" spans="2:23" ht="21" customHeight="1">
      <c r="B38" s="338" t="s">
        <v>514</v>
      </c>
      <c r="C38" s="440">
        <f>'[13]047120 - Piac, nyilvános WC'!$H$20</f>
        <v>240</v>
      </c>
      <c r="D38" s="440">
        <f>'[13]047120 - Piac, nyilvános WC'!$H$23</f>
        <v>64.80000000000001</v>
      </c>
      <c r="E38" s="440">
        <f>'[13]047120 - Piac, nyilvános WC'!$H$26</f>
        <v>565</v>
      </c>
      <c r="F38" s="441">
        <f t="shared" si="9"/>
        <v>869.8</v>
      </c>
      <c r="G38" s="441"/>
      <c r="H38" s="441"/>
      <c r="I38" s="441"/>
      <c r="J38" s="441"/>
      <c r="K38" s="442">
        <f t="shared" si="10"/>
        <v>869.8</v>
      </c>
      <c r="L38" s="193">
        <f>'[13]047120 - Piac, nyilvános WC'!$H$9</f>
        <v>2159</v>
      </c>
      <c r="M38" s="419"/>
      <c r="N38" s="419"/>
      <c r="O38" s="193"/>
      <c r="P38" s="419"/>
      <c r="Q38" s="419"/>
      <c r="R38" s="419"/>
      <c r="S38" s="419"/>
      <c r="T38" s="419"/>
      <c r="U38" s="198">
        <f>K38-L38</f>
        <v>-1289.2</v>
      </c>
      <c r="V38" s="443">
        <f t="shared" si="7"/>
        <v>869.8</v>
      </c>
      <c r="W38" s="98">
        <f t="shared" si="8"/>
        <v>0</v>
      </c>
    </row>
    <row r="39" spans="2:23" ht="39" customHeight="1">
      <c r="B39" s="338" t="s">
        <v>515</v>
      </c>
      <c r="C39" s="440"/>
      <c r="D39" s="440"/>
      <c r="E39" s="440">
        <f>'[13]381104 - szeméttelep'!$H$15</f>
        <v>28</v>
      </c>
      <c r="F39" s="441">
        <f t="shared" si="9"/>
        <v>28</v>
      </c>
      <c r="G39" s="441"/>
      <c r="H39" s="441"/>
      <c r="I39" s="441"/>
      <c r="J39" s="441"/>
      <c r="K39" s="442">
        <f t="shared" si="10"/>
        <v>28</v>
      </c>
      <c r="L39" s="444"/>
      <c r="M39" s="419"/>
      <c r="N39" s="419"/>
      <c r="O39" s="193">
        <v>12</v>
      </c>
      <c r="P39" s="419"/>
      <c r="Q39" s="419">
        <v>16</v>
      </c>
      <c r="R39" s="419"/>
      <c r="S39" s="419"/>
      <c r="T39" s="419"/>
      <c r="U39" s="198"/>
      <c r="V39" s="443">
        <f t="shared" si="7"/>
        <v>28</v>
      </c>
      <c r="W39" s="98">
        <f t="shared" si="8"/>
        <v>0</v>
      </c>
    </row>
    <row r="40" spans="2:23" ht="22.5" customHeight="1">
      <c r="B40" s="338" t="s">
        <v>203</v>
      </c>
      <c r="C40" s="440"/>
      <c r="D40" s="440"/>
      <c r="E40" s="440">
        <f>'[13]064010 - közvilágítás'!$H$15</f>
        <v>46335</v>
      </c>
      <c r="F40" s="441">
        <f t="shared" si="9"/>
        <v>46335</v>
      </c>
      <c r="G40" s="441"/>
      <c r="H40" s="441"/>
      <c r="I40" s="441"/>
      <c r="J40" s="441"/>
      <c r="K40" s="442">
        <f t="shared" si="10"/>
        <v>46335</v>
      </c>
      <c r="L40" s="193"/>
      <c r="M40" s="419"/>
      <c r="N40" s="419"/>
      <c r="O40" s="193">
        <v>23712</v>
      </c>
      <c r="P40" s="419"/>
      <c r="Q40" s="419">
        <v>21334</v>
      </c>
      <c r="R40" s="419"/>
      <c r="S40" s="419"/>
      <c r="T40" s="419"/>
      <c r="U40" s="198">
        <v>1289</v>
      </c>
      <c r="V40" s="443">
        <f t="shared" si="7"/>
        <v>46335</v>
      </c>
      <c r="W40" s="98">
        <f t="shared" si="8"/>
        <v>0</v>
      </c>
    </row>
    <row r="41" spans="2:23" ht="46.5" customHeight="1">
      <c r="B41" s="338" t="s">
        <v>516</v>
      </c>
      <c r="C41" s="440">
        <f>'[13]081030 - sportlét.műk.'!$I$16</f>
        <v>3372</v>
      </c>
      <c r="D41" s="440">
        <f>'[13]081030 - sportlét.műk.'!$I$21</f>
        <v>910</v>
      </c>
      <c r="E41" s="440">
        <f>'[13]081030 - sportlét.műk.'!$I$25</f>
        <v>3527</v>
      </c>
      <c r="F41" s="441">
        <f t="shared" si="9"/>
        <v>7809</v>
      </c>
      <c r="G41" s="441"/>
      <c r="H41" s="441"/>
      <c r="I41" s="441"/>
      <c r="J41" s="441"/>
      <c r="K41" s="442">
        <f t="shared" si="10"/>
        <v>7809</v>
      </c>
      <c r="L41" s="193"/>
      <c r="M41" s="419"/>
      <c r="N41" s="419"/>
      <c r="O41" s="193"/>
      <c r="P41" s="419"/>
      <c r="Q41" s="419">
        <v>7809</v>
      </c>
      <c r="R41" s="419"/>
      <c r="S41" s="419"/>
      <c r="T41" s="419"/>
      <c r="U41" s="198"/>
      <c r="V41" s="443">
        <f t="shared" si="7"/>
        <v>7809</v>
      </c>
      <c r="W41" s="98">
        <f t="shared" si="8"/>
        <v>0</v>
      </c>
    </row>
    <row r="42" spans="2:23" ht="42" customHeight="1" thickBot="1">
      <c r="B42" s="439" t="s">
        <v>517</v>
      </c>
      <c r="C42" s="440">
        <f>'[13]900080 - konyha'!$I$27</f>
        <v>17138</v>
      </c>
      <c r="D42" s="440">
        <f>'[13]900080 - konyha'!$I$32</f>
        <v>4637</v>
      </c>
      <c r="E42" s="440">
        <f>'[13]900080 - konyha'!$I$37</f>
        <v>54204</v>
      </c>
      <c r="F42" s="441">
        <f t="shared" si="9"/>
        <v>75979</v>
      </c>
      <c r="G42" s="441"/>
      <c r="H42" s="441"/>
      <c r="I42" s="441"/>
      <c r="J42" s="441"/>
      <c r="K42" s="442">
        <f t="shared" si="10"/>
        <v>75979</v>
      </c>
      <c r="L42" s="193">
        <f>'[13]900080 - konyha'!$I$9</f>
        <v>76517.5</v>
      </c>
      <c r="M42" s="419"/>
      <c r="N42" s="419"/>
      <c r="O42" s="193"/>
      <c r="P42" s="419"/>
      <c r="Q42" s="419"/>
      <c r="R42" s="419"/>
      <c r="S42" s="419"/>
      <c r="T42" s="419"/>
      <c r="U42" s="198">
        <v>-539</v>
      </c>
      <c r="V42" s="443">
        <v>75979</v>
      </c>
      <c r="W42" s="98">
        <f>+V42-K42</f>
        <v>0</v>
      </c>
    </row>
    <row r="43" spans="2:24" ht="13.5" thickBot="1">
      <c r="B43" s="324" t="s">
        <v>208</v>
      </c>
      <c r="C43" s="926">
        <f aca="true" t="shared" si="11" ref="C43:K43">SUM(C36:C42)</f>
        <v>46700</v>
      </c>
      <c r="D43" s="926">
        <f t="shared" si="11"/>
        <v>13166.8</v>
      </c>
      <c r="E43" s="926">
        <f t="shared" si="11"/>
        <v>131968</v>
      </c>
      <c r="F43" s="926">
        <f t="shared" si="11"/>
        <v>191834.8</v>
      </c>
      <c r="G43" s="926">
        <f t="shared" si="11"/>
        <v>0</v>
      </c>
      <c r="H43" s="926">
        <f t="shared" si="11"/>
        <v>0</v>
      </c>
      <c r="I43" s="926">
        <f t="shared" si="11"/>
        <v>0</v>
      </c>
      <c r="J43" s="926">
        <f t="shared" si="11"/>
        <v>0</v>
      </c>
      <c r="K43" s="927">
        <f t="shared" si="11"/>
        <v>191834.8</v>
      </c>
      <c r="L43" s="928">
        <f aca="true" t="shared" si="12" ref="L43:T43">SUM(L36:L42)</f>
        <v>80746.5</v>
      </c>
      <c r="M43" s="926">
        <f t="shared" si="12"/>
        <v>0</v>
      </c>
      <c r="N43" s="926">
        <f t="shared" si="12"/>
        <v>0</v>
      </c>
      <c r="O43" s="928">
        <f>SUM(O36:O42)</f>
        <v>64402</v>
      </c>
      <c r="P43" s="926">
        <f t="shared" si="12"/>
        <v>0</v>
      </c>
      <c r="Q43" s="926">
        <f>SUM(Q36:Q42)</f>
        <v>47225</v>
      </c>
      <c r="R43" s="926">
        <f t="shared" si="12"/>
        <v>0</v>
      </c>
      <c r="S43" s="926">
        <f t="shared" si="12"/>
        <v>0</v>
      </c>
      <c r="T43" s="926">
        <f t="shared" si="12"/>
        <v>0</v>
      </c>
      <c r="U43" s="929">
        <v>-539</v>
      </c>
      <c r="V43" s="929">
        <f>SUM(V36:V42)</f>
        <v>191834.8</v>
      </c>
      <c r="W43" s="336">
        <f>SUM(W36:W42)</f>
        <v>0</v>
      </c>
      <c r="X43" s="98">
        <f>SUM(L44:U44)</f>
        <v>191835</v>
      </c>
    </row>
    <row r="44" spans="2:22" ht="17.25" customHeight="1" thickBot="1">
      <c r="B44" s="110"/>
      <c r="C44" s="110">
        <f>+'4.mell. kiadás'!D7</f>
        <v>46700</v>
      </c>
      <c r="D44" s="110">
        <f>+'4.mell. kiadás'!E7</f>
        <v>13167</v>
      </c>
      <c r="E44" s="98">
        <f>+'4.mell. kiadás'!F7</f>
        <v>131968</v>
      </c>
      <c r="F44" s="110">
        <f>SUM(C43:E43)</f>
        <v>191834.8</v>
      </c>
      <c r="G44" s="110"/>
      <c r="H44" s="110"/>
      <c r="I44" s="110"/>
      <c r="J44" s="110"/>
      <c r="K44" s="110">
        <f>+'4.mell. kiadás'!M7</f>
        <v>191835</v>
      </c>
      <c r="L44" s="98">
        <f>'3.mell. bevétel'!D6</f>
        <v>80747</v>
      </c>
      <c r="Q44" s="98">
        <f>SUM(O43:U43)</f>
        <v>111088</v>
      </c>
      <c r="V44" s="98">
        <f>SUM(L44:U44)</f>
        <v>191835</v>
      </c>
    </row>
    <row r="45" spans="2:11" ht="13.5" hidden="1" thickBot="1">
      <c r="B45" s="110"/>
      <c r="C45" s="110"/>
      <c r="D45" s="110"/>
      <c r="E45" s="98">
        <f>+E44-E43</f>
        <v>0</v>
      </c>
      <c r="F45" s="110"/>
      <c r="G45" s="110"/>
      <c r="H45" s="110"/>
      <c r="I45" s="110"/>
      <c r="J45" s="110"/>
      <c r="K45" s="110"/>
    </row>
    <row r="46" spans="2:22" ht="13.5" thickBot="1">
      <c r="B46" s="304" t="s">
        <v>217</v>
      </c>
      <c r="C46" s="1018" t="s">
        <v>162</v>
      </c>
      <c r="D46" s="1016"/>
      <c r="E46" s="1016"/>
      <c r="F46" s="1016"/>
      <c r="G46" s="1016"/>
      <c r="H46" s="1016"/>
      <c r="I46" s="1016"/>
      <c r="J46" s="1016"/>
      <c r="K46" s="1017"/>
      <c r="L46" s="1020" t="s">
        <v>218</v>
      </c>
      <c r="M46" s="1020"/>
      <c r="N46" s="1020"/>
      <c r="O46" s="1020"/>
      <c r="P46" s="1020"/>
      <c r="Q46" s="1020"/>
      <c r="R46" s="1020"/>
      <c r="S46" s="1020"/>
      <c r="T46" s="1020"/>
      <c r="U46" s="1020"/>
      <c r="V46" s="1017"/>
    </row>
    <row r="47" spans="2:22" ht="13.5" thickBot="1">
      <c r="B47" s="305"/>
      <c r="C47" s="902"/>
      <c r="D47" s="306"/>
      <c r="E47" s="306"/>
      <c r="F47" s="306"/>
      <c r="G47" s="306"/>
      <c r="H47" s="306"/>
      <c r="I47" s="306"/>
      <c r="J47" s="306"/>
      <c r="K47" s="325"/>
      <c r="L47" s="1011" t="s">
        <v>211</v>
      </c>
      <c r="M47" s="1012"/>
      <c r="N47" s="1012"/>
      <c r="O47" s="1012"/>
      <c r="P47" s="1012"/>
      <c r="Q47" s="1012"/>
      <c r="R47" s="1012"/>
      <c r="S47" s="1012"/>
      <c r="T47" s="1012"/>
      <c r="U47" s="1013"/>
      <c r="V47" s="308"/>
    </row>
    <row r="48" spans="2:22" s="317" customFormat="1" ht="51.75" thickBot="1">
      <c r="B48" s="309" t="s">
        <v>65</v>
      </c>
      <c r="C48" s="307" t="s">
        <v>48</v>
      </c>
      <c r="D48" s="310" t="s">
        <v>196</v>
      </c>
      <c r="E48" s="310" t="s">
        <v>197</v>
      </c>
      <c r="F48" s="310" t="s">
        <v>53</v>
      </c>
      <c r="G48" s="311" t="s">
        <v>527</v>
      </c>
      <c r="H48" s="311" t="s">
        <v>613</v>
      </c>
      <c r="I48" s="311" t="s">
        <v>54</v>
      </c>
      <c r="J48" s="311" t="s">
        <v>9</v>
      </c>
      <c r="K48" s="903" t="s">
        <v>526</v>
      </c>
      <c r="L48" s="307" t="s">
        <v>201</v>
      </c>
      <c r="M48" s="310" t="s">
        <v>200</v>
      </c>
      <c r="N48" s="903" t="s">
        <v>199</v>
      </c>
      <c r="O48" s="924" t="s">
        <v>204</v>
      </c>
      <c r="P48" s="925" t="s">
        <v>212</v>
      </c>
      <c r="Q48" s="315" t="s">
        <v>213</v>
      </c>
      <c r="R48" s="313" t="s">
        <v>214</v>
      </c>
      <c r="S48" s="315" t="s">
        <v>215</v>
      </c>
      <c r="T48" s="313" t="s">
        <v>216</v>
      </c>
      <c r="U48" s="316" t="s">
        <v>518</v>
      </c>
      <c r="V48" s="318" t="s">
        <v>525</v>
      </c>
    </row>
    <row r="49" spans="2:22" ht="12.75">
      <c r="B49" s="190"/>
      <c r="C49" s="194"/>
      <c r="D49" s="187"/>
      <c r="E49" s="419"/>
      <c r="F49" s="187"/>
      <c r="G49" s="187"/>
      <c r="H49" s="187"/>
      <c r="I49" s="187"/>
      <c r="J49" s="187"/>
      <c r="K49" s="188"/>
      <c r="L49" s="419"/>
      <c r="M49" s="419"/>
      <c r="N49" s="419"/>
      <c r="O49" s="193"/>
      <c r="P49" s="419"/>
      <c r="Q49" s="419"/>
      <c r="R49" s="419"/>
      <c r="S49" s="419"/>
      <c r="T49" s="419"/>
      <c r="U49" s="198"/>
      <c r="V49" s="418"/>
    </row>
    <row r="50" spans="2:22" ht="12.75">
      <c r="B50" s="191"/>
      <c r="C50" s="292"/>
      <c r="D50" s="293"/>
      <c r="E50" s="293"/>
      <c r="F50" s="293"/>
      <c r="G50" s="294"/>
      <c r="H50" s="294"/>
      <c r="I50" s="294"/>
      <c r="J50" s="294"/>
      <c r="K50" s="295"/>
      <c r="L50" s="293"/>
      <c r="M50" s="293"/>
      <c r="N50" s="294"/>
      <c r="O50" s="292"/>
      <c r="P50" s="189"/>
      <c r="Q50" s="189"/>
      <c r="R50" s="189"/>
      <c r="S50" s="189"/>
      <c r="T50" s="189"/>
      <c r="U50" s="296"/>
      <c r="V50" s="418"/>
    </row>
    <row r="51" spans="2:23" ht="38.25">
      <c r="B51" s="445" t="s">
        <v>529</v>
      </c>
      <c r="C51" s="193">
        <f>'[16]011130-1 ált.igazgatás'!$I$39</f>
        <v>102667</v>
      </c>
      <c r="D51" s="419">
        <f>'[16]011130-1 ált.igazgatás'!$I$77</f>
        <v>27876</v>
      </c>
      <c r="E51" s="419">
        <f>'[16]011130-1 ált.igazgatás'!$I$83</f>
        <v>30856</v>
      </c>
      <c r="F51" s="419">
        <f>SUM(C51:E51)</f>
        <v>161399</v>
      </c>
      <c r="G51" s="419"/>
      <c r="H51" s="419"/>
      <c r="J51" s="419">
        <f>'[16]011130-1 ált.igazgatás'!$I$139+'[16]011130-1 ált.igazgatás'!$I$147</f>
        <v>3000</v>
      </c>
      <c r="K51" s="198">
        <f>SUM(F51:J51)</f>
        <v>164399</v>
      </c>
      <c r="L51" s="419">
        <f>+'3.mell. bevétel'!D22</f>
        <v>6486</v>
      </c>
      <c r="M51" s="419"/>
      <c r="N51" s="419"/>
      <c r="O51" s="193">
        <f>93707+28219-5000-14245-5000</f>
        <v>97681</v>
      </c>
      <c r="P51" s="419">
        <v>2000</v>
      </c>
      <c r="Q51" s="419">
        <f>39719-4810-732+14245+200+9610+190</f>
        <v>58422</v>
      </c>
      <c r="R51" s="419"/>
      <c r="S51" s="419"/>
      <c r="T51" s="419"/>
      <c r="U51" s="198">
        <v>-190</v>
      </c>
      <c r="V51" s="418">
        <f>SUM(L51:U51)</f>
        <v>164399</v>
      </c>
      <c r="W51" s="98">
        <f>+V51-K51</f>
        <v>0</v>
      </c>
    </row>
    <row r="52" spans="2:22" ht="25.5">
      <c r="B52" s="338" t="s">
        <v>530</v>
      </c>
      <c r="C52" s="193"/>
      <c r="D52" s="419"/>
      <c r="E52" s="419"/>
      <c r="F52" s="419"/>
      <c r="G52" s="419"/>
      <c r="H52" s="419"/>
      <c r="I52" s="98">
        <f>'[16]105010-1 mnélk. aktív korúak el'!$I$13</f>
        <v>23262</v>
      </c>
      <c r="J52" s="419"/>
      <c r="K52" s="198">
        <f>SUM(F52:J52)</f>
        <v>23262</v>
      </c>
      <c r="L52" s="419"/>
      <c r="M52" s="419"/>
      <c r="N52" s="419"/>
      <c r="O52" s="193">
        <v>23262</v>
      </c>
      <c r="P52" s="419"/>
      <c r="Q52" s="419"/>
      <c r="R52" s="419"/>
      <c r="S52" s="419"/>
      <c r="T52" s="419"/>
      <c r="U52" s="198"/>
      <c r="V52" s="418">
        <f>SUM(L52:U52)</f>
        <v>23262</v>
      </c>
    </row>
    <row r="53" spans="2:22" ht="39" thickBot="1">
      <c r="B53" s="338" t="s">
        <v>531</v>
      </c>
      <c r="C53" s="193"/>
      <c r="D53" s="419"/>
      <c r="E53" s="419"/>
      <c r="F53" s="419"/>
      <c r="G53" s="419"/>
      <c r="H53" s="419"/>
      <c r="I53" s="98">
        <f>'[16]106020-1 lft'!$I$13</f>
        <v>20176</v>
      </c>
      <c r="J53" s="419"/>
      <c r="K53" s="198">
        <f>SUM(F53:J53)</f>
        <v>20176</v>
      </c>
      <c r="L53" s="419"/>
      <c r="M53" s="419"/>
      <c r="N53" s="419"/>
      <c r="O53" s="193">
        <v>20176</v>
      </c>
      <c r="P53" s="419"/>
      <c r="Q53" s="419"/>
      <c r="R53" s="419"/>
      <c r="S53" s="419"/>
      <c r="T53" s="419"/>
      <c r="U53" s="198"/>
      <c r="V53" s="418">
        <f>SUM(L53:U53)</f>
        <v>20176</v>
      </c>
    </row>
    <row r="54" spans="2:23" s="110" customFormat="1" ht="13.5" thickBot="1">
      <c r="B54" s="324" t="s">
        <v>208</v>
      </c>
      <c r="C54" s="195">
        <f aca="true" t="shared" si="13" ref="C54:W54">SUM(C51:C53)</f>
        <v>102667</v>
      </c>
      <c r="D54" s="192">
        <f t="shared" si="13"/>
        <v>27876</v>
      </c>
      <c r="E54" s="192">
        <f t="shared" si="13"/>
        <v>30856</v>
      </c>
      <c r="F54" s="192">
        <f t="shared" si="13"/>
        <v>161399</v>
      </c>
      <c r="G54" s="192">
        <f t="shared" si="13"/>
        <v>0</v>
      </c>
      <c r="H54" s="192">
        <f t="shared" si="13"/>
        <v>0</v>
      </c>
      <c r="I54" s="192">
        <f t="shared" si="13"/>
        <v>43438</v>
      </c>
      <c r="J54" s="192">
        <f t="shared" si="13"/>
        <v>3000</v>
      </c>
      <c r="K54" s="196">
        <f t="shared" si="13"/>
        <v>207837</v>
      </c>
      <c r="L54" s="192">
        <f t="shared" si="13"/>
        <v>6486</v>
      </c>
      <c r="M54" s="192">
        <f t="shared" si="13"/>
        <v>0</v>
      </c>
      <c r="N54" s="192">
        <f t="shared" si="13"/>
        <v>0</v>
      </c>
      <c r="O54" s="195">
        <f t="shared" si="13"/>
        <v>141119</v>
      </c>
      <c r="P54" s="192">
        <f t="shared" si="13"/>
        <v>2000</v>
      </c>
      <c r="Q54" s="192">
        <f t="shared" si="13"/>
        <v>58422</v>
      </c>
      <c r="R54" s="192">
        <f t="shared" si="13"/>
        <v>0</v>
      </c>
      <c r="S54" s="192">
        <f t="shared" si="13"/>
        <v>0</v>
      </c>
      <c r="T54" s="192">
        <f t="shared" si="13"/>
        <v>0</v>
      </c>
      <c r="U54" s="196">
        <f t="shared" si="13"/>
        <v>-190</v>
      </c>
      <c r="V54" s="302">
        <f t="shared" si="13"/>
        <v>207837</v>
      </c>
      <c r="W54" s="110">
        <f t="shared" si="13"/>
        <v>0</v>
      </c>
    </row>
    <row r="55" spans="2:22" s="110" customFormat="1" ht="12.75">
      <c r="B55" s="337"/>
      <c r="C55" s="187">
        <f>+'4.mell. kiadás'!D26</f>
        <v>102667</v>
      </c>
      <c r="D55" s="187">
        <f>+'4.mell. kiadás'!E26</f>
        <v>27876</v>
      </c>
      <c r="E55" s="187">
        <f>+'4.mell. kiadás'!F26</f>
        <v>30856</v>
      </c>
      <c r="F55" s="187">
        <f>SUM(C55:E55)</f>
        <v>161399</v>
      </c>
      <c r="G55" s="187"/>
      <c r="H55" s="187"/>
      <c r="I55" s="187">
        <f>'4.mell. kiadás'!H26</f>
        <v>43438</v>
      </c>
      <c r="J55" s="187">
        <f>'4.mell. kiadás'!K26</f>
        <v>3000</v>
      </c>
      <c r="K55" s="188">
        <f>+'4.mell. kiadás'!M26</f>
        <v>207837</v>
      </c>
      <c r="L55" s="187">
        <f>+'3.mell. bevétel'!D22</f>
        <v>6486</v>
      </c>
      <c r="M55" s="187"/>
      <c r="N55" s="187">
        <f>+'3.mell. bevétel'!F22</f>
        <v>0</v>
      </c>
      <c r="O55" s="194"/>
      <c r="P55" s="187"/>
      <c r="Q55" s="419">
        <f>SUM(O54:U54)-R55</f>
        <v>600</v>
      </c>
      <c r="R55" s="187">
        <f>SUM(O54:U54)-600</f>
        <v>200751</v>
      </c>
      <c r="S55" s="187"/>
      <c r="T55" s="187"/>
      <c r="U55" s="188"/>
      <c r="V55" s="190"/>
    </row>
    <row r="56" spans="2:22" s="110" customFormat="1" ht="42.75" customHeight="1">
      <c r="B56" s="190"/>
      <c r="C56" s="187"/>
      <c r="D56" s="187"/>
      <c r="E56" s="187"/>
      <c r="F56" s="187"/>
      <c r="G56" s="187"/>
      <c r="H56" s="187"/>
      <c r="I56" s="187"/>
      <c r="J56" s="187"/>
      <c r="K56" s="188"/>
      <c r="L56" s="187"/>
      <c r="M56" s="187"/>
      <c r="N56" s="187"/>
      <c r="O56" s="194"/>
      <c r="P56" s="187"/>
      <c r="Q56" s="187"/>
      <c r="R56" s="187"/>
      <c r="S56" s="187"/>
      <c r="T56" s="187"/>
      <c r="U56" s="188"/>
      <c r="V56" s="190"/>
    </row>
    <row r="57" spans="2:22" ht="25.5">
      <c r="B57" s="318" t="s">
        <v>40</v>
      </c>
      <c r="C57" s="293"/>
      <c r="D57" s="293"/>
      <c r="E57" s="293"/>
      <c r="F57" s="293"/>
      <c r="G57" s="294"/>
      <c r="H57" s="294"/>
      <c r="I57" s="294"/>
      <c r="J57" s="294"/>
      <c r="K57" s="295"/>
      <c r="L57" s="293"/>
      <c r="M57" s="293"/>
      <c r="N57" s="294"/>
      <c r="O57" s="292"/>
      <c r="P57" s="189"/>
      <c r="Q57" s="189"/>
      <c r="R57" s="189"/>
      <c r="S57" s="189"/>
      <c r="T57" s="189"/>
      <c r="U57" s="296"/>
      <c r="V57" s="418"/>
    </row>
    <row r="58" spans="2:23" ht="45" customHeight="1">
      <c r="B58" s="445" t="s">
        <v>528</v>
      </c>
      <c r="C58" s="419">
        <f>'[17]igazgatás'!$I$64</f>
        <v>1620</v>
      </c>
      <c r="D58" s="419">
        <f>'[17]igazgatás'!$I$71</f>
        <v>447</v>
      </c>
      <c r="E58" s="419">
        <f>'[17]igazgatás'!$I$77</f>
        <v>21202</v>
      </c>
      <c r="F58" s="99">
        <f aca="true" t="shared" si="14" ref="F58:F63">SUM(C58:E58)</f>
        <v>23269</v>
      </c>
      <c r="G58" s="99">
        <f>+'4.mell. kiadás'!I19</f>
        <v>45794</v>
      </c>
      <c r="H58" s="99">
        <f>+'4.mell. kiadás'!J19</f>
        <v>74380</v>
      </c>
      <c r="I58" s="99">
        <v>0</v>
      </c>
      <c r="J58" s="99">
        <f>+'4.mell. kiadás'!K19</f>
        <v>29500</v>
      </c>
      <c r="K58" s="443">
        <f aca="true" t="shared" si="15" ref="K58:K65">SUM(F58:J58)</f>
        <v>172943</v>
      </c>
      <c r="L58" s="419">
        <f>+'3.mell. bevétel'!D18</f>
        <v>33308</v>
      </c>
      <c r="M58" s="419"/>
      <c r="N58" s="419">
        <f>'1.mell. pfbevétel'!E24+'1.mell. pfbevétel'!E27+'1.mell. pfbevétel'!E28</f>
        <v>37883</v>
      </c>
      <c r="O58" s="193"/>
      <c r="P58" s="419">
        <f>79380+20000</f>
        <v>99380</v>
      </c>
      <c r="Q58" s="419">
        <f>13160-9610</f>
        <v>3550</v>
      </c>
      <c r="R58" s="419"/>
      <c r="S58" s="419"/>
      <c r="T58" s="419">
        <v>150</v>
      </c>
      <c r="U58" s="198">
        <f>-10938+9610</f>
        <v>-1328</v>
      </c>
      <c r="V58" s="418">
        <f aca="true" t="shared" si="16" ref="V58:V65">SUM(L58:U58)</f>
        <v>172943</v>
      </c>
      <c r="W58" s="98">
        <f>X69+V58-K58</f>
        <v>0</v>
      </c>
    </row>
    <row r="59" spans="2:23" ht="33" customHeight="1">
      <c r="B59" s="438" t="s">
        <v>506</v>
      </c>
      <c r="C59" s="419">
        <f>'[10]mezőőr'!$J$5/1000</f>
        <v>1524</v>
      </c>
      <c r="D59" s="419">
        <f>'[10]mezőőr'!$J$7/1000</f>
        <v>412</v>
      </c>
      <c r="E59" s="419">
        <f>'[10]mezőőr'!$J$27/1000</f>
        <v>2191</v>
      </c>
      <c r="F59" s="99">
        <f t="shared" si="14"/>
        <v>4127</v>
      </c>
      <c r="G59" s="99"/>
      <c r="H59" s="99"/>
      <c r="I59" s="99"/>
      <c r="J59" s="99"/>
      <c r="K59" s="443">
        <f t="shared" si="15"/>
        <v>4127</v>
      </c>
      <c r="L59" s="419"/>
      <c r="M59" s="419"/>
      <c r="N59" s="419">
        <f>+'1.mell. pfbevétel'!E25+'1.mell. pfbevétel'!E26</f>
        <v>5580</v>
      </c>
      <c r="O59" s="193"/>
      <c r="P59" s="419"/>
      <c r="Q59" s="419"/>
      <c r="R59" s="419"/>
      <c r="S59" s="419"/>
      <c r="T59" s="419"/>
      <c r="U59" s="198">
        <f>K59-N59</f>
        <v>-1453</v>
      </c>
      <c r="V59" s="418">
        <f t="shared" si="16"/>
        <v>4127</v>
      </c>
      <c r="W59" s="98">
        <f>+V59-K59</f>
        <v>0</v>
      </c>
    </row>
    <row r="60" spans="2:22" ht="59.25" customHeight="1">
      <c r="B60" s="438" t="s">
        <v>507</v>
      </c>
      <c r="C60" s="419"/>
      <c r="D60" s="419"/>
      <c r="E60" s="419">
        <f>'[10]üzletbér, tart.föld'!$D$23/1000</f>
        <v>1643</v>
      </c>
      <c r="F60" s="99">
        <f t="shared" si="14"/>
        <v>1643</v>
      </c>
      <c r="G60" s="99"/>
      <c r="H60" s="99"/>
      <c r="I60" s="99"/>
      <c r="J60" s="99"/>
      <c r="K60" s="443">
        <f>SUM(F60:J60)</f>
        <v>1643</v>
      </c>
      <c r="L60" s="419"/>
      <c r="M60" s="419"/>
      <c r="N60" s="419"/>
      <c r="O60" s="193"/>
      <c r="P60" s="419"/>
      <c r="Q60" s="419"/>
      <c r="R60" s="419"/>
      <c r="S60" s="419"/>
      <c r="T60" s="419"/>
      <c r="U60" s="198">
        <v>1643</v>
      </c>
      <c r="V60" s="418">
        <f t="shared" si="16"/>
        <v>1643</v>
      </c>
    </row>
    <row r="61" spans="2:22" ht="48" customHeight="1">
      <c r="B61" s="434" t="s">
        <v>605</v>
      </c>
      <c r="C61" s="419">
        <f>'[10]közmunka'!$I$5/1000</f>
        <v>2362</v>
      </c>
      <c r="D61" s="419">
        <f>'[10]közmunka'!$I$8/1000</f>
        <v>638</v>
      </c>
      <c r="E61" s="419">
        <f>'[10]közmunka'!$I$27/1000</f>
        <v>2000</v>
      </c>
      <c r="F61" s="99">
        <f t="shared" si="14"/>
        <v>5000</v>
      </c>
      <c r="G61" s="99"/>
      <c r="H61" s="99"/>
      <c r="I61" s="99"/>
      <c r="J61" s="99"/>
      <c r="K61" s="443">
        <f t="shared" si="15"/>
        <v>5000</v>
      </c>
      <c r="L61" s="419"/>
      <c r="M61" s="419"/>
      <c r="N61" s="419"/>
      <c r="O61" s="193">
        <v>5000</v>
      </c>
      <c r="P61" s="419"/>
      <c r="Q61" s="419"/>
      <c r="R61" s="419"/>
      <c r="S61" s="419"/>
      <c r="T61" s="419"/>
      <c r="U61" s="198"/>
      <c r="V61" s="418">
        <f t="shared" si="16"/>
        <v>5000</v>
      </c>
    </row>
    <row r="62" spans="2:23" ht="57.75" customHeight="1">
      <c r="B62" s="438" t="s">
        <v>509</v>
      </c>
      <c r="C62" s="419">
        <v>0</v>
      </c>
      <c r="D62" s="419">
        <v>0</v>
      </c>
      <c r="E62" s="419">
        <f>'[10]tűtoltók'!$J$15/1000</f>
        <v>507</v>
      </c>
      <c r="F62" s="99">
        <f t="shared" si="14"/>
        <v>507</v>
      </c>
      <c r="G62" s="99"/>
      <c r="H62" s="99"/>
      <c r="I62" s="99"/>
      <c r="J62" s="99"/>
      <c r="K62" s="443">
        <f t="shared" si="15"/>
        <v>507</v>
      </c>
      <c r="L62" s="419"/>
      <c r="M62" s="419"/>
      <c r="N62" s="419"/>
      <c r="O62" s="193"/>
      <c r="P62" s="419"/>
      <c r="Q62" s="419"/>
      <c r="R62" s="419"/>
      <c r="S62" s="419">
        <v>507</v>
      </c>
      <c r="T62" s="419"/>
      <c r="U62" s="198"/>
      <c r="V62" s="418">
        <f t="shared" si="16"/>
        <v>507</v>
      </c>
      <c r="W62" s="98">
        <f>+V62-K62</f>
        <v>0</v>
      </c>
    </row>
    <row r="63" spans="2:22" ht="43.5" customHeight="1">
      <c r="B63" s="338" t="s">
        <v>510</v>
      </c>
      <c r="C63" s="419">
        <v>0</v>
      </c>
      <c r="D63" s="419">
        <v>0</v>
      </c>
      <c r="E63" s="419"/>
      <c r="F63" s="99">
        <f t="shared" si="14"/>
        <v>0</v>
      </c>
      <c r="G63" s="99"/>
      <c r="H63" s="99"/>
      <c r="I63" s="99">
        <f>'[10]Munka11'!$J$6/1000</f>
        <v>200</v>
      </c>
      <c r="J63" s="99"/>
      <c r="K63" s="443">
        <f t="shared" si="15"/>
        <v>200</v>
      </c>
      <c r="L63" s="419"/>
      <c r="M63" s="419"/>
      <c r="N63" s="419"/>
      <c r="O63" s="193">
        <v>200</v>
      </c>
      <c r="P63" s="419"/>
      <c r="Q63" s="419"/>
      <c r="R63" s="419"/>
      <c r="S63" s="419"/>
      <c r="T63" s="419"/>
      <c r="U63" s="198"/>
      <c r="V63" s="418">
        <f t="shared" si="16"/>
        <v>200</v>
      </c>
    </row>
    <row r="64" spans="2:22" ht="18.75" customHeight="1">
      <c r="B64" s="339" t="s">
        <v>511</v>
      </c>
      <c r="C64" s="419"/>
      <c r="D64" s="419"/>
      <c r="E64" s="419"/>
      <c r="F64" s="99"/>
      <c r="G64" s="99"/>
      <c r="H64" s="99"/>
      <c r="I64" s="99">
        <f>'[10]Munka1'!$J$10/1000</f>
        <v>4800</v>
      </c>
      <c r="J64" s="99"/>
      <c r="K64" s="443">
        <f t="shared" si="15"/>
        <v>4800</v>
      </c>
      <c r="L64" s="419"/>
      <c r="M64" s="419"/>
      <c r="N64" s="419"/>
      <c r="O64" s="193">
        <v>4800</v>
      </c>
      <c r="P64" s="419"/>
      <c r="Q64" s="419"/>
      <c r="R64" s="419"/>
      <c r="S64" s="419"/>
      <c r="T64" s="419"/>
      <c r="U64" s="198"/>
      <c r="V64" s="418">
        <f t="shared" si="16"/>
        <v>4800</v>
      </c>
    </row>
    <row r="65" spans="2:22" ht="46.5" customHeight="1" thickBot="1">
      <c r="B65" s="901" t="s">
        <v>508</v>
      </c>
      <c r="C65" s="419">
        <v>0</v>
      </c>
      <c r="D65" s="419">
        <v>0</v>
      </c>
      <c r="E65" s="419">
        <f>'[10]lakbér'!$D$22/1000</f>
        <v>1867</v>
      </c>
      <c r="F65" s="99">
        <f>SUM(C65:E65)</f>
        <v>1867</v>
      </c>
      <c r="G65" s="99"/>
      <c r="H65" s="99"/>
      <c r="I65" s="99"/>
      <c r="J65" s="99"/>
      <c r="K65" s="443">
        <f t="shared" si="15"/>
        <v>1867</v>
      </c>
      <c r="L65" s="419"/>
      <c r="M65" s="419"/>
      <c r="N65" s="419"/>
      <c r="O65" s="193"/>
      <c r="P65" s="419"/>
      <c r="Q65" s="419"/>
      <c r="R65" s="419"/>
      <c r="S65" s="419"/>
      <c r="T65" s="419"/>
      <c r="U65" s="198">
        <v>1867</v>
      </c>
      <c r="V65" s="418">
        <f t="shared" si="16"/>
        <v>1867</v>
      </c>
    </row>
    <row r="66" spans="2:25" s="110" customFormat="1" ht="13.5" thickBot="1">
      <c r="B66" s="324" t="s">
        <v>208</v>
      </c>
      <c r="C66" s="192">
        <f>SUM(C58:C65)</f>
        <v>5506</v>
      </c>
      <c r="D66" s="192">
        <f aca="true" t="shared" si="17" ref="D66:J66">SUM(D58:D65)</f>
        <v>1497</v>
      </c>
      <c r="E66" s="192">
        <f t="shared" si="17"/>
        <v>29410</v>
      </c>
      <c r="F66" s="192">
        <f t="shared" si="17"/>
        <v>36413</v>
      </c>
      <c r="G66" s="192">
        <f t="shared" si="17"/>
        <v>45794</v>
      </c>
      <c r="H66" s="192">
        <f t="shared" si="17"/>
        <v>74380</v>
      </c>
      <c r="I66" s="192">
        <f t="shared" si="17"/>
        <v>5000</v>
      </c>
      <c r="J66" s="192">
        <f t="shared" si="17"/>
        <v>29500</v>
      </c>
      <c r="K66" s="196">
        <f>SUM(K58:K65)</f>
        <v>191087</v>
      </c>
      <c r="L66" s="192">
        <f aca="true" t="shared" si="18" ref="L66:S66">SUM(L58:L62)</f>
        <v>33308</v>
      </c>
      <c r="M66" s="192">
        <f t="shared" si="18"/>
        <v>0</v>
      </c>
      <c r="N66" s="192">
        <f t="shared" si="18"/>
        <v>43463</v>
      </c>
      <c r="O66" s="195">
        <f>SUM(O58:O65)</f>
        <v>10000</v>
      </c>
      <c r="P66" s="192">
        <f t="shared" si="18"/>
        <v>99380</v>
      </c>
      <c r="Q66" s="192">
        <f>SUM(Q58:Q65)</f>
        <v>3550</v>
      </c>
      <c r="R66" s="192">
        <f t="shared" si="18"/>
        <v>0</v>
      </c>
      <c r="S66" s="192">
        <f t="shared" si="18"/>
        <v>507</v>
      </c>
      <c r="T66" s="192">
        <f>SUM(T58:T62)</f>
        <v>150</v>
      </c>
      <c r="U66" s="196">
        <f>SUM(U58:U65)</f>
        <v>729</v>
      </c>
      <c r="V66" s="302">
        <f>SUM(V58:V65)</f>
        <v>191087</v>
      </c>
      <c r="W66" s="110">
        <f>SUM(W58:W62)</f>
        <v>0</v>
      </c>
      <c r="X66" s="110">
        <f>SUM(L66:U66)</f>
        <v>191087</v>
      </c>
      <c r="Y66" s="110">
        <f>V66-X66</f>
        <v>0</v>
      </c>
    </row>
    <row r="67" spans="2:22" ht="12.75">
      <c r="B67" s="191"/>
      <c r="C67" s="419">
        <f>+'4.mell. kiadás'!D19</f>
        <v>5506</v>
      </c>
      <c r="D67" s="419">
        <f>+'4.mell. kiadás'!E19</f>
        <v>1497</v>
      </c>
      <c r="E67" s="419">
        <f>+'4.mell. kiadás'!F19</f>
        <v>29410</v>
      </c>
      <c r="F67" s="99">
        <f>SUM(C67:E67)</f>
        <v>36413</v>
      </c>
      <c r="G67" s="419">
        <f>+'4.mell. kiadás'!I19</f>
        <v>45794</v>
      </c>
      <c r="H67" s="419">
        <f>+'4.mell. kiadás'!J19</f>
        <v>74380</v>
      </c>
      <c r="I67" s="419">
        <f>'4.mell. kiadás'!H19</f>
        <v>5000</v>
      </c>
      <c r="J67" s="419">
        <f>+'4.mell. kiadás'!K19</f>
        <v>29500</v>
      </c>
      <c r="K67" s="198">
        <f>+'4.mell. kiadás'!M19</f>
        <v>191087</v>
      </c>
      <c r="L67" s="419"/>
      <c r="M67" s="419"/>
      <c r="N67" s="419"/>
      <c r="O67" s="193"/>
      <c r="P67" s="419"/>
      <c r="Q67" s="419"/>
      <c r="R67" s="419"/>
      <c r="S67" s="419"/>
      <c r="T67" s="419"/>
      <c r="U67" s="198">
        <f>SUM(L66:U66)</f>
        <v>191087</v>
      </c>
      <c r="V67" s="418"/>
    </row>
    <row r="68" spans="2:22" ht="13.5" thickBot="1">
      <c r="B68" s="340"/>
      <c r="C68" s="419"/>
      <c r="D68" s="419"/>
      <c r="E68" s="419"/>
      <c r="F68" s="419"/>
      <c r="G68" s="419"/>
      <c r="H68" s="419"/>
      <c r="I68" s="419"/>
      <c r="J68" s="419"/>
      <c r="K68" s="198"/>
      <c r="L68" s="419"/>
      <c r="M68" s="419"/>
      <c r="N68" s="419"/>
      <c r="O68" s="193"/>
      <c r="P68" s="419"/>
      <c r="Q68" s="419"/>
      <c r="R68" s="419"/>
      <c r="S68" s="419"/>
      <c r="T68" s="419"/>
      <c r="U68" s="198"/>
      <c r="V68" s="418"/>
    </row>
    <row r="69" spans="2:22" s="301" customFormat="1" ht="13.5" thickBot="1">
      <c r="B69" s="300" t="s">
        <v>91</v>
      </c>
      <c r="C69" s="297">
        <f aca="true" t="shared" si="19" ref="C69:U69">+C66+C54+C43+C20+C29</f>
        <v>235364</v>
      </c>
      <c r="D69" s="298">
        <f t="shared" si="19"/>
        <v>63885.14</v>
      </c>
      <c r="E69" s="298">
        <f t="shared" si="19"/>
        <v>243828</v>
      </c>
      <c r="F69" s="298">
        <f t="shared" si="19"/>
        <v>543077.14</v>
      </c>
      <c r="G69" s="298">
        <f t="shared" si="19"/>
        <v>45794</v>
      </c>
      <c r="H69" s="298">
        <f>+H66+H54+H43+H20+H29</f>
        <v>74380</v>
      </c>
      <c r="I69" s="298">
        <f t="shared" si="19"/>
        <v>48438</v>
      </c>
      <c r="J69" s="298">
        <f t="shared" si="19"/>
        <v>32500</v>
      </c>
      <c r="K69" s="299">
        <f t="shared" si="19"/>
        <v>744189.14</v>
      </c>
      <c r="L69" s="298">
        <v>134978</v>
      </c>
      <c r="M69" s="298">
        <f t="shared" si="19"/>
        <v>40000</v>
      </c>
      <c r="N69" s="298">
        <f t="shared" si="19"/>
        <v>43463</v>
      </c>
      <c r="O69" s="297">
        <f t="shared" si="19"/>
        <v>265454</v>
      </c>
      <c r="P69" s="298">
        <f t="shared" si="19"/>
        <v>101380</v>
      </c>
      <c r="Q69" s="298">
        <f>+Q66+Q54+Q43+Q20+Q29</f>
        <v>148700</v>
      </c>
      <c r="R69" s="298">
        <f t="shared" si="19"/>
        <v>0</v>
      </c>
      <c r="S69" s="298">
        <f t="shared" si="19"/>
        <v>10064</v>
      </c>
      <c r="T69" s="298">
        <f t="shared" si="19"/>
        <v>150</v>
      </c>
      <c r="U69" s="299">
        <f t="shared" si="19"/>
        <v>0</v>
      </c>
      <c r="V69" s="300">
        <f>SUM(L69:U69)</f>
        <v>744189</v>
      </c>
    </row>
    <row r="70" spans="3:22" ht="12.75">
      <c r="C70" s="98">
        <f>+'4.mell. kiadás'!D30</f>
        <v>235364</v>
      </c>
      <c r="D70" s="98">
        <f>+'4.mell. kiadás'!E30</f>
        <v>63885</v>
      </c>
      <c r="E70" s="98">
        <f>+'4.mell. kiadás'!F30</f>
        <v>243828</v>
      </c>
      <c r="F70" s="98">
        <f>SUM(C70:E70)</f>
        <v>543077</v>
      </c>
      <c r="G70" s="98">
        <f>+'5.mell. átadott'!C17</f>
        <v>45794</v>
      </c>
      <c r="H70" s="98">
        <f>+'5.mell. átadott'!C23</f>
        <v>74380</v>
      </c>
      <c r="I70" s="98">
        <f>'6.mell. segélyek'!K32</f>
        <v>48438</v>
      </c>
      <c r="J70" s="98">
        <f>+'7.mell. felhalmozási kiadás'!C18</f>
        <v>32500</v>
      </c>
      <c r="K70" s="98">
        <f>'2.mell. pfkiadás'!E29</f>
        <v>744189</v>
      </c>
      <c r="L70" s="98">
        <v>134978</v>
      </c>
      <c r="M70" s="98">
        <f>+'1.mell. pfbevétel'!E23</f>
        <v>40000</v>
      </c>
      <c r="N70" s="98">
        <f>+'1.mell. pfbevétel'!E22-'1.mell. pfbevétel'!E23</f>
        <v>43463</v>
      </c>
      <c r="O70" s="98">
        <f>+'1.mell. pfbevétel'!E17</f>
        <v>265453.629</v>
      </c>
      <c r="P70" s="98">
        <f>+'1.mell. pfbevétel'!E11+'1.mell. pfbevétel'!E32</f>
        <v>101380</v>
      </c>
      <c r="Q70" s="98">
        <f>+'1.mell. pfbevétel'!E6+'1.mell. pfbevétel'!E7+'1.mell. pfbevétel'!E8+'1.mell. pfbevétel'!E9+'1.mell. pfbevétel'!E10</f>
        <v>148700</v>
      </c>
      <c r="R70" s="98">
        <v>0</v>
      </c>
      <c r="S70" s="98">
        <f>+'1.mell. pfbevétel'!E13</f>
        <v>10064</v>
      </c>
      <c r="T70" s="98">
        <f>+'1.mell. pfbevétel'!E34</f>
        <v>150</v>
      </c>
      <c r="V70" s="301">
        <f>SUM(L70:U70)</f>
        <v>744188.629</v>
      </c>
    </row>
    <row r="71" spans="3:22" ht="12.75">
      <c r="C71" s="98">
        <f>+C70-C69</f>
        <v>0</v>
      </c>
      <c r="D71" s="98">
        <f aca="true" t="shared" si="20" ref="D71:P71">+D70-D69</f>
        <v>-0.13999999999941792</v>
      </c>
      <c r="E71" s="98">
        <f t="shared" si="20"/>
        <v>0</v>
      </c>
      <c r="F71" s="98">
        <f>+F70-F69</f>
        <v>-0.14000000001396984</v>
      </c>
      <c r="G71" s="98">
        <f>+G70-G69</f>
        <v>0</v>
      </c>
      <c r="H71" s="98">
        <f t="shared" si="20"/>
        <v>0</v>
      </c>
      <c r="I71" s="98">
        <f t="shared" si="20"/>
        <v>0</v>
      </c>
      <c r="J71" s="98">
        <f t="shared" si="20"/>
        <v>0</v>
      </c>
      <c r="K71" s="98">
        <f t="shared" si="20"/>
        <v>-0.14000000001396984</v>
      </c>
      <c r="L71" s="98">
        <f>+L70-L69</f>
        <v>0</v>
      </c>
      <c r="M71" s="98">
        <f t="shared" si="20"/>
        <v>0</v>
      </c>
      <c r="N71" s="98">
        <f t="shared" si="20"/>
        <v>0</v>
      </c>
      <c r="O71" s="98">
        <f t="shared" si="20"/>
        <v>-0.3709999999846332</v>
      </c>
      <c r="P71" s="98">
        <f t="shared" si="20"/>
        <v>0</v>
      </c>
      <c r="Q71" s="98">
        <f>+Q70-Q69</f>
        <v>0</v>
      </c>
      <c r="R71" s="98">
        <f>+R70-R69</f>
        <v>0</v>
      </c>
      <c r="S71" s="98">
        <f>+S70-S69</f>
        <v>0</v>
      </c>
      <c r="U71" s="98">
        <f>+U70-U69</f>
        <v>0</v>
      </c>
      <c r="V71" s="301">
        <f>+'1.mell. pfbevétel'!E37</f>
        <v>744188.629</v>
      </c>
    </row>
    <row r="72" ht="12.75">
      <c r="V72" s="98">
        <f>+V71-V70</f>
        <v>0</v>
      </c>
    </row>
    <row r="73" ht="12.75">
      <c r="Q73" s="98">
        <f>R55+Q44+Q30+S21</f>
        <v>410832</v>
      </c>
    </row>
  </sheetData>
  <sheetProtection/>
  <mergeCells count="9">
    <mergeCell ref="L47:U47"/>
    <mergeCell ref="L33:U33"/>
    <mergeCell ref="L5:U5"/>
    <mergeCell ref="C4:K4"/>
    <mergeCell ref="L4:V4"/>
    <mergeCell ref="C32:K32"/>
    <mergeCell ref="L32:V32"/>
    <mergeCell ref="C46:K46"/>
    <mergeCell ref="L46:V46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60" r:id="rId1"/>
  <headerFooter alignWithMargins="0">
    <oddHeader>&amp;L12. melléklet a 2015. évi 3/2015.(II.25.) Önkormányzati költségvetési rendelethez&amp;R2015.02.25</oddHeader>
    <oddFooter>&amp;R&amp;F</oddFooter>
  </headerFooter>
  <rowBreaks count="2" manualBreakCount="2">
    <brk id="31" max="21" man="1"/>
    <brk id="45" max="21" man="1"/>
  </rowBreaks>
  <colBreaks count="1" manualBreakCount="1">
    <brk id="22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O84"/>
  <sheetViews>
    <sheetView view="pageLayout" zoomScaleSheetLayoutView="100" workbookViewId="0" topLeftCell="A1">
      <selection activeCell="B6" sqref="B6"/>
    </sheetView>
  </sheetViews>
  <sheetFormatPr defaultColWidth="9.140625" defaultRowHeight="12.75"/>
  <cols>
    <col min="1" max="1" width="18.421875" style="254" customWidth="1"/>
    <col min="2" max="2" width="34.7109375" style="254" customWidth="1"/>
    <col min="3" max="3" width="8.140625" style="254" customWidth="1"/>
    <col min="4" max="4" width="20.00390625" style="253" customWidth="1"/>
    <col min="5" max="5" width="13.00390625" style="253" customWidth="1"/>
    <col min="6" max="7" width="11.7109375" style="253" customWidth="1"/>
    <col min="8" max="8" width="15.421875" style="255" customWidth="1"/>
    <col min="9" max="9" width="11.00390625" style="253" customWidth="1"/>
    <col min="10" max="16384" width="9.140625" style="33" customWidth="1"/>
  </cols>
  <sheetData>
    <row r="1" spans="1:9" ht="15.75">
      <c r="A1" s="1025" t="s">
        <v>379</v>
      </c>
      <c r="B1" s="1025"/>
      <c r="C1" s="1025"/>
      <c r="D1" s="1025"/>
      <c r="E1" s="1025"/>
      <c r="F1" s="1025"/>
      <c r="G1" s="1025"/>
      <c r="H1" s="1025"/>
      <c r="I1" s="1025"/>
    </row>
    <row r="2" spans="1:9" ht="18">
      <c r="A2" s="1026" t="s">
        <v>380</v>
      </c>
      <c r="B2" s="1026"/>
      <c r="C2" s="1026"/>
      <c r="D2" s="1026"/>
      <c r="E2" s="1026"/>
      <c r="F2" s="1026"/>
      <c r="G2" s="1026"/>
      <c r="H2" s="1026"/>
      <c r="I2" s="1026"/>
    </row>
    <row r="3" spans="1:8" ht="12.75">
      <c r="A3" s="644"/>
      <c r="B3" s="644"/>
      <c r="C3" s="644"/>
      <c r="D3" s="645"/>
      <c r="E3" s="645"/>
      <c r="F3" s="645"/>
      <c r="G3" s="645"/>
      <c r="H3" s="645"/>
    </row>
    <row r="4" spans="1:13" ht="15">
      <c r="A4" s="1027" t="s">
        <v>614</v>
      </c>
      <c r="B4" s="1028"/>
      <c r="C4" s="1028"/>
      <c r="D4" s="1028"/>
      <c r="E4" s="1028"/>
      <c r="F4" s="1028"/>
      <c r="G4" s="1028"/>
      <c r="H4" s="1028"/>
      <c r="I4" s="1028"/>
      <c r="K4" s="84"/>
      <c r="L4" s="84"/>
      <c r="M4" s="84"/>
    </row>
    <row r="5" spans="1:13" ht="13.5" thickBot="1">
      <c r="A5" s="1029" t="s">
        <v>381</v>
      </c>
      <c r="B5" s="1030"/>
      <c r="C5" s="1030"/>
      <c r="D5" s="1030"/>
      <c r="E5" s="1030"/>
      <c r="F5" s="1030"/>
      <c r="G5" s="1030"/>
      <c r="H5" s="1030"/>
      <c r="I5" s="1030"/>
      <c r="K5" s="84"/>
      <c r="L5" s="84"/>
      <c r="M5" s="84"/>
    </row>
    <row r="6" spans="2:13" ht="15.75" thickBot="1">
      <c r="B6" s="646"/>
      <c r="C6" s="646"/>
      <c r="D6" s="647"/>
      <c r="E6" s="647"/>
      <c r="F6" s="647"/>
      <c r="G6" s="647"/>
      <c r="H6" s="648">
        <f>I9</f>
        <v>8000</v>
      </c>
      <c r="K6" s="84"/>
      <c r="L6" s="84"/>
      <c r="M6" s="84"/>
    </row>
    <row r="7" spans="1:13" ht="15">
      <c r="A7" s="649" t="s">
        <v>92</v>
      </c>
      <c r="B7" s="649"/>
      <c r="C7" s="456"/>
      <c r="D7" s="650"/>
      <c r="E7" s="651"/>
      <c r="F7" s="652"/>
      <c r="G7" s="652"/>
      <c r="H7" s="651"/>
      <c r="I7" s="651" t="s">
        <v>382</v>
      </c>
      <c r="K7" s="84"/>
      <c r="L7" s="84"/>
      <c r="M7" s="84"/>
    </row>
    <row r="8" spans="1:13" ht="15">
      <c r="A8" s="649"/>
      <c r="B8" s="653"/>
      <c r="C8" s="456"/>
      <c r="D8" s="654"/>
      <c r="E8" s="651"/>
      <c r="F8" s="652"/>
      <c r="G8" s="652"/>
      <c r="H8" s="651"/>
      <c r="I8" s="651"/>
      <c r="K8" s="84"/>
      <c r="L8" s="84"/>
      <c r="M8" s="84"/>
    </row>
    <row r="9" spans="1:13" ht="18.75" customHeight="1">
      <c r="A9" s="655" t="s">
        <v>630</v>
      </c>
      <c r="B9" s="656"/>
      <c r="C9" s="456"/>
      <c r="D9" s="657"/>
      <c r="E9" s="658"/>
      <c r="F9" s="659"/>
      <c r="G9" s="659"/>
      <c r="H9" s="651">
        <v>8000000</v>
      </c>
      <c r="I9" s="651">
        <f>H9/1000</f>
        <v>8000</v>
      </c>
      <c r="K9" s="84"/>
      <c r="L9" s="84"/>
      <c r="M9" s="84"/>
    </row>
    <row r="10" spans="1:15" ht="15.75" customHeight="1">
      <c r="A10" s="649"/>
      <c r="B10" s="653" t="s">
        <v>353</v>
      </c>
      <c r="C10" s="456"/>
      <c r="D10" s="650"/>
      <c r="E10" s="651"/>
      <c r="F10" s="652"/>
      <c r="G10" s="652"/>
      <c r="H10" s="651"/>
      <c r="I10" s="651"/>
      <c r="K10" s="233"/>
      <c r="L10" s="233"/>
      <c r="M10" s="233"/>
      <c r="N10" s="199"/>
      <c r="O10" s="199"/>
    </row>
    <row r="11" spans="1:15" ht="15">
      <c r="A11" s="660"/>
      <c r="B11" s="661" t="s">
        <v>383</v>
      </c>
      <c r="C11" s="662"/>
      <c r="D11" s="662"/>
      <c r="E11" s="662"/>
      <c r="F11" s="663"/>
      <c r="G11" s="663"/>
      <c r="H11" s="663">
        <v>0</v>
      </c>
      <c r="I11" s="664">
        <f>H11/1000</f>
        <v>0</v>
      </c>
      <c r="K11" s="233"/>
      <c r="L11" s="233"/>
      <c r="M11" s="233"/>
      <c r="N11" s="199"/>
      <c r="O11" s="199"/>
    </row>
    <row r="12" spans="1:15" ht="15">
      <c r="A12" s="660"/>
      <c r="B12" s="21"/>
      <c r="C12" s="665"/>
      <c r="D12" s="665"/>
      <c r="E12" s="665"/>
      <c r="F12" s="666"/>
      <c r="G12" s="666"/>
      <c r="H12" s="666"/>
      <c r="I12" s="666"/>
      <c r="K12" s="233"/>
      <c r="L12" s="233"/>
      <c r="M12" s="233"/>
      <c r="N12" s="199"/>
      <c r="O12" s="199"/>
    </row>
    <row r="13" spans="1:15" ht="15.75" thickBot="1">
      <c r="A13" s="666"/>
      <c r="B13" s="666"/>
      <c r="C13" s="665"/>
      <c r="D13" s="665"/>
      <c r="E13" s="665"/>
      <c r="F13" s="666"/>
      <c r="G13" s="666"/>
      <c r="H13" s="665"/>
      <c r="I13" s="666"/>
      <c r="K13" s="233"/>
      <c r="L13" s="233"/>
      <c r="M13" s="233"/>
      <c r="N13" s="199"/>
      <c r="O13" s="199"/>
    </row>
    <row r="14" spans="1:15" ht="16.5" thickBot="1">
      <c r="A14" s="667"/>
      <c r="B14" s="649"/>
      <c r="C14" s="456"/>
      <c r="D14" s="650"/>
      <c r="E14" s="668" t="s">
        <v>109</v>
      </c>
      <c r="F14" s="669"/>
      <c r="G14" s="669"/>
      <c r="H14" s="670">
        <f>H11</f>
        <v>0</v>
      </c>
      <c r="I14" s="671">
        <f>H14/1000</f>
        <v>0</v>
      </c>
      <c r="K14" s="233"/>
      <c r="L14" s="233"/>
      <c r="M14" s="233"/>
      <c r="N14" s="199"/>
      <c r="O14" s="199"/>
    </row>
    <row r="15" spans="1:15" ht="15">
      <c r="A15" s="21"/>
      <c r="B15" s="649"/>
      <c r="C15" s="649"/>
      <c r="D15" s="665"/>
      <c r="E15" s="665"/>
      <c r="F15" s="666"/>
      <c r="G15" s="666"/>
      <c r="H15" s="665"/>
      <c r="I15" s="665"/>
      <c r="K15" s="233"/>
      <c r="L15" s="233"/>
      <c r="M15" s="233"/>
      <c r="N15" s="199"/>
      <c r="O15" s="199"/>
    </row>
    <row r="16" spans="1:15" ht="18" customHeight="1">
      <c r="A16" s="1021"/>
      <c r="B16" s="1022"/>
      <c r="C16" s="672"/>
      <c r="D16" s="665"/>
      <c r="E16" s="665"/>
      <c r="F16" s="666"/>
      <c r="G16" s="666"/>
      <c r="H16" s="666"/>
      <c r="I16" s="665"/>
      <c r="K16" s="233"/>
      <c r="L16" s="233"/>
      <c r="M16" s="233"/>
      <c r="N16" s="199"/>
      <c r="O16" s="199"/>
    </row>
    <row r="17" spans="1:15" ht="15.75">
      <c r="A17" s="649" t="s">
        <v>113</v>
      </c>
      <c r="B17" s="673"/>
      <c r="C17" s="673"/>
      <c r="D17" s="255"/>
      <c r="E17" s="255"/>
      <c r="F17" s="674"/>
      <c r="G17" s="674"/>
      <c r="H17" s="651"/>
      <c r="I17" s="651" t="s">
        <v>382</v>
      </c>
      <c r="K17" s="233"/>
      <c r="L17" s="233"/>
      <c r="M17" s="233"/>
      <c r="N17" s="199"/>
      <c r="O17" s="199"/>
    </row>
    <row r="18" spans="1:15" ht="15">
      <c r="A18" s="652"/>
      <c r="B18" s="675" t="s">
        <v>180</v>
      </c>
      <c r="C18" s="676"/>
      <c r="D18" s="676"/>
      <c r="E18" s="677"/>
      <c r="F18" s="662"/>
      <c r="G18" s="662"/>
      <c r="H18" s="678">
        <f>SUM(G20:G31)</f>
        <v>4731200</v>
      </c>
      <c r="I18" s="679">
        <f>H18/1000</f>
        <v>4731.2</v>
      </c>
      <c r="J18" s="680" t="s">
        <v>384</v>
      </c>
      <c r="K18" s="233"/>
      <c r="L18" s="233"/>
      <c r="M18" s="233"/>
      <c r="N18" s="199"/>
      <c r="O18" s="199"/>
    </row>
    <row r="19" spans="1:15" ht="15">
      <c r="A19" s="681" t="s">
        <v>385</v>
      </c>
      <c r="B19" s="682"/>
      <c r="C19" s="683"/>
      <c r="D19" s="683"/>
      <c r="E19" s="684"/>
      <c r="F19" s="665"/>
      <c r="G19" s="665"/>
      <c r="H19" s="685"/>
      <c r="I19" s="685"/>
      <c r="J19" s="686" t="s">
        <v>386</v>
      </c>
      <c r="K19" s="233"/>
      <c r="L19" s="233"/>
      <c r="M19" s="233"/>
      <c r="N19" s="199"/>
      <c r="O19" s="199"/>
    </row>
    <row r="20" spans="1:15" ht="15">
      <c r="A20" s="687" t="s">
        <v>360</v>
      </c>
      <c r="B20" s="688"/>
      <c r="C20" s="651">
        <v>2</v>
      </c>
      <c r="D20" s="689" t="s">
        <v>115</v>
      </c>
      <c r="E20" s="665">
        <f>'[5]2015.BÉR'!Q66</f>
        <v>282100</v>
      </c>
      <c r="F20" s="665" t="s">
        <v>350</v>
      </c>
      <c r="G20" s="651">
        <f>E20*12</f>
        <v>3385200</v>
      </c>
      <c r="H20" s="651"/>
      <c r="I20" s="665"/>
      <c r="K20" s="233"/>
      <c r="L20" s="233"/>
      <c r="M20" s="233"/>
      <c r="N20" s="199"/>
      <c r="O20" s="199"/>
    </row>
    <row r="21" spans="1:15" ht="15">
      <c r="A21" s="690" t="s">
        <v>169</v>
      </c>
      <c r="B21" s="688"/>
      <c r="C21" s="651"/>
      <c r="D21" s="689"/>
      <c r="E21" s="665"/>
      <c r="F21" s="665"/>
      <c r="G21" s="651">
        <f>ROUND(SUM(E22:E23),-1)</f>
        <v>362000</v>
      </c>
      <c r="H21" s="651"/>
      <c r="I21" s="665"/>
      <c r="K21" s="233"/>
      <c r="L21" s="233"/>
      <c r="M21" s="233"/>
      <c r="N21" s="199"/>
      <c r="O21" s="199"/>
    </row>
    <row r="22" spans="1:15" ht="14.25">
      <c r="A22" s="690"/>
      <c r="B22" s="691" t="s">
        <v>387</v>
      </c>
      <c r="C22" s="651"/>
      <c r="D22" s="689"/>
      <c r="E22" s="253">
        <f>ROUND(21*36*9*12,-3)</f>
        <v>82000</v>
      </c>
      <c r="F22" s="651"/>
      <c r="G22" s="651"/>
      <c r="H22" s="651"/>
      <c r="I22" s="665"/>
      <c r="K22" s="233"/>
      <c r="L22" s="233"/>
      <c r="M22" s="233"/>
      <c r="N22" s="199"/>
      <c r="O22" s="199"/>
    </row>
    <row r="23" spans="1:15" ht="14.25">
      <c r="A23" s="690"/>
      <c r="B23" s="691" t="s">
        <v>388</v>
      </c>
      <c r="C23" s="651"/>
      <c r="D23" s="689"/>
      <c r="E23" s="651">
        <v>280000</v>
      </c>
      <c r="F23" s="651"/>
      <c r="G23" s="651"/>
      <c r="H23" s="651"/>
      <c r="I23" s="665"/>
      <c r="K23" s="233"/>
      <c r="L23" s="233"/>
      <c r="M23" s="233"/>
      <c r="N23" s="199"/>
      <c r="O23" s="199"/>
    </row>
    <row r="24" spans="1:15" ht="15">
      <c r="A24" s="649" t="s">
        <v>389</v>
      </c>
      <c r="B24" s="688"/>
      <c r="C24" s="651">
        <v>2</v>
      </c>
      <c r="D24" s="689" t="s">
        <v>115</v>
      </c>
      <c r="E24" s="651">
        <v>1000</v>
      </c>
      <c r="F24" s="665" t="s">
        <v>350</v>
      </c>
      <c r="G24" s="651">
        <f>2*1000*12</f>
        <v>24000</v>
      </c>
      <c r="H24" s="651"/>
      <c r="I24" s="665"/>
      <c r="K24" s="233"/>
      <c r="L24" s="233"/>
      <c r="M24" s="233"/>
      <c r="N24" s="199"/>
      <c r="O24" s="199"/>
    </row>
    <row r="25" spans="1:15" ht="15">
      <c r="A25" s="649"/>
      <c r="B25" s="688"/>
      <c r="C25" s="651"/>
      <c r="D25" s="689"/>
      <c r="E25" s="651"/>
      <c r="F25" s="665"/>
      <c r="G25" s="651"/>
      <c r="H25" s="651"/>
      <c r="I25" s="665"/>
      <c r="K25" s="233"/>
      <c r="L25" s="233"/>
      <c r="M25" s="233"/>
      <c r="N25" s="199"/>
      <c r="O25" s="199"/>
    </row>
    <row r="26" spans="1:15" ht="15">
      <c r="A26" s="681" t="s">
        <v>390</v>
      </c>
      <c r="B26" s="688"/>
      <c r="C26" s="651"/>
      <c r="D26" s="689"/>
      <c r="E26" s="651"/>
      <c r="F26" s="665"/>
      <c r="G26" s="651"/>
      <c r="H26" s="651"/>
      <c r="I26" s="665"/>
      <c r="K26" s="233"/>
      <c r="L26" s="233"/>
      <c r="M26" s="233"/>
      <c r="N26" s="199"/>
      <c r="O26" s="199"/>
    </row>
    <row r="27" spans="1:15" ht="15">
      <c r="A27" s="692" t="s">
        <v>391</v>
      </c>
      <c r="B27" s="688"/>
      <c r="C27" s="651">
        <v>1</v>
      </c>
      <c r="D27" s="689" t="s">
        <v>115</v>
      </c>
      <c r="E27" s="651">
        <v>80000</v>
      </c>
      <c r="F27" s="665" t="s">
        <v>350</v>
      </c>
      <c r="G27" s="651">
        <f>80000*12</f>
        <v>960000</v>
      </c>
      <c r="H27" s="651"/>
      <c r="I27" s="665"/>
      <c r="J27" s="33" t="s">
        <v>392</v>
      </c>
      <c r="K27" s="233"/>
      <c r="L27" s="233"/>
      <c r="M27" s="233"/>
      <c r="N27" s="199"/>
      <c r="O27" s="199"/>
    </row>
    <row r="28" spans="1:15" ht="15">
      <c r="A28" s="649"/>
      <c r="B28" s="688"/>
      <c r="C28" s="651"/>
      <c r="D28" s="689"/>
      <c r="E28" s="651"/>
      <c r="F28" s="665"/>
      <c r="G28" s="651"/>
      <c r="H28" s="651"/>
      <c r="I28" s="665"/>
      <c r="K28" s="233"/>
      <c r="L28" s="233"/>
      <c r="M28" s="233"/>
      <c r="N28" s="199"/>
      <c r="O28" s="199"/>
    </row>
    <row r="29" spans="1:15" ht="18.75" customHeight="1">
      <c r="A29" s="690"/>
      <c r="B29" s="688"/>
      <c r="C29" s="651"/>
      <c r="D29" s="689"/>
      <c r="E29" s="665"/>
      <c r="F29" s="665"/>
      <c r="G29" s="651"/>
      <c r="H29" s="651"/>
      <c r="I29" s="665"/>
      <c r="K29" s="233"/>
      <c r="L29" s="233"/>
      <c r="M29" s="233"/>
      <c r="N29" s="199"/>
      <c r="O29" s="199"/>
    </row>
    <row r="30" spans="1:15" ht="15">
      <c r="A30" s="649"/>
      <c r="B30" s="693"/>
      <c r="C30" s="694"/>
      <c r="D30" s="695"/>
      <c r="E30" s="651"/>
      <c r="F30" s="665"/>
      <c r="G30" s="651"/>
      <c r="H30" s="651"/>
      <c r="I30" s="665"/>
      <c r="K30" s="233"/>
      <c r="L30" s="233"/>
      <c r="M30" s="233"/>
      <c r="N30" s="199"/>
      <c r="O30" s="199"/>
    </row>
    <row r="31" spans="1:15" ht="15">
      <c r="A31" s="696"/>
      <c r="B31" s="697" t="s">
        <v>170</v>
      </c>
      <c r="C31" s="698"/>
      <c r="D31" s="662"/>
      <c r="E31" s="662"/>
      <c r="F31" s="662"/>
      <c r="G31" s="662"/>
      <c r="H31" s="678">
        <f>SUM(G32:G32)</f>
        <v>1179680</v>
      </c>
      <c r="I31" s="664">
        <f>H31/1000</f>
        <v>1179.68</v>
      </c>
      <c r="K31" s="233"/>
      <c r="L31" s="233"/>
      <c r="M31" s="233"/>
      <c r="N31" s="199"/>
      <c r="O31" s="199"/>
    </row>
    <row r="32" spans="1:15" ht="15">
      <c r="A32" s="699" t="s">
        <v>393</v>
      </c>
      <c r="B32" s="693"/>
      <c r="C32" s="700">
        <v>0.27</v>
      </c>
      <c r="D32" s="651" t="s">
        <v>394</v>
      </c>
      <c r="E32" s="665">
        <f>G20+G24+G27</f>
        <v>4369200</v>
      </c>
      <c r="F32" s="665"/>
      <c r="G32" s="665">
        <f>ROUND(E32*27%,-1)</f>
        <v>1179680</v>
      </c>
      <c r="H32" s="651"/>
      <c r="I32" s="665"/>
      <c r="K32" s="233"/>
      <c r="L32" s="233"/>
      <c r="M32" s="233"/>
      <c r="N32" s="199"/>
      <c r="O32" s="199"/>
    </row>
    <row r="33" spans="1:15" ht="15">
      <c r="A33" s="699"/>
      <c r="B33" s="693"/>
      <c r="C33" s="651"/>
      <c r="D33" s="689"/>
      <c r="E33" s="665"/>
      <c r="F33" s="665"/>
      <c r="G33" s="665"/>
      <c r="H33" s="651"/>
      <c r="I33" s="665"/>
      <c r="K33" s="233"/>
      <c r="L33" s="233"/>
      <c r="M33" s="233"/>
      <c r="N33" s="199"/>
      <c r="O33" s="199"/>
    </row>
    <row r="34" spans="1:15" ht="15.75">
      <c r="A34" s="701"/>
      <c r="H34" s="694"/>
      <c r="I34" s="702"/>
      <c r="K34" s="233"/>
      <c r="L34" s="233"/>
      <c r="M34" s="233"/>
      <c r="N34" s="199"/>
      <c r="O34" s="199"/>
    </row>
    <row r="35" spans="1:15" ht="15.75" customHeight="1">
      <c r="A35" s="701"/>
      <c r="B35" s="697" t="s">
        <v>395</v>
      </c>
      <c r="C35" s="703"/>
      <c r="D35" s="704"/>
      <c r="E35" s="663"/>
      <c r="F35" s="705"/>
      <c r="G35" s="705"/>
      <c r="H35" s="678">
        <f>H37+H44+H48+H71+H68</f>
        <v>2089120</v>
      </c>
      <c r="I35" s="679">
        <f>H35/1000</f>
        <v>2089.12</v>
      </c>
      <c r="K35" s="233"/>
      <c r="L35" s="233"/>
      <c r="M35" s="233"/>
      <c r="N35" s="199"/>
      <c r="O35" s="199"/>
    </row>
    <row r="36" spans="1:15" ht="15.75">
      <c r="A36" s="471"/>
      <c r="B36" s="706"/>
      <c r="C36" s="707"/>
      <c r="H36" s="674"/>
      <c r="J36" s="33" t="s">
        <v>396</v>
      </c>
      <c r="K36" s="233"/>
      <c r="L36" s="233"/>
      <c r="M36" s="233"/>
      <c r="N36" s="199"/>
      <c r="O36" s="199"/>
    </row>
    <row r="37" spans="1:13" ht="15">
      <c r="A37" s="708" t="s">
        <v>397</v>
      </c>
      <c r="B37" s="709"/>
      <c r="C37" s="456"/>
      <c r="D37" s="710"/>
      <c r="E37" s="694"/>
      <c r="F37" s="652"/>
      <c r="G37" s="652"/>
      <c r="H37" s="711">
        <f>SUM(G38:G42)</f>
        <v>170000</v>
      </c>
      <c r="I37" s="711"/>
      <c r="K37" s="84"/>
      <c r="L37" s="84"/>
      <c r="M37" s="84"/>
    </row>
    <row r="38" spans="1:13" ht="15">
      <c r="A38" s="690" t="s">
        <v>398</v>
      </c>
      <c r="B38" s="709"/>
      <c r="C38" s="456"/>
      <c r="D38" s="710"/>
      <c r="E38" s="694"/>
      <c r="F38" s="652"/>
      <c r="G38" s="651">
        <v>20000</v>
      </c>
      <c r="H38" s="711"/>
      <c r="I38" s="711"/>
      <c r="J38" s="33">
        <f>G38*5%</f>
        <v>1000</v>
      </c>
      <c r="K38" s="84"/>
      <c r="L38" s="84"/>
      <c r="M38" s="84"/>
    </row>
    <row r="39" spans="1:13" ht="15">
      <c r="A39" s="690" t="s">
        <v>399</v>
      </c>
      <c r="B39" s="709"/>
      <c r="C39" s="456"/>
      <c r="D39" s="710"/>
      <c r="E39" s="694"/>
      <c r="F39" s="652"/>
      <c r="G39" s="651">
        <v>30000</v>
      </c>
      <c r="H39" s="711"/>
      <c r="I39" s="711"/>
      <c r="J39" s="33">
        <f>G39*27%</f>
        <v>8100.000000000001</v>
      </c>
      <c r="K39" s="84"/>
      <c r="L39" s="84"/>
      <c r="M39" s="84"/>
    </row>
    <row r="40" spans="1:13" ht="14.25">
      <c r="A40" s="690" t="s">
        <v>400</v>
      </c>
      <c r="C40" s="707"/>
      <c r="G40" s="665">
        <v>50000</v>
      </c>
      <c r="H40" s="665"/>
      <c r="I40" s="712"/>
      <c r="J40" s="33">
        <f>G40*27%</f>
        <v>13500</v>
      </c>
      <c r="K40" s="84"/>
      <c r="L40" s="84"/>
      <c r="M40" s="84"/>
    </row>
    <row r="41" spans="1:13" ht="14.25">
      <c r="A41" s="690" t="s">
        <v>401</v>
      </c>
      <c r="C41" s="713"/>
      <c r="G41" s="665">
        <v>50000</v>
      </c>
      <c r="H41" s="665"/>
      <c r="I41" s="712"/>
      <c r="J41" s="33">
        <f>G41*27%</f>
        <v>13500</v>
      </c>
      <c r="K41" s="84"/>
      <c r="L41" s="84"/>
      <c r="M41" s="84"/>
    </row>
    <row r="42" spans="1:13" ht="15.75">
      <c r="A42" s="690" t="s">
        <v>402</v>
      </c>
      <c r="B42" s="699"/>
      <c r="C42" s="699"/>
      <c r="D42" s="665"/>
      <c r="E42" s="674"/>
      <c r="F42" s="255"/>
      <c r="G42" s="665">
        <v>20000</v>
      </c>
      <c r="H42" s="665"/>
      <c r="I42" s="712"/>
      <c r="J42" s="33">
        <f>G42*27%</f>
        <v>5400</v>
      </c>
      <c r="K42" s="84"/>
      <c r="L42" s="84"/>
      <c r="M42" s="84"/>
    </row>
    <row r="43" spans="1:13" ht="15.75">
      <c r="A43" s="714"/>
      <c r="B43" s="715"/>
      <c r="C43" s="715"/>
      <c r="D43" s="716"/>
      <c r="E43" s="674"/>
      <c r="F43" s="674"/>
      <c r="G43" s="665"/>
      <c r="H43" s="665"/>
      <c r="I43" s="712"/>
      <c r="K43" s="84"/>
      <c r="L43" s="84"/>
      <c r="M43" s="84"/>
    </row>
    <row r="44" spans="1:13" ht="14.25">
      <c r="A44" s="717" t="s">
        <v>403</v>
      </c>
      <c r="G44" s="665"/>
      <c r="H44" s="718">
        <f>SUM(G45:G46)</f>
        <v>175000</v>
      </c>
      <c r="I44" s="712"/>
      <c r="J44" s="33">
        <f>H44*27%</f>
        <v>47250</v>
      </c>
      <c r="K44" s="84"/>
      <c r="L44" s="84"/>
      <c r="M44" s="84"/>
    </row>
    <row r="45" spans="1:13" ht="15.75">
      <c r="A45" s="690" t="s">
        <v>404</v>
      </c>
      <c r="B45" s="673"/>
      <c r="C45" s="673"/>
      <c r="D45" s="255"/>
      <c r="E45" s="674"/>
      <c r="F45" s="674"/>
      <c r="G45" s="665">
        <v>75000</v>
      </c>
      <c r="H45" s="665"/>
      <c r="I45" s="712"/>
      <c r="K45" s="84"/>
      <c r="L45" s="84"/>
      <c r="M45" s="84"/>
    </row>
    <row r="46" spans="1:13" ht="15.75">
      <c r="A46" s="690" t="s">
        <v>405</v>
      </c>
      <c r="B46" s="673"/>
      <c r="C46" s="673"/>
      <c r="D46" s="255"/>
      <c r="E46" s="674"/>
      <c r="F46" s="674"/>
      <c r="G46" s="665">
        <v>100000</v>
      </c>
      <c r="H46" s="665"/>
      <c r="I46" s="712"/>
      <c r="K46" s="84"/>
      <c r="L46" s="84"/>
      <c r="M46" s="84"/>
    </row>
    <row r="47" spans="1:13" ht="15.75">
      <c r="A47" s="33"/>
      <c r="B47" s="673"/>
      <c r="C47" s="673"/>
      <c r="D47" s="255"/>
      <c r="E47" s="674"/>
      <c r="F47" s="674"/>
      <c r="G47" s="665"/>
      <c r="H47" s="665"/>
      <c r="I47" s="712"/>
      <c r="K47" s="84"/>
      <c r="L47" s="84"/>
      <c r="M47" s="84"/>
    </row>
    <row r="48" spans="1:13" ht="15.75">
      <c r="A48" s="719" t="s">
        <v>406</v>
      </c>
      <c r="B48" s="673"/>
      <c r="C48" s="673"/>
      <c r="D48" s="255"/>
      <c r="E48" s="674"/>
      <c r="F48" s="674"/>
      <c r="G48" s="665"/>
      <c r="H48" s="718">
        <f>G49+G57+G59+G54</f>
        <v>1495000</v>
      </c>
      <c r="I48" s="712"/>
      <c r="K48" s="84"/>
      <c r="L48" s="84"/>
      <c r="M48" s="84"/>
    </row>
    <row r="49" spans="1:13" ht="15">
      <c r="A49" s="720"/>
      <c r="B49" s="721" t="s">
        <v>407</v>
      </c>
      <c r="C49" s="456"/>
      <c r="D49" s="710"/>
      <c r="E49" s="722"/>
      <c r="F49" s="652"/>
      <c r="G49" s="712">
        <f>SUM(F50:F52)</f>
        <v>210000</v>
      </c>
      <c r="H49" s="711"/>
      <c r="I49" s="718"/>
      <c r="J49" s="33">
        <f>G49*27%</f>
        <v>56700.00000000001</v>
      </c>
      <c r="K49" s="84"/>
      <c r="L49" s="84"/>
      <c r="M49" s="84"/>
    </row>
    <row r="50" spans="1:13" ht="15">
      <c r="A50" s="723" t="s">
        <v>408</v>
      </c>
      <c r="B50" s="649"/>
      <c r="C50" s="724"/>
      <c r="D50" s="724"/>
      <c r="E50" s="694"/>
      <c r="F50" s="651">
        <v>50000</v>
      </c>
      <c r="G50" s="651"/>
      <c r="H50" s="651"/>
      <c r="I50" s="665"/>
      <c r="K50" s="84"/>
      <c r="L50" s="84"/>
      <c r="M50" s="84"/>
    </row>
    <row r="51" spans="1:13" ht="15">
      <c r="A51" s="699" t="s">
        <v>409</v>
      </c>
      <c r="B51" s="649"/>
      <c r="C51" s="724"/>
      <c r="D51" s="724"/>
      <c r="F51" s="665">
        <v>140000</v>
      </c>
      <c r="G51" s="651"/>
      <c r="H51" s="651"/>
      <c r="I51" s="665"/>
      <c r="K51" s="84"/>
      <c r="L51" s="84"/>
      <c r="M51" s="84"/>
    </row>
    <row r="52" spans="1:13" ht="15">
      <c r="A52" s="690" t="s">
        <v>410</v>
      </c>
      <c r="B52" s="649"/>
      <c r="C52" s="724"/>
      <c r="D52" s="724"/>
      <c r="F52" s="665">
        <v>20000</v>
      </c>
      <c r="G52" s="651"/>
      <c r="H52" s="651"/>
      <c r="I52" s="665"/>
      <c r="K52" s="84"/>
      <c r="L52" s="84"/>
      <c r="M52" s="84"/>
    </row>
    <row r="53" spans="1:13" ht="15">
      <c r="A53" s="699"/>
      <c r="B53" s="649"/>
      <c r="C53" s="724"/>
      <c r="D53" s="724"/>
      <c r="F53" s="665"/>
      <c r="G53" s="651"/>
      <c r="H53" s="651"/>
      <c r="I53" s="665"/>
      <c r="K53" s="84"/>
      <c r="L53" s="84"/>
      <c r="M53" s="84"/>
    </row>
    <row r="54" spans="1:13" ht="15">
      <c r="A54" s="699"/>
      <c r="B54" s="725" t="s">
        <v>411</v>
      </c>
      <c r="C54" s="724"/>
      <c r="D54" s="724"/>
      <c r="F54" s="665"/>
      <c r="G54" s="712">
        <f>F55</f>
        <v>10000</v>
      </c>
      <c r="H54" s="651"/>
      <c r="I54" s="665"/>
      <c r="J54" s="33">
        <f>G54*27%</f>
        <v>2700</v>
      </c>
      <c r="K54" s="84"/>
      <c r="L54" s="84"/>
      <c r="M54" s="84"/>
    </row>
    <row r="55" spans="1:13" ht="15">
      <c r="A55" s="690" t="s">
        <v>412</v>
      </c>
      <c r="B55" s="725"/>
      <c r="C55" s="724"/>
      <c r="D55" s="724"/>
      <c r="F55" s="665">
        <v>10000</v>
      </c>
      <c r="G55" s="651"/>
      <c r="H55" s="651"/>
      <c r="I55" s="665"/>
      <c r="K55" s="84"/>
      <c r="L55" s="84"/>
      <c r="M55" s="84"/>
    </row>
    <row r="56" spans="1:13" ht="15">
      <c r="A56" s="699"/>
      <c r="B56" s="649"/>
      <c r="C56" s="724"/>
      <c r="D56" s="724"/>
      <c r="F56" s="665"/>
      <c r="G56" s="651"/>
      <c r="H56" s="651"/>
      <c r="I56" s="665"/>
      <c r="K56" s="84"/>
      <c r="L56" s="84"/>
      <c r="M56" s="84"/>
    </row>
    <row r="57" spans="1:13" ht="15">
      <c r="A57" s="726"/>
      <c r="B57" s="726" t="s">
        <v>413</v>
      </c>
      <c r="C57" s="724"/>
      <c r="D57" s="724"/>
      <c r="E57" s="694"/>
      <c r="F57" s="665"/>
      <c r="G57" s="665">
        <v>20000</v>
      </c>
      <c r="H57" s="711"/>
      <c r="I57" s="665"/>
      <c r="J57" s="33">
        <f>G57*27%</f>
        <v>5400</v>
      </c>
      <c r="K57" s="84"/>
      <c r="L57" s="84"/>
      <c r="M57" s="84"/>
    </row>
    <row r="58" spans="1:13" ht="15">
      <c r="A58" s="726"/>
      <c r="B58" s="727"/>
      <c r="C58" s="724"/>
      <c r="D58" s="724"/>
      <c r="E58" s="694"/>
      <c r="F58" s="665"/>
      <c r="G58" s="712"/>
      <c r="H58" s="711"/>
      <c r="I58" s="665"/>
      <c r="K58" s="84"/>
      <c r="L58" s="84"/>
      <c r="M58" s="84"/>
    </row>
    <row r="59" spans="1:13" ht="15">
      <c r="A59" s="726"/>
      <c r="B59" s="721" t="s">
        <v>414</v>
      </c>
      <c r="C59" s="724"/>
      <c r="D59" s="724"/>
      <c r="E59" s="694"/>
      <c r="F59" s="665"/>
      <c r="G59" s="712">
        <f>F60+F66</f>
        <v>1255000</v>
      </c>
      <c r="H59" s="711"/>
      <c r="I59" s="665"/>
      <c r="K59" s="84"/>
      <c r="L59" s="84"/>
      <c r="M59" s="84"/>
    </row>
    <row r="60" spans="1:13" ht="15">
      <c r="A60" s="690" t="s">
        <v>415</v>
      </c>
      <c r="B60" s="222"/>
      <c r="C60" s="724"/>
      <c r="D60" s="724"/>
      <c r="E60" s="694"/>
      <c r="F60" s="651">
        <f>SUM(E61:E65)</f>
        <v>1235000</v>
      </c>
      <c r="G60" s="651"/>
      <c r="H60" s="651"/>
      <c r="I60" s="665"/>
      <c r="K60" s="84"/>
      <c r="L60" s="84"/>
      <c r="M60" s="84"/>
    </row>
    <row r="61" spans="1:13" ht="14.25">
      <c r="A61" s="690"/>
      <c r="B61" s="728" t="s">
        <v>171</v>
      </c>
      <c r="C61" s="729">
        <v>50000</v>
      </c>
      <c r="D61" s="729" t="s">
        <v>350</v>
      </c>
      <c r="E61" s="651">
        <f>50000*12</f>
        <v>600000</v>
      </c>
      <c r="F61" s="651"/>
      <c r="G61" s="651"/>
      <c r="H61" s="651"/>
      <c r="I61" s="665"/>
      <c r="K61" s="84"/>
      <c r="L61" s="84"/>
      <c r="M61" s="84"/>
    </row>
    <row r="62" spans="1:13" ht="14.25">
      <c r="A62" s="690"/>
      <c r="B62" s="728" t="s">
        <v>172</v>
      </c>
      <c r="C62" s="729">
        <v>40000</v>
      </c>
      <c r="D62" s="729" t="s">
        <v>351</v>
      </c>
      <c r="E62" s="651">
        <f>40000*6</f>
        <v>240000</v>
      </c>
      <c r="F62" s="651"/>
      <c r="G62" s="651"/>
      <c r="H62" s="651"/>
      <c r="I62" s="665"/>
      <c r="K62" s="84"/>
      <c r="L62" s="84"/>
      <c r="M62" s="84"/>
    </row>
    <row r="63" spans="1:13" ht="14.25">
      <c r="A63" s="690"/>
      <c r="B63" s="728" t="s">
        <v>173</v>
      </c>
      <c r="C63" s="729"/>
      <c r="D63" s="729"/>
      <c r="E63" s="651">
        <v>221000</v>
      </c>
      <c r="F63" s="651"/>
      <c r="G63" s="651"/>
      <c r="H63" s="651"/>
      <c r="I63" s="665"/>
      <c r="K63" s="84"/>
      <c r="L63" s="84"/>
      <c r="M63" s="84"/>
    </row>
    <row r="64" spans="1:13" ht="14.25">
      <c r="A64" s="690"/>
      <c r="B64" s="728" t="s">
        <v>174</v>
      </c>
      <c r="C64" s="729"/>
      <c r="D64" s="729"/>
      <c r="E64" s="651">
        <v>150000</v>
      </c>
      <c r="F64" s="651"/>
      <c r="G64" s="651"/>
      <c r="H64" s="651"/>
      <c r="I64" s="665"/>
      <c r="K64" s="84"/>
      <c r="L64" s="84"/>
      <c r="M64" s="84"/>
    </row>
    <row r="65" spans="1:13" ht="14.25">
      <c r="A65" s="690"/>
      <c r="B65" s="728" t="s">
        <v>416</v>
      </c>
      <c r="C65" s="729">
        <v>12000</v>
      </c>
      <c r="D65" s="729" t="s">
        <v>352</v>
      </c>
      <c r="E65" s="651">
        <f>12000*2</f>
        <v>24000</v>
      </c>
      <c r="F65" s="651"/>
      <c r="G65" s="651"/>
      <c r="H65" s="651"/>
      <c r="I65" s="665"/>
      <c r="K65" s="84"/>
      <c r="L65" s="84"/>
      <c r="M65" s="84"/>
    </row>
    <row r="66" spans="1:13" ht="14.25">
      <c r="A66" s="1023" t="s">
        <v>417</v>
      </c>
      <c r="B66" s="1024"/>
      <c r="C66" s="1024"/>
      <c r="D66" s="1024"/>
      <c r="E66" s="1024"/>
      <c r="F66" s="665">
        <v>20000</v>
      </c>
      <c r="G66" s="665"/>
      <c r="H66" s="665"/>
      <c r="I66" s="712"/>
      <c r="J66" s="33">
        <f>F66*27%</f>
        <v>5400</v>
      </c>
      <c r="K66" s="84"/>
      <c r="L66" s="84"/>
      <c r="M66" s="84"/>
    </row>
    <row r="67" spans="1:13" ht="14.25">
      <c r="A67" s="472"/>
      <c r="B67" s="473"/>
      <c r="C67" s="473"/>
      <c r="D67" s="473"/>
      <c r="E67" s="473"/>
      <c r="F67" s="665"/>
      <c r="G67" s="665"/>
      <c r="H67" s="665"/>
      <c r="I67" s="712"/>
      <c r="K67" s="84"/>
      <c r="L67" s="84"/>
      <c r="M67" s="84"/>
    </row>
    <row r="68" spans="1:13" ht="14.25">
      <c r="A68" s="730" t="s">
        <v>418</v>
      </c>
      <c r="B68" s="473"/>
      <c r="C68" s="473"/>
      <c r="D68" s="473"/>
      <c r="E68" s="473"/>
      <c r="F68" s="665"/>
      <c r="G68" s="665"/>
      <c r="H68" s="718">
        <f>G69</f>
        <v>90000</v>
      </c>
      <c r="I68" s="712"/>
      <c r="K68" s="84"/>
      <c r="L68" s="84"/>
      <c r="M68" s="84"/>
    </row>
    <row r="69" spans="1:13" ht="14.25">
      <c r="A69" s="649" t="s">
        <v>419</v>
      </c>
      <c r="B69" s="473"/>
      <c r="C69" s="473"/>
      <c r="D69" s="473"/>
      <c r="E69" s="473"/>
      <c r="F69" s="665"/>
      <c r="G69" s="665">
        <v>90000</v>
      </c>
      <c r="H69" s="665"/>
      <c r="I69" s="712"/>
      <c r="K69" s="84"/>
      <c r="L69" s="84"/>
      <c r="M69" s="84"/>
    </row>
    <row r="70" spans="1:13" ht="15">
      <c r="A70" s="699"/>
      <c r="C70" s="456"/>
      <c r="D70" s="457"/>
      <c r="E70" s="731"/>
      <c r="F70" s="665"/>
      <c r="H70" s="665"/>
      <c r="I70" s="712"/>
      <c r="K70" s="84"/>
      <c r="L70" s="84"/>
      <c r="M70" s="84"/>
    </row>
    <row r="71" spans="1:13" ht="15">
      <c r="A71" s="717" t="s">
        <v>420</v>
      </c>
      <c r="B71" s="721"/>
      <c r="C71" s="456"/>
      <c r="D71" s="457"/>
      <c r="E71" s="694"/>
      <c r="F71" s="652"/>
      <c r="G71" s="652"/>
      <c r="H71" s="711">
        <f>G72</f>
        <v>159120</v>
      </c>
      <c r="I71" s="718"/>
      <c r="K71" s="84"/>
      <c r="L71" s="84"/>
      <c r="M71" s="84"/>
    </row>
    <row r="72" spans="1:13" ht="16.5" customHeight="1">
      <c r="A72" s="699"/>
      <c r="B72" s="732" t="s">
        <v>421</v>
      </c>
      <c r="C72" s="724"/>
      <c r="D72" s="724"/>
      <c r="E72" s="694"/>
      <c r="F72" s="652"/>
      <c r="G72" s="712">
        <f>SUM(E73:E73)</f>
        <v>159120</v>
      </c>
      <c r="H72" s="685"/>
      <c r="I72" s="665"/>
      <c r="J72" s="33">
        <f>SUM(J38:J71)</f>
        <v>158950</v>
      </c>
      <c r="K72" s="84"/>
      <c r="L72" s="84"/>
      <c r="M72" s="84"/>
    </row>
    <row r="73" spans="1:13" ht="15">
      <c r="A73" s="690" t="s">
        <v>422</v>
      </c>
      <c r="B73" s="649"/>
      <c r="C73" s="456"/>
      <c r="D73" s="733"/>
      <c r="E73" s="734">
        <f>ROUND(J72,-2)+120</f>
        <v>159120</v>
      </c>
      <c r="F73" s="651"/>
      <c r="G73" s="651"/>
      <c r="H73" s="651"/>
      <c r="I73" s="665"/>
      <c r="K73" s="84"/>
      <c r="L73" s="84"/>
      <c r="M73" s="84"/>
    </row>
    <row r="74" spans="1:13" ht="15">
      <c r="A74" s="690"/>
      <c r="B74" s="649"/>
      <c r="C74" s="456"/>
      <c r="D74" s="733"/>
      <c r="E74" s="734"/>
      <c r="F74" s="651"/>
      <c r="G74" s="651"/>
      <c r="H74" s="651"/>
      <c r="I74" s="665"/>
      <c r="K74" s="84"/>
      <c r="L74" s="84"/>
      <c r="M74" s="84"/>
    </row>
    <row r="75" spans="1:13" ht="15.75" thickBot="1">
      <c r="A75" s="726"/>
      <c r="B75" s="111"/>
      <c r="C75" s="456"/>
      <c r="D75" s="457"/>
      <c r="E75" s="651"/>
      <c r="F75" s="651"/>
      <c r="G75" s="651"/>
      <c r="H75" s="651"/>
      <c r="I75" s="665"/>
      <c r="K75" s="84"/>
      <c r="L75" s="84"/>
      <c r="M75" s="84"/>
    </row>
    <row r="76" spans="2:13" ht="28.5" customHeight="1" thickBot="1">
      <c r="B76" s="673"/>
      <c r="C76" s="673"/>
      <c r="D76" s="255"/>
      <c r="E76" s="735" t="s">
        <v>110</v>
      </c>
      <c r="F76" s="736"/>
      <c r="G76" s="736"/>
      <c r="H76" s="737">
        <f>H18+H31+H35</f>
        <v>8000000</v>
      </c>
      <c r="I76" s="738">
        <f>H76/1000</f>
        <v>8000</v>
      </c>
      <c r="K76" s="84"/>
      <c r="L76" s="84"/>
      <c r="M76" s="84"/>
    </row>
    <row r="77" spans="2:13" ht="15">
      <c r="B77" s="673"/>
      <c r="C77" s="673"/>
      <c r="D77" s="255"/>
      <c r="E77" s="649"/>
      <c r="F77" s="649"/>
      <c r="G77" s="649"/>
      <c r="H77" s="649"/>
      <c r="I77" s="649"/>
      <c r="K77" s="84"/>
      <c r="L77" s="84"/>
      <c r="M77" s="84"/>
    </row>
    <row r="78" spans="5:13" ht="15.75">
      <c r="E78" s="674"/>
      <c r="F78" s="255"/>
      <c r="G78" s="255"/>
      <c r="K78" s="84"/>
      <c r="L78" s="84"/>
      <c r="M78" s="84"/>
    </row>
    <row r="79" spans="5:13" ht="15.75">
      <c r="E79" s="674"/>
      <c r="F79" s="255"/>
      <c r="G79" s="255"/>
      <c r="I79" s="253">
        <f>I76-H6</f>
        <v>0</v>
      </c>
      <c r="K79" s="84"/>
      <c r="L79" s="84"/>
      <c r="M79" s="84"/>
    </row>
    <row r="80" spans="11:13" ht="15">
      <c r="K80" s="84"/>
      <c r="L80" s="84"/>
      <c r="M80" s="84"/>
    </row>
    <row r="81" spans="11:13" ht="15">
      <c r="K81" s="84"/>
      <c r="L81" s="84"/>
      <c r="M81" s="84"/>
    </row>
    <row r="82" spans="11:13" ht="15">
      <c r="K82" s="84"/>
      <c r="L82" s="84"/>
      <c r="M82" s="84"/>
    </row>
    <row r="83" spans="11:13" ht="15">
      <c r="K83" s="84"/>
      <c r="L83" s="84"/>
      <c r="M83" s="84"/>
    </row>
    <row r="84" spans="11:13" ht="15">
      <c r="K84" s="84"/>
      <c r="L84" s="84"/>
      <c r="M84" s="84"/>
    </row>
  </sheetData>
  <sheetProtection/>
  <mergeCells count="6">
    <mergeCell ref="A16:B16"/>
    <mergeCell ref="A66:E66"/>
    <mergeCell ref="A1:I1"/>
    <mergeCell ref="A2:I2"/>
    <mergeCell ref="A4:I4"/>
    <mergeCell ref="A5:I5"/>
  </mergeCells>
  <printOptions/>
  <pageMargins left="0.7" right="0.7" top="0.75" bottom="0.75" header="0.3" footer="0.3"/>
  <pageSetup horizontalDpi="600" verticalDpi="600" orientation="portrait" paperSize="9" scale="61" r:id="rId1"/>
  <headerFooter alignWithMargins="0">
    <oddHeader>&amp;L13. melléklet a 2015. évi 3/2015.(II.25.) Önkormányzati költségvetési rendelethez&amp;R2015.02.25</oddHeader>
    <oddFooter>&amp;R&amp;F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E13"/>
  <sheetViews>
    <sheetView view="pageLayout" zoomScaleSheetLayoutView="100" workbookViewId="0" topLeftCell="A1">
      <selection activeCell="E4" sqref="E4"/>
    </sheetView>
  </sheetViews>
  <sheetFormatPr defaultColWidth="10.421875" defaultRowHeight="12.75"/>
  <cols>
    <col min="1" max="1" width="7.57421875" style="201" customWidth="1"/>
    <col min="2" max="2" width="56.421875" style="201" customWidth="1"/>
    <col min="3" max="3" width="14.28125" style="201" customWidth="1"/>
    <col min="4" max="16384" width="10.421875" style="201" customWidth="1"/>
  </cols>
  <sheetData>
    <row r="1" spans="1:3" ht="78.75" customHeight="1">
      <c r="A1" s="1032" t="s">
        <v>273</v>
      </c>
      <c r="B1" s="1032"/>
      <c r="C1" s="1032"/>
    </row>
    <row r="2" spans="1:3" ht="15">
      <c r="A2" s="202"/>
      <c r="B2" s="202"/>
      <c r="C2" s="904" t="s">
        <v>274</v>
      </c>
    </row>
    <row r="3" spans="1:3" ht="56.25" customHeight="1">
      <c r="A3" s="905" t="s">
        <v>221</v>
      </c>
      <c r="B3" s="905" t="s">
        <v>275</v>
      </c>
      <c r="C3" s="905" t="s">
        <v>595</v>
      </c>
    </row>
    <row r="4" spans="1:5" ht="16.5">
      <c r="A4" s="906" t="s">
        <v>20</v>
      </c>
      <c r="B4" s="907" t="s">
        <v>276</v>
      </c>
      <c r="C4" s="449">
        <f>'1.mell. pfbevétel'!E6+'1.mell. pfbevétel'!E7+'1.mell. pfbevétel'!E8+'1.mell. pfbevétel'!E9</f>
        <v>145600</v>
      </c>
      <c r="D4" s="415"/>
      <c r="E4" s="415"/>
    </row>
    <row r="5" spans="1:3" ht="16.5">
      <c r="A5" s="906" t="s">
        <v>21</v>
      </c>
      <c r="B5" s="907" t="s">
        <v>277</v>
      </c>
      <c r="C5" s="449"/>
    </row>
    <row r="6" spans="1:4" ht="16.5">
      <c r="A6" s="906" t="s">
        <v>22</v>
      </c>
      <c r="B6" s="907" t="s">
        <v>278</v>
      </c>
      <c r="C6" s="449">
        <f>'[8]bevétel 1.'!F15</f>
        <v>3100</v>
      </c>
      <c r="D6" s="415"/>
    </row>
    <row r="7" spans="1:3" ht="30">
      <c r="A7" s="906" t="s">
        <v>23</v>
      </c>
      <c r="B7" s="908" t="s">
        <v>279</v>
      </c>
      <c r="C7" s="909">
        <f>9309+4123</f>
        <v>13432</v>
      </c>
    </row>
    <row r="8" spans="1:3" ht="16.5">
      <c r="A8" s="906" t="s">
        <v>24</v>
      </c>
      <c r="B8" s="907" t="s">
        <v>280</v>
      </c>
      <c r="C8" s="449"/>
    </row>
    <row r="9" spans="1:3" ht="16.5">
      <c r="A9" s="906" t="s">
        <v>25</v>
      </c>
      <c r="B9" s="907" t="s">
        <v>281</v>
      </c>
      <c r="C9" s="449"/>
    </row>
    <row r="10" spans="1:3" ht="16.5">
      <c r="A10" s="906" t="s">
        <v>26</v>
      </c>
      <c r="B10" s="907" t="s">
        <v>282</v>
      </c>
      <c r="C10" s="449"/>
    </row>
    <row r="11" spans="1:3" s="416" customFormat="1" ht="16.5" hidden="1">
      <c r="A11" s="910" t="s">
        <v>27</v>
      </c>
      <c r="B11" s="911" t="s">
        <v>93</v>
      </c>
      <c r="C11" s="449">
        <f>'[8]bevétel 1.'!F5</f>
        <v>133977.5</v>
      </c>
    </row>
    <row r="12" spans="1:4" ht="16.5">
      <c r="A12" s="417" t="s">
        <v>28</v>
      </c>
      <c r="B12" s="912" t="s">
        <v>283</v>
      </c>
      <c r="C12" s="913">
        <f>SUM(C4:C11)</f>
        <v>296109.5</v>
      </c>
      <c r="D12" s="415"/>
    </row>
    <row r="13" spans="1:3" ht="39" customHeight="1">
      <c r="A13" s="1031" t="s">
        <v>284</v>
      </c>
      <c r="B13" s="1031"/>
      <c r="C13" s="914"/>
    </row>
  </sheetData>
  <sheetProtection/>
  <mergeCells count="2">
    <mergeCell ref="A13:B13"/>
    <mergeCell ref="A1:C1"/>
  </mergeCells>
  <printOptions/>
  <pageMargins left="0.75" right="0.75" top="1" bottom="1" header="0.5" footer="0.5"/>
  <pageSetup horizontalDpi="600" verticalDpi="600" orientation="portrait" paperSize="9" scale="85" r:id="rId1"/>
  <headerFooter alignWithMargins="0">
    <oddHeader>&amp;L14. melléklet a 2015. évi 3/2015.(II.25.) Önkormányzati költségvetési rendelethez&amp;R2015.02.25</oddHeader>
    <oddFooter>&amp;R&amp;F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B3:BE337"/>
  <sheetViews>
    <sheetView view="pageLayout" zoomScaleSheetLayoutView="100" workbookViewId="0" topLeftCell="A1">
      <selection activeCell="Q25" sqref="Q25"/>
    </sheetView>
  </sheetViews>
  <sheetFormatPr defaultColWidth="9.140625" defaultRowHeight="13.5" customHeight="1"/>
  <cols>
    <col min="1" max="1" width="4.00390625" style="37" customWidth="1"/>
    <col min="2" max="2" width="4.7109375" style="37" customWidth="1"/>
    <col min="3" max="3" width="23.7109375" style="37" customWidth="1"/>
    <col min="4" max="5" width="12.7109375" style="37" bestFit="1" customWidth="1"/>
    <col min="6" max="6" width="10.140625" style="37" bestFit="1" customWidth="1"/>
    <col min="7" max="7" width="8.28125" style="37" bestFit="1" customWidth="1"/>
    <col min="8" max="10" width="10.140625" style="37" bestFit="1" customWidth="1"/>
    <col min="11" max="11" width="9.8515625" style="37" bestFit="1" customWidth="1"/>
    <col min="12" max="12" width="11.00390625" style="37" bestFit="1" customWidth="1"/>
    <col min="13" max="13" width="10.140625" style="37" bestFit="1" customWidth="1"/>
    <col min="14" max="14" width="11.57421875" style="37" bestFit="1" customWidth="1"/>
    <col min="15" max="15" width="11.140625" style="37" bestFit="1" customWidth="1"/>
    <col min="16" max="16" width="11.140625" style="151" bestFit="1" customWidth="1"/>
    <col min="17" max="20" width="11.140625" style="151" customWidth="1"/>
    <col min="21" max="21" width="12.7109375" style="150" bestFit="1" customWidth="1"/>
    <col min="22" max="28" width="11.7109375" style="150" customWidth="1"/>
    <col min="29" max="30" width="9.7109375" style="150" customWidth="1"/>
    <col min="31" max="31" width="10.57421875" style="150" customWidth="1"/>
    <col min="32" max="32" width="13.00390625" style="150" customWidth="1"/>
    <col min="33" max="33" width="9.28125" style="150" customWidth="1"/>
    <col min="34" max="57" width="9.140625" style="150" customWidth="1"/>
    <col min="58" max="16384" width="9.140625" style="37" customWidth="1"/>
  </cols>
  <sheetData>
    <row r="3" spans="2:20" ht="32.25" customHeight="1">
      <c r="B3" s="1033" t="s">
        <v>602</v>
      </c>
      <c r="C3" s="1033"/>
      <c r="D3" s="1033"/>
      <c r="E3" s="1033"/>
      <c r="F3" s="1033"/>
      <c r="G3" s="1033"/>
      <c r="H3" s="1033"/>
      <c r="I3" s="1033"/>
      <c r="J3" s="1033"/>
      <c r="K3" s="1033"/>
      <c r="L3" s="1033"/>
      <c r="M3" s="1033"/>
      <c r="N3" s="1033"/>
      <c r="O3" s="1033"/>
      <c r="P3" s="1033"/>
      <c r="Q3" s="152"/>
      <c r="R3" s="152"/>
      <c r="S3" s="152"/>
      <c r="T3" s="152"/>
    </row>
    <row r="4" spans="2:20" ht="32.25" customHeight="1" thickBot="1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</row>
    <row r="5" spans="2:20" ht="24.75" customHeight="1" thickBot="1">
      <c r="B5" s="118" t="s">
        <v>221</v>
      </c>
      <c r="C5" s="119" t="s">
        <v>60</v>
      </c>
      <c r="D5" s="119" t="s">
        <v>222</v>
      </c>
      <c r="E5" s="119" t="s">
        <v>223</v>
      </c>
      <c r="F5" s="119" t="s">
        <v>224</v>
      </c>
      <c r="G5" s="119" t="s">
        <v>225</v>
      </c>
      <c r="H5" s="119" t="s">
        <v>226</v>
      </c>
      <c r="I5" s="119" t="s">
        <v>227</v>
      </c>
      <c r="J5" s="119" t="s">
        <v>228</v>
      </c>
      <c r="K5" s="119" t="s">
        <v>229</v>
      </c>
      <c r="L5" s="119" t="s">
        <v>230</v>
      </c>
      <c r="M5" s="119" t="s">
        <v>231</v>
      </c>
      <c r="N5" s="119" t="s">
        <v>232</v>
      </c>
      <c r="O5" s="119" t="s">
        <v>233</v>
      </c>
      <c r="P5" s="120" t="s">
        <v>234</v>
      </c>
      <c r="Q5" s="153"/>
      <c r="R5" s="153"/>
      <c r="S5" s="153"/>
      <c r="T5" s="153"/>
    </row>
    <row r="6" spans="2:20" ht="13.5" customHeight="1" thickBot="1">
      <c r="B6" s="121" t="s">
        <v>20</v>
      </c>
      <c r="C6" s="122" t="s">
        <v>92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38"/>
      <c r="Q6" s="154"/>
      <c r="R6" s="154"/>
      <c r="S6" s="154"/>
      <c r="T6" s="154"/>
    </row>
    <row r="7" spans="2:20" ht="13.5" customHeight="1">
      <c r="B7" s="124" t="s">
        <v>21</v>
      </c>
      <c r="C7" s="125" t="s">
        <v>255</v>
      </c>
      <c r="D7" s="155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7" t="s">
        <v>256</v>
      </c>
      <c r="Q7" s="158"/>
      <c r="R7" s="158"/>
      <c r="S7" s="158"/>
      <c r="T7" s="158"/>
    </row>
    <row r="8" spans="2:20" ht="13.5" customHeight="1">
      <c r="B8" s="128" t="s">
        <v>22</v>
      </c>
      <c r="C8" s="129" t="s">
        <v>236</v>
      </c>
      <c r="D8" s="159">
        <v>2776</v>
      </c>
      <c r="E8" s="159">
        <f>+D8</f>
        <v>2776</v>
      </c>
      <c r="F8" s="159">
        <f aca="true" t="shared" si="0" ref="F8:N8">+E8</f>
        <v>2776</v>
      </c>
      <c r="G8" s="159">
        <f t="shared" si="0"/>
        <v>2776</v>
      </c>
      <c r="H8" s="159">
        <f t="shared" si="0"/>
        <v>2776</v>
      </c>
      <c r="I8" s="159">
        <f t="shared" si="0"/>
        <v>2776</v>
      </c>
      <c r="J8" s="159">
        <f t="shared" si="0"/>
        <v>2776</v>
      </c>
      <c r="K8" s="159">
        <f t="shared" si="0"/>
        <v>2776</v>
      </c>
      <c r="L8" s="159">
        <f t="shared" si="0"/>
        <v>2776</v>
      </c>
      <c r="M8" s="159">
        <f t="shared" si="0"/>
        <v>2776</v>
      </c>
      <c r="N8" s="159">
        <f t="shared" si="0"/>
        <v>2776</v>
      </c>
      <c r="O8" s="159">
        <f>+N8-4</f>
        <v>2772</v>
      </c>
      <c r="P8" s="160">
        <f>SUM(D8:O8)</f>
        <v>33308</v>
      </c>
      <c r="Q8" s="161">
        <f>+'3.mell. bevétel'!D18</f>
        <v>33308</v>
      </c>
      <c r="R8" s="161">
        <f>+Q8/12</f>
        <v>2775.6666666666665</v>
      </c>
      <c r="S8" s="161">
        <f aca="true" t="shared" si="1" ref="S8:S13">+Q8-P8</f>
        <v>0</v>
      </c>
      <c r="T8" s="161"/>
    </row>
    <row r="9" spans="2:20" ht="22.5" customHeight="1">
      <c r="B9" s="128" t="s">
        <v>23</v>
      </c>
      <c r="C9" s="132" t="s">
        <v>289</v>
      </c>
      <c r="D9" s="162">
        <v>22121</v>
      </c>
      <c r="E9" s="162">
        <f>+D9</f>
        <v>22121</v>
      </c>
      <c r="F9" s="162">
        <f aca="true" t="shared" si="2" ref="F9:N9">+E9</f>
        <v>22121</v>
      </c>
      <c r="G9" s="162">
        <f t="shared" si="2"/>
        <v>22121</v>
      </c>
      <c r="H9" s="162">
        <f t="shared" si="2"/>
        <v>22121</v>
      </c>
      <c r="I9" s="162">
        <f t="shared" si="2"/>
        <v>22121</v>
      </c>
      <c r="J9" s="162">
        <f t="shared" si="2"/>
        <v>22121</v>
      </c>
      <c r="K9" s="162">
        <f t="shared" si="2"/>
        <v>22121</v>
      </c>
      <c r="L9" s="162">
        <f t="shared" si="2"/>
        <v>22121</v>
      </c>
      <c r="M9" s="162">
        <f t="shared" si="2"/>
        <v>22121</v>
      </c>
      <c r="N9" s="162">
        <f t="shared" si="2"/>
        <v>22121</v>
      </c>
      <c r="O9" s="162">
        <f>+N9+5-3</f>
        <v>22123</v>
      </c>
      <c r="P9" s="163">
        <f>SUM(D9:O9)</f>
        <v>265454</v>
      </c>
      <c r="Q9" s="161">
        <f>+'1.mell. pfbevétel'!E18</f>
        <v>265453.629</v>
      </c>
      <c r="R9" s="161">
        <f>+Q9/12</f>
        <v>22121.13575</v>
      </c>
      <c r="S9" s="161">
        <f t="shared" si="1"/>
        <v>-0.3709999999846332</v>
      </c>
      <c r="T9" s="161"/>
    </row>
    <row r="10" spans="2:20" ht="13.5" customHeight="1">
      <c r="B10" s="128" t="s">
        <v>24</v>
      </c>
      <c r="C10" s="129" t="s">
        <v>238</v>
      </c>
      <c r="D10" s="159">
        <f>13180-5000-2500</f>
        <v>5680</v>
      </c>
      <c r="E10" s="159">
        <f>+D10</f>
        <v>5680</v>
      </c>
      <c r="F10" s="159">
        <f>52722-2000</f>
        <v>50722</v>
      </c>
      <c r="G10" s="159">
        <f>13180-5000-2500</f>
        <v>5680</v>
      </c>
      <c r="H10" s="159">
        <f aca="true" t="shared" si="3" ref="H10:N10">+G10</f>
        <v>5680</v>
      </c>
      <c r="I10" s="159">
        <f t="shared" si="3"/>
        <v>5680</v>
      </c>
      <c r="J10" s="159">
        <f t="shared" si="3"/>
        <v>5680</v>
      </c>
      <c r="K10" s="159">
        <f t="shared" si="3"/>
        <v>5680</v>
      </c>
      <c r="L10" s="159">
        <f>52722-2000</f>
        <v>50722</v>
      </c>
      <c r="M10" s="159">
        <f>13180-5000-2500</f>
        <v>5680</v>
      </c>
      <c r="N10" s="159">
        <f t="shared" si="3"/>
        <v>5680</v>
      </c>
      <c r="O10" s="159">
        <f>+N10-2-2+8-84</f>
        <v>5600</v>
      </c>
      <c r="P10" s="160">
        <f>SUM(D10:O10)</f>
        <v>158164</v>
      </c>
      <c r="Q10" s="151">
        <f>+'1.mell. pfbevétel'!E6+'1.mell. pfbevétel'!E7+'1.mell. pfbevétel'!E8+'1.mell. pfbevétel'!E9+'1.mell. pfbevétel'!E10+'1.mell. pfbevétel'!E13-600</f>
        <v>158164</v>
      </c>
      <c r="R10" s="161">
        <f>+Q10/12</f>
        <v>13180.333333333334</v>
      </c>
      <c r="S10" s="161">
        <f t="shared" si="1"/>
        <v>0</v>
      </c>
      <c r="T10" s="161"/>
    </row>
    <row r="11" spans="2:20" ht="13.5" customHeight="1">
      <c r="B11" s="128" t="s">
        <v>25</v>
      </c>
      <c r="C11" s="129" t="s">
        <v>239</v>
      </c>
      <c r="D11" s="159"/>
      <c r="E11" s="159"/>
      <c r="F11" s="159">
        <v>10000</v>
      </c>
      <c r="G11" s="159">
        <f>+G46</f>
        <v>0</v>
      </c>
      <c r="H11" s="159">
        <v>71380</v>
      </c>
      <c r="I11" s="159">
        <v>5000</v>
      </c>
      <c r="J11" s="159">
        <v>5000</v>
      </c>
      <c r="K11" s="159">
        <v>5000</v>
      </c>
      <c r="L11" s="159">
        <v>5000</v>
      </c>
      <c r="M11" s="159"/>
      <c r="N11" s="159"/>
      <c r="O11" s="159"/>
      <c r="P11" s="160">
        <f aca="true" t="shared" si="4" ref="P11:P28">SUM(D11:O11)</f>
        <v>101380</v>
      </c>
      <c r="Q11" s="151">
        <f>+'1.mell. pfbevétel'!E11+'1.mell. pfbevétel'!E31</f>
        <v>101380</v>
      </c>
      <c r="R11" s="161"/>
      <c r="S11" s="161">
        <f>+Q11-P11</f>
        <v>0</v>
      </c>
      <c r="T11" s="161"/>
    </row>
    <row r="12" spans="2:27" ht="13.5" customHeight="1">
      <c r="B12" s="128" t="s">
        <v>26</v>
      </c>
      <c r="C12" s="129" t="s">
        <v>240</v>
      </c>
      <c r="D12" s="159">
        <f>5273+7879-782-3500</f>
        <v>8870</v>
      </c>
      <c r="E12" s="159">
        <f>1773+7879-788+3500</f>
        <v>12364</v>
      </c>
      <c r="F12" s="159">
        <f>+E12-3500</f>
        <v>8864</v>
      </c>
      <c r="G12" s="159">
        <v>2485</v>
      </c>
      <c r="H12" s="159">
        <v>985</v>
      </c>
      <c r="I12" s="159">
        <v>985</v>
      </c>
      <c r="J12" s="159">
        <v>2485</v>
      </c>
      <c r="K12" s="159">
        <v>985</v>
      </c>
      <c r="L12" s="159">
        <f>+K12</f>
        <v>985</v>
      </c>
      <c r="M12" s="159">
        <v>2485</v>
      </c>
      <c r="N12" s="159">
        <v>985</v>
      </c>
      <c r="O12" s="159">
        <v>985</v>
      </c>
      <c r="P12" s="160">
        <f t="shared" si="4"/>
        <v>43463</v>
      </c>
      <c r="Q12" s="161">
        <f>+'3.mell. bevétel'!F18</f>
        <v>43463</v>
      </c>
      <c r="R12" s="161">
        <f>+Q12/12</f>
        <v>3621.9166666666665</v>
      </c>
      <c r="S12" s="161">
        <f t="shared" si="1"/>
        <v>0</v>
      </c>
      <c r="T12" s="161"/>
      <c r="U12" s="64"/>
      <c r="Y12" s="64"/>
      <c r="AA12" s="64"/>
    </row>
    <row r="13" spans="2:20" ht="13.5" customHeight="1">
      <c r="B13" s="128" t="s">
        <v>27</v>
      </c>
      <c r="C13" s="129" t="s">
        <v>241</v>
      </c>
      <c r="D13" s="159">
        <v>13</v>
      </c>
      <c r="E13" s="159">
        <f>+D13</f>
        <v>13</v>
      </c>
      <c r="F13" s="159">
        <f aca="true" t="shared" si="5" ref="F13:N13">+E13</f>
        <v>13</v>
      </c>
      <c r="G13" s="159">
        <f t="shared" si="5"/>
        <v>13</v>
      </c>
      <c r="H13" s="159">
        <f t="shared" si="5"/>
        <v>13</v>
      </c>
      <c r="I13" s="159">
        <f t="shared" si="5"/>
        <v>13</v>
      </c>
      <c r="J13" s="159">
        <f t="shared" si="5"/>
        <v>13</v>
      </c>
      <c r="K13" s="159">
        <f t="shared" si="5"/>
        <v>13</v>
      </c>
      <c r="L13" s="159">
        <f t="shared" si="5"/>
        <v>13</v>
      </c>
      <c r="M13" s="159">
        <f t="shared" si="5"/>
        <v>13</v>
      </c>
      <c r="N13" s="159">
        <f t="shared" si="5"/>
        <v>13</v>
      </c>
      <c r="O13" s="159">
        <f>+N13-6</f>
        <v>7</v>
      </c>
      <c r="P13" s="160">
        <f>SUM(D13:O13)</f>
        <v>150</v>
      </c>
      <c r="Q13" s="161">
        <f>+'1.mell. pfbevétel'!E34</f>
        <v>150</v>
      </c>
      <c r="R13" s="161">
        <f>+Q13/12</f>
        <v>12.5</v>
      </c>
      <c r="S13" s="161">
        <f t="shared" si="1"/>
        <v>0</v>
      </c>
      <c r="T13" s="161"/>
    </row>
    <row r="14" spans="2:20" ht="21" customHeight="1">
      <c r="B14" s="128" t="s">
        <v>28</v>
      </c>
      <c r="C14" s="134" t="s">
        <v>242</v>
      </c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60">
        <f t="shared" si="4"/>
        <v>0</v>
      </c>
      <c r="Q14" s="161"/>
      <c r="R14" s="161"/>
      <c r="S14" s="161"/>
      <c r="T14" s="161"/>
    </row>
    <row r="15" spans="2:20" ht="13.5" customHeight="1" thickBot="1">
      <c r="B15" s="128" t="s">
        <v>29</v>
      </c>
      <c r="C15" s="129" t="s">
        <v>257</v>
      </c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60">
        <f t="shared" si="4"/>
        <v>0</v>
      </c>
      <c r="Q15" s="161"/>
      <c r="R15" s="161"/>
      <c r="S15" s="161"/>
      <c r="T15" s="161"/>
    </row>
    <row r="16" spans="2:57" s="151" customFormat="1" ht="13.5" customHeight="1" thickBot="1">
      <c r="B16" s="121" t="s">
        <v>30</v>
      </c>
      <c r="C16" s="136" t="s">
        <v>243</v>
      </c>
      <c r="D16" s="164">
        <f>SUM(D8:D15)</f>
        <v>39460</v>
      </c>
      <c r="E16" s="164">
        <f aca="true" t="shared" si="6" ref="E16:O16">SUM(E8:E15)</f>
        <v>42954</v>
      </c>
      <c r="F16" s="164">
        <f t="shared" si="6"/>
        <v>94496</v>
      </c>
      <c r="G16" s="164">
        <f t="shared" si="6"/>
        <v>33075</v>
      </c>
      <c r="H16" s="164">
        <f t="shared" si="6"/>
        <v>102955</v>
      </c>
      <c r="I16" s="164">
        <f t="shared" si="6"/>
        <v>36575</v>
      </c>
      <c r="J16" s="164">
        <f t="shared" si="6"/>
        <v>38075</v>
      </c>
      <c r="K16" s="164">
        <f t="shared" si="6"/>
        <v>36575</v>
      </c>
      <c r="L16" s="164">
        <f t="shared" si="6"/>
        <v>81617</v>
      </c>
      <c r="M16" s="164">
        <f t="shared" si="6"/>
        <v>33075</v>
      </c>
      <c r="N16" s="164">
        <f t="shared" si="6"/>
        <v>31575</v>
      </c>
      <c r="O16" s="164">
        <f t="shared" si="6"/>
        <v>31487</v>
      </c>
      <c r="P16" s="164">
        <f>SUM(P8:P15)</f>
        <v>601919</v>
      </c>
      <c r="Q16" s="165">
        <f>+'3.mell. bevétel'!K18</f>
        <v>601918.629</v>
      </c>
      <c r="R16" s="165"/>
      <c r="S16" s="165">
        <f>SUM(D16:O16)</f>
        <v>601919</v>
      </c>
      <c r="T16" s="165"/>
      <c r="U16" s="166"/>
      <c r="V16" s="150"/>
      <c r="W16" s="150"/>
      <c r="X16" s="150"/>
      <c r="Y16" s="166"/>
      <c r="Z16" s="150"/>
      <c r="AA16" s="166"/>
      <c r="AB16" s="150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</row>
    <row r="17" spans="2:57" s="151" customFormat="1" ht="13.5" customHeight="1" thickBot="1">
      <c r="B17" s="121" t="s">
        <v>31</v>
      </c>
      <c r="C17" s="122" t="s">
        <v>113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38"/>
      <c r="Q17" s="154"/>
      <c r="R17" s="154"/>
      <c r="S17" s="154"/>
      <c r="T17" s="167"/>
      <c r="U17" s="166"/>
      <c r="V17" s="150"/>
      <c r="W17" s="150"/>
      <c r="X17" s="150"/>
      <c r="Y17" s="166"/>
      <c r="Z17" s="150"/>
      <c r="AA17" s="166"/>
      <c r="AB17" s="150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</row>
    <row r="18" spans="2:20" ht="13.5" customHeight="1">
      <c r="B18" s="139" t="s">
        <v>32</v>
      </c>
      <c r="C18" s="140" t="s">
        <v>180</v>
      </c>
      <c r="D18" s="162">
        <v>459</v>
      </c>
      <c r="E18" s="162">
        <f>+D18</f>
        <v>459</v>
      </c>
      <c r="F18" s="162">
        <f aca="true" t="shared" si="7" ref="F18:N20">+E18</f>
        <v>459</v>
      </c>
      <c r="G18" s="162">
        <f t="shared" si="7"/>
        <v>459</v>
      </c>
      <c r="H18" s="162">
        <f t="shared" si="7"/>
        <v>459</v>
      </c>
      <c r="I18" s="162">
        <f t="shared" si="7"/>
        <v>459</v>
      </c>
      <c r="J18" s="162">
        <f t="shared" si="7"/>
        <v>459</v>
      </c>
      <c r="K18" s="162">
        <f t="shared" si="7"/>
        <v>459</v>
      </c>
      <c r="L18" s="162">
        <f t="shared" si="7"/>
        <v>459</v>
      </c>
      <c r="M18" s="162">
        <f t="shared" si="7"/>
        <v>459</v>
      </c>
      <c r="N18" s="162">
        <f t="shared" si="7"/>
        <v>459</v>
      </c>
      <c r="O18" s="162">
        <f>+N18-4+8-8+4-2</f>
        <v>457</v>
      </c>
      <c r="P18" s="163">
        <f>SUM(D18:O18)</f>
        <v>5506</v>
      </c>
      <c r="Q18" s="161">
        <f>+'4.mell. kiadás'!D19</f>
        <v>5506</v>
      </c>
      <c r="R18" s="161">
        <f>+Q18/12</f>
        <v>458.8333333333333</v>
      </c>
      <c r="S18" s="161">
        <f>+Q18-P18</f>
        <v>0</v>
      </c>
      <c r="T18" s="161"/>
    </row>
    <row r="19" spans="2:20" ht="24.75" customHeight="1">
      <c r="B19" s="128" t="s">
        <v>33</v>
      </c>
      <c r="C19" s="134" t="s">
        <v>244</v>
      </c>
      <c r="D19" s="159">
        <v>125</v>
      </c>
      <c r="E19" s="159">
        <f>+D19</f>
        <v>125</v>
      </c>
      <c r="F19" s="159">
        <f t="shared" si="7"/>
        <v>125</v>
      </c>
      <c r="G19" s="159">
        <f t="shared" si="7"/>
        <v>125</v>
      </c>
      <c r="H19" s="159">
        <f t="shared" si="7"/>
        <v>125</v>
      </c>
      <c r="I19" s="159">
        <f t="shared" si="7"/>
        <v>125</v>
      </c>
      <c r="J19" s="159">
        <f t="shared" si="7"/>
        <v>125</v>
      </c>
      <c r="K19" s="159">
        <f t="shared" si="7"/>
        <v>125</v>
      </c>
      <c r="L19" s="159">
        <f t="shared" si="7"/>
        <v>125</v>
      </c>
      <c r="M19" s="159">
        <f t="shared" si="7"/>
        <v>125</v>
      </c>
      <c r="N19" s="159">
        <f t="shared" si="7"/>
        <v>125</v>
      </c>
      <c r="O19" s="159">
        <f>+N19+5-10+2</f>
        <v>122</v>
      </c>
      <c r="P19" s="160">
        <f t="shared" si="4"/>
        <v>1497</v>
      </c>
      <c r="Q19" s="161">
        <f>+'4.mell. kiadás'!E19</f>
        <v>1497</v>
      </c>
      <c r="R19" s="161">
        <f>+Q19/12</f>
        <v>124.75</v>
      </c>
      <c r="S19" s="161">
        <f>+Q19-P19</f>
        <v>0</v>
      </c>
      <c r="T19" s="161"/>
    </row>
    <row r="20" spans="2:20" ht="13.5" customHeight="1">
      <c r="B20" s="128" t="s">
        <v>34</v>
      </c>
      <c r="C20" s="129" t="s">
        <v>202</v>
      </c>
      <c r="D20" s="159">
        <v>2451</v>
      </c>
      <c r="E20" s="159">
        <f>+D20</f>
        <v>2451</v>
      </c>
      <c r="F20" s="159">
        <f t="shared" si="7"/>
        <v>2451</v>
      </c>
      <c r="G20" s="159">
        <f t="shared" si="7"/>
        <v>2451</v>
      </c>
      <c r="H20" s="159">
        <f t="shared" si="7"/>
        <v>2451</v>
      </c>
      <c r="I20" s="159">
        <f t="shared" si="7"/>
        <v>2451</v>
      </c>
      <c r="J20" s="159">
        <f t="shared" si="7"/>
        <v>2451</v>
      </c>
      <c r="K20" s="159">
        <f t="shared" si="7"/>
        <v>2451</v>
      </c>
      <c r="L20" s="159">
        <f t="shared" si="7"/>
        <v>2451</v>
      </c>
      <c r="M20" s="159">
        <f t="shared" si="7"/>
        <v>2451</v>
      </c>
      <c r="N20" s="159">
        <f t="shared" si="7"/>
        <v>2451</v>
      </c>
      <c r="O20" s="159">
        <f>+N20+3-1-4</f>
        <v>2449</v>
      </c>
      <c r="P20" s="160">
        <f t="shared" si="4"/>
        <v>29410</v>
      </c>
      <c r="Q20" s="161">
        <f>+'4.mell. kiadás'!F19</f>
        <v>29410</v>
      </c>
      <c r="R20" s="161">
        <f>+Q20/12</f>
        <v>2450.8333333333335</v>
      </c>
      <c r="S20" s="161">
        <f>+Q20-P20</f>
        <v>0</v>
      </c>
      <c r="T20" s="161"/>
    </row>
    <row r="21" spans="2:20" ht="13.5" customHeight="1">
      <c r="B21" s="128" t="s">
        <v>35</v>
      </c>
      <c r="C21" s="129" t="s">
        <v>245</v>
      </c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60">
        <f t="shared" si="4"/>
        <v>0</v>
      </c>
      <c r="Q21" s="161"/>
      <c r="R21" s="161"/>
      <c r="S21" s="161"/>
      <c r="T21" s="161"/>
    </row>
    <row r="22" spans="2:20" ht="13.5" customHeight="1">
      <c r="B22" s="128" t="s">
        <v>36</v>
      </c>
      <c r="C22" s="129" t="s">
        <v>246</v>
      </c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60">
        <f t="shared" si="4"/>
        <v>0</v>
      </c>
      <c r="S22" s="161">
        <f>+Q23-P22</f>
        <v>45794</v>
      </c>
      <c r="T22" s="161"/>
    </row>
    <row r="23" spans="2:20" ht="13.5" customHeight="1">
      <c r="B23" s="128" t="s">
        <v>37</v>
      </c>
      <c r="C23" s="129" t="s">
        <v>247</v>
      </c>
      <c r="D23" s="159">
        <v>2825</v>
      </c>
      <c r="E23" s="159">
        <f>+D23</f>
        <v>2825</v>
      </c>
      <c r="F23" s="159">
        <f>+E23+725</f>
        <v>3550</v>
      </c>
      <c r="G23" s="159">
        <v>2825</v>
      </c>
      <c r="H23" s="159">
        <v>2825</v>
      </c>
      <c r="I23" s="159">
        <f>2825+725+4500</f>
        <v>8050</v>
      </c>
      <c r="J23" s="159">
        <v>2825</v>
      </c>
      <c r="K23" s="159">
        <v>2825</v>
      </c>
      <c r="L23" s="159">
        <f>2825+725</f>
        <v>3550</v>
      </c>
      <c r="M23" s="159">
        <v>2825</v>
      </c>
      <c r="N23" s="159">
        <v>2825</v>
      </c>
      <c r="O23" s="159">
        <f>2825+725+4500-6</f>
        <v>8044</v>
      </c>
      <c r="P23" s="160">
        <f t="shared" si="4"/>
        <v>45794</v>
      </c>
      <c r="Q23" s="161">
        <f>+'4.mell. kiadás'!I19</f>
        <v>45794</v>
      </c>
      <c r="R23" s="161">
        <f>+Q23/12</f>
        <v>3816.1666666666665</v>
      </c>
      <c r="S23" s="161">
        <f>+Q23-P23</f>
        <v>0</v>
      </c>
      <c r="T23" s="161"/>
    </row>
    <row r="24" spans="2:20" ht="21" customHeight="1">
      <c r="B24" s="128" t="s">
        <v>39</v>
      </c>
      <c r="C24" s="134" t="s">
        <v>248</v>
      </c>
      <c r="D24" s="159">
        <v>417</v>
      </c>
      <c r="E24" s="159">
        <f>+D24</f>
        <v>417</v>
      </c>
      <c r="F24" s="159">
        <f aca="true" t="shared" si="8" ref="F24:N24">+E24</f>
        <v>417</v>
      </c>
      <c r="G24" s="159">
        <f t="shared" si="8"/>
        <v>417</v>
      </c>
      <c r="H24" s="159">
        <f t="shared" si="8"/>
        <v>417</v>
      </c>
      <c r="I24" s="159">
        <f t="shared" si="8"/>
        <v>417</v>
      </c>
      <c r="J24" s="159">
        <f t="shared" si="8"/>
        <v>417</v>
      </c>
      <c r="K24" s="159">
        <f t="shared" si="8"/>
        <v>417</v>
      </c>
      <c r="L24" s="159">
        <f t="shared" si="8"/>
        <v>417</v>
      </c>
      <c r="M24" s="159">
        <f t="shared" si="8"/>
        <v>417</v>
      </c>
      <c r="N24" s="159">
        <f t="shared" si="8"/>
        <v>417</v>
      </c>
      <c r="O24" s="159">
        <f>+N24+2-6</f>
        <v>413</v>
      </c>
      <c r="P24" s="160">
        <f t="shared" si="4"/>
        <v>5000</v>
      </c>
      <c r="Q24" s="161">
        <f>'4.mell. kiadás'!H19</f>
        <v>5000</v>
      </c>
      <c r="R24" s="161">
        <f>+Q24/12</f>
        <v>416.6666666666667</v>
      </c>
      <c r="S24" s="161">
        <f>+Q24-P24</f>
        <v>0</v>
      </c>
      <c r="T24" s="161"/>
    </row>
    <row r="25" spans="2:20" ht="13.5" customHeight="1">
      <c r="B25" s="128" t="s">
        <v>41</v>
      </c>
      <c r="C25" s="129" t="s">
        <v>357</v>
      </c>
      <c r="D25" s="159"/>
      <c r="E25" s="159"/>
      <c r="F25" s="159">
        <v>1000</v>
      </c>
      <c r="G25" s="159">
        <v>2000</v>
      </c>
      <c r="H25" s="159"/>
      <c r="I25" s="159"/>
      <c r="J25" s="159">
        <v>1000</v>
      </c>
      <c r="K25" s="159"/>
      <c r="L25" s="159"/>
      <c r="M25" s="159"/>
      <c r="N25" s="159"/>
      <c r="O25" s="159"/>
      <c r="P25" s="160">
        <f t="shared" si="4"/>
        <v>4000</v>
      </c>
      <c r="Q25" s="161">
        <v>3000</v>
      </c>
      <c r="R25" s="161"/>
      <c r="S25" s="161"/>
      <c r="T25" s="161"/>
    </row>
    <row r="26" spans="2:20" ht="13.5" customHeight="1">
      <c r="B26" s="128" t="s">
        <v>42</v>
      </c>
      <c r="C26" s="129" t="s">
        <v>250</v>
      </c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60">
        <f t="shared" si="4"/>
        <v>0</v>
      </c>
      <c r="Q26" s="161"/>
      <c r="R26" s="161"/>
      <c r="S26" s="161"/>
      <c r="T26" s="161"/>
    </row>
    <row r="27" spans="2:20" ht="13.5" customHeight="1">
      <c r="B27" s="128" t="s">
        <v>43</v>
      </c>
      <c r="C27" s="129" t="s">
        <v>251</v>
      </c>
      <c r="D27" s="159">
        <v>583</v>
      </c>
      <c r="E27" s="159">
        <v>583</v>
      </c>
      <c r="F27" s="159">
        <v>583</v>
      </c>
      <c r="G27" s="159">
        <v>583</v>
      </c>
      <c r="H27" s="159">
        <f>71380+583</f>
        <v>71963</v>
      </c>
      <c r="I27" s="159">
        <f>583</f>
        <v>583</v>
      </c>
      <c r="J27" s="159">
        <v>583</v>
      </c>
      <c r="K27" s="159">
        <f>1500+583</f>
        <v>2083</v>
      </c>
      <c r="L27" s="159">
        <f>583+20000</f>
        <v>20583</v>
      </c>
      <c r="M27" s="159">
        <v>583</v>
      </c>
      <c r="N27" s="159">
        <v>583</v>
      </c>
      <c r="O27" s="159">
        <f>583+4</f>
        <v>587</v>
      </c>
      <c r="P27" s="160">
        <f t="shared" si="4"/>
        <v>99880</v>
      </c>
      <c r="Q27" s="161">
        <f>'5.mell. átadott'!C21+'7.mell. felhalmozási kiadás'!C14</f>
        <v>99880</v>
      </c>
      <c r="R27" s="161">
        <f>+Q27/12</f>
        <v>8323.333333333334</v>
      </c>
      <c r="S27" s="161">
        <f>+Q27-P27</f>
        <v>0</v>
      </c>
      <c r="T27" s="161"/>
    </row>
    <row r="28" spans="2:57" s="151" customFormat="1" ht="13.5" customHeight="1" thickBot="1">
      <c r="B28" s="128" t="s">
        <v>44</v>
      </c>
      <c r="C28" s="129" t="s">
        <v>252</v>
      </c>
      <c r="D28" s="159">
        <f>+'20.mell. könyvtár fin terv'!D16+'19.mell. vsz finterv'!D16+'18.mell. eszesz finterv'!D16+'17.mell. PH ei.felh.'!D18</f>
        <v>33717.85</v>
      </c>
      <c r="E28" s="159">
        <f>+'20.mell. könyvtár fin terv'!E16+'19.mell. vsz finterv'!E16+'18.mell. eszesz finterv'!E16+'17.mell. PH ei.felh.'!E18</f>
        <v>35832.15</v>
      </c>
      <c r="F28" s="159">
        <f>+'20.mell. könyvtár fin terv'!F16+'19.mell. vsz finterv'!F16+'18.mell. eszesz finterv'!F16+'17.mell. PH ei.felh.'!F18</f>
        <v>33874.06</v>
      </c>
      <c r="G28" s="159">
        <f>+'20.mell. könyvtár fin terv'!G16+'19.mell. vsz finterv'!G16+'18.mell. eszesz finterv'!G16+'17.mell. PH ei.felh.'!G18</f>
        <v>33890.57</v>
      </c>
      <c r="H28" s="159">
        <f>+'20.mell. könyvtár fin terv'!H16+'19.mell. vsz finterv'!H16+'18.mell. eszesz finterv'!H16+'17.mell. PH ei.felh.'!H18</f>
        <v>34241.37</v>
      </c>
      <c r="I28" s="159">
        <f>+'20.mell. könyvtár fin terv'!I16+'19.mell. vsz finterv'!I16+'18.mell. eszesz finterv'!I16+'17.mell. PH ei.felh.'!I18</f>
        <v>34009.630000000005</v>
      </c>
      <c r="J28" s="159">
        <f>+'20.mell. könyvtár fin terv'!J16+'19.mell. vsz finterv'!J16+'18.mell. eszesz finterv'!J16+'17.mell. PH ei.felh.'!J18</f>
        <v>34026.14</v>
      </c>
      <c r="K28" s="159">
        <f>+'20.mell. könyvtár fin terv'!K16+'19.mell. vsz finterv'!K16+'18.mell. eszesz finterv'!K16+'17.mell. PH ei.felh.'!K18</f>
        <v>34360.43</v>
      </c>
      <c r="L28" s="159">
        <f>+'20.mell. könyvtár fin terv'!L16+'19.mell. vsz finterv'!L16+'18.mell. eszesz finterv'!L16+'17.mell. PH ei.felh.'!L18</f>
        <v>34074.4</v>
      </c>
      <c r="M28" s="159">
        <f>+'20.mell. könyvtár fin terv'!M16+'19.mell. vsz finterv'!M16+'18.mell. eszesz finterv'!M16+'17.mell. PH ei.felh.'!M18</f>
        <v>34089.64</v>
      </c>
      <c r="N28" s="159">
        <f>+'20.mell. könyvtár fin terv'!N16+'19.mell. vsz finterv'!N16+'18.mell. eszesz finterv'!N16+'17.mell. PH ei.felh.'!N18</f>
        <v>34099.8</v>
      </c>
      <c r="O28" s="159">
        <f>+'20.mell. könyvtár fin terv'!O16+'19.mell. vsz finterv'!O16+'18.mell. eszesz finterv'!O16+'17.mell. PH ei.felh.'!O18</f>
        <v>34616.05</v>
      </c>
      <c r="P28" s="160">
        <f t="shared" si="4"/>
        <v>410832.09</v>
      </c>
      <c r="Q28" s="161">
        <f>+'3.mell. bevétel'!I26</f>
        <v>410832</v>
      </c>
      <c r="R28" s="161"/>
      <c r="S28" s="161"/>
      <c r="T28" s="161"/>
      <c r="U28" s="166"/>
      <c r="V28" s="150"/>
      <c r="W28" s="166"/>
      <c r="X28" s="150"/>
      <c r="Y28" s="166"/>
      <c r="Z28" s="150"/>
      <c r="AA28" s="166"/>
      <c r="AB28" s="150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</row>
    <row r="29" spans="2:57" s="151" customFormat="1" ht="13.5" customHeight="1" thickBot="1">
      <c r="B29" s="142" t="s">
        <v>45</v>
      </c>
      <c r="C29" s="136" t="s">
        <v>253</v>
      </c>
      <c r="D29" s="164">
        <f>SUM(D18:D28)</f>
        <v>40577.85</v>
      </c>
      <c r="E29" s="164">
        <f aca="true" t="shared" si="9" ref="E29:O29">SUM(E18:E28)</f>
        <v>42692.15</v>
      </c>
      <c r="F29" s="164">
        <f t="shared" si="9"/>
        <v>42459.06</v>
      </c>
      <c r="G29" s="164">
        <f t="shared" si="9"/>
        <v>42750.57</v>
      </c>
      <c r="H29" s="164">
        <f t="shared" si="9"/>
        <v>112481.37</v>
      </c>
      <c r="I29" s="164">
        <f t="shared" si="9"/>
        <v>46094.630000000005</v>
      </c>
      <c r="J29" s="164">
        <f t="shared" si="9"/>
        <v>41886.14</v>
      </c>
      <c r="K29" s="164">
        <f t="shared" si="9"/>
        <v>42720.43</v>
      </c>
      <c r="L29" s="164">
        <f t="shared" si="9"/>
        <v>61659.4</v>
      </c>
      <c r="M29" s="164">
        <f t="shared" si="9"/>
        <v>40949.64</v>
      </c>
      <c r="N29" s="164">
        <f t="shared" si="9"/>
        <v>40959.8</v>
      </c>
      <c r="O29" s="164">
        <f t="shared" si="9"/>
        <v>46688.05</v>
      </c>
      <c r="P29" s="168">
        <f>SUM(D29:O29)</f>
        <v>601919.0900000001</v>
      </c>
      <c r="Q29" s="165">
        <f>+'4.mell. kiadás'!M19+'3.mell. bevétel'!I26</f>
        <v>601919</v>
      </c>
      <c r="R29" s="165">
        <f>SUM(P18:P28)</f>
        <v>601919.0900000001</v>
      </c>
      <c r="S29" s="165"/>
      <c r="T29" s="165"/>
      <c r="U29" s="166"/>
      <c r="V29" s="150"/>
      <c r="W29" s="150"/>
      <c r="X29" s="150"/>
      <c r="Y29" s="166"/>
      <c r="Z29" s="166"/>
      <c r="AA29" s="166"/>
      <c r="AB29" s="150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</row>
    <row r="30" spans="2:57" s="173" customFormat="1" ht="28.5" customHeight="1" thickBot="1">
      <c r="B30" s="142" t="s">
        <v>46</v>
      </c>
      <c r="C30" s="144" t="s">
        <v>258</v>
      </c>
      <c r="D30" s="169">
        <f>D16-D29</f>
        <v>-1117.8499999999985</v>
      </c>
      <c r="E30" s="169">
        <f>E16-E29</f>
        <v>261.84999999999854</v>
      </c>
      <c r="F30" s="169">
        <f aca="true" t="shared" si="10" ref="F30:N30">F16-F29</f>
        <v>52036.94</v>
      </c>
      <c r="G30" s="169">
        <f t="shared" si="10"/>
        <v>-9675.57</v>
      </c>
      <c r="H30" s="169">
        <f t="shared" si="10"/>
        <v>-9526.369999999995</v>
      </c>
      <c r="I30" s="169">
        <f t="shared" si="10"/>
        <v>-9519.630000000005</v>
      </c>
      <c r="J30" s="169">
        <f t="shared" si="10"/>
        <v>-3811.1399999999994</v>
      </c>
      <c r="K30" s="169">
        <f t="shared" si="10"/>
        <v>-6145.43</v>
      </c>
      <c r="L30" s="169">
        <f t="shared" si="10"/>
        <v>19957.6</v>
      </c>
      <c r="M30" s="169">
        <f t="shared" si="10"/>
        <v>-7874.639999999999</v>
      </c>
      <c r="N30" s="169">
        <f t="shared" si="10"/>
        <v>-9384.800000000003</v>
      </c>
      <c r="O30" s="169">
        <f>O16-O29</f>
        <v>-15201.050000000003</v>
      </c>
      <c r="P30" s="170" t="s">
        <v>256</v>
      </c>
      <c r="Q30" s="171">
        <f>+'4.mell. kiadás'!M19</f>
        <v>191087</v>
      </c>
      <c r="R30" s="171"/>
      <c r="S30" s="171">
        <f>SUM(D30:O30)</f>
        <v>-0.0900000000037835</v>
      </c>
      <c r="T30" s="171"/>
      <c r="U30" s="172"/>
      <c r="V30" s="150"/>
      <c r="W30" s="150"/>
      <c r="X30" s="150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</row>
    <row r="31" spans="2:57" s="173" customFormat="1" ht="28.5" customHeight="1">
      <c r="B31" s="182"/>
      <c r="C31" s="183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71"/>
      <c r="Q31" s="171"/>
      <c r="R31" s="171"/>
      <c r="S31" s="171"/>
      <c r="T31" s="171"/>
      <c r="U31" s="172"/>
      <c r="V31" s="150"/>
      <c r="W31" s="150"/>
      <c r="X31" s="150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</row>
    <row r="32" spans="2:57" s="173" customFormat="1" ht="28.5" customHeight="1">
      <c r="B32" s="182"/>
      <c r="C32" s="183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71"/>
      <c r="Q32" s="171"/>
      <c r="R32" s="171"/>
      <c r="S32" s="171"/>
      <c r="T32" s="171"/>
      <c r="U32" s="172"/>
      <c r="V32" s="150"/>
      <c r="W32" s="150"/>
      <c r="X32" s="150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</row>
    <row r="33" spans="2:57" s="173" customFormat="1" ht="28.5" customHeight="1">
      <c r="B33" s="182"/>
      <c r="C33" s="183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71"/>
      <c r="Q33" s="171"/>
      <c r="R33" s="171"/>
      <c r="S33" s="171"/>
      <c r="T33" s="171"/>
      <c r="U33" s="172"/>
      <c r="V33" s="150"/>
      <c r="W33" s="150"/>
      <c r="X33" s="150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</row>
    <row r="34" spans="2:57" s="173" customFormat="1" ht="28.5" customHeight="1">
      <c r="B34" s="182"/>
      <c r="C34" s="183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71"/>
      <c r="Q34" s="171"/>
      <c r="R34" s="171"/>
      <c r="S34" s="171"/>
      <c r="T34" s="171"/>
      <c r="U34" s="172"/>
      <c r="V34" s="150"/>
      <c r="W34" s="150"/>
      <c r="X34" s="150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</row>
    <row r="35" spans="3:57" s="173" customFormat="1" ht="28.5" customHeight="1">
      <c r="C35" s="151"/>
      <c r="P35" s="173">
        <f>+'4.mell. kiadás'!M19</f>
        <v>191087</v>
      </c>
      <c r="Q35" s="173">
        <f>+Q30-P29</f>
        <v>-410832.0900000001</v>
      </c>
      <c r="U35" s="172"/>
      <c r="V35" s="150"/>
      <c r="W35" s="150"/>
      <c r="X35" s="150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</row>
    <row r="36" spans="3:16" ht="13.5" customHeight="1">
      <c r="C36" s="37" t="s">
        <v>54</v>
      </c>
      <c r="D36" s="37">
        <v>13399</v>
      </c>
      <c r="E36" s="37">
        <f>+D36</f>
        <v>13399</v>
      </c>
      <c r="F36" s="37">
        <f aca="true" t="shared" si="11" ref="F36:N36">+E36</f>
        <v>13399</v>
      </c>
      <c r="G36" s="37">
        <f t="shared" si="11"/>
        <v>13399</v>
      </c>
      <c r="H36" s="37">
        <f t="shared" si="11"/>
        <v>13399</v>
      </c>
      <c r="I36" s="37">
        <f t="shared" si="11"/>
        <v>13399</v>
      </c>
      <c r="J36" s="37">
        <f t="shared" si="11"/>
        <v>13399</v>
      </c>
      <c r="K36" s="37">
        <f t="shared" si="11"/>
        <v>13399</v>
      </c>
      <c r="L36" s="37">
        <f t="shared" si="11"/>
        <v>13399</v>
      </c>
      <c r="M36" s="37">
        <f t="shared" si="11"/>
        <v>13399</v>
      </c>
      <c r="N36" s="37">
        <f t="shared" si="11"/>
        <v>13399</v>
      </c>
      <c r="O36" s="37">
        <f>+N36-4</f>
        <v>13395</v>
      </c>
      <c r="P36" s="151">
        <f>SUM(D36:O36)</f>
        <v>160784</v>
      </c>
    </row>
    <row r="37" spans="3:16" ht="13.5" customHeight="1">
      <c r="C37" s="37" t="s">
        <v>259</v>
      </c>
      <c r="F37" s="37">
        <v>150</v>
      </c>
      <c r="I37" s="37">
        <v>150</v>
      </c>
      <c r="L37" s="37">
        <v>150</v>
      </c>
      <c r="O37" s="37">
        <v>150</v>
      </c>
      <c r="P37" s="151">
        <f aca="true" t="shared" si="12" ref="P37:P42">SUM(D37:O37)</f>
        <v>600</v>
      </c>
    </row>
    <row r="38" spans="3:16" ht="13.5" customHeight="1">
      <c r="C38" s="37" t="s">
        <v>259</v>
      </c>
      <c r="D38" s="37">
        <v>250</v>
      </c>
      <c r="E38" s="37">
        <f>+D38</f>
        <v>250</v>
      </c>
      <c r="F38" s="37">
        <f aca="true" t="shared" si="13" ref="F38:O38">+E38</f>
        <v>250</v>
      </c>
      <c r="G38" s="37">
        <f t="shared" si="13"/>
        <v>250</v>
      </c>
      <c r="H38" s="37">
        <f t="shared" si="13"/>
        <v>250</v>
      </c>
      <c r="I38" s="37">
        <f t="shared" si="13"/>
        <v>250</v>
      </c>
      <c r="J38" s="37">
        <f t="shared" si="13"/>
        <v>250</v>
      </c>
      <c r="K38" s="37">
        <f t="shared" si="13"/>
        <v>250</v>
      </c>
      <c r="L38" s="37">
        <f t="shared" si="13"/>
        <v>250</v>
      </c>
      <c r="M38" s="37">
        <f t="shared" si="13"/>
        <v>250</v>
      </c>
      <c r="N38" s="37">
        <f t="shared" si="13"/>
        <v>250</v>
      </c>
      <c r="O38" s="37">
        <f t="shared" si="13"/>
        <v>250</v>
      </c>
      <c r="P38" s="151">
        <f t="shared" si="12"/>
        <v>3000</v>
      </c>
    </row>
    <row r="39" spans="3:16" ht="13.5" customHeight="1">
      <c r="C39" s="37" t="s">
        <v>260</v>
      </c>
      <c r="F39" s="37">
        <v>3500</v>
      </c>
      <c r="J39" s="37">
        <v>1500</v>
      </c>
      <c r="M39" s="37">
        <v>1500</v>
      </c>
      <c r="O39" s="37">
        <v>1500</v>
      </c>
      <c r="P39" s="151">
        <f t="shared" si="12"/>
        <v>8000</v>
      </c>
    </row>
    <row r="40" spans="3:16" ht="13.5" customHeight="1">
      <c r="C40" s="37" t="s">
        <v>261</v>
      </c>
      <c r="G40" s="37">
        <v>760</v>
      </c>
      <c r="P40" s="151">
        <f t="shared" si="12"/>
        <v>760</v>
      </c>
    </row>
    <row r="41" spans="2:16" ht="13.5" customHeight="1">
      <c r="B41" s="150"/>
      <c r="C41" s="150" t="s">
        <v>262</v>
      </c>
      <c r="D41" s="150"/>
      <c r="E41" s="150"/>
      <c r="F41" s="150"/>
      <c r="G41" s="150"/>
      <c r="H41" s="150">
        <v>14622</v>
      </c>
      <c r="I41" s="150"/>
      <c r="J41" s="150"/>
      <c r="K41" s="150"/>
      <c r="L41" s="150"/>
      <c r="M41" s="150"/>
      <c r="N41" s="150"/>
      <c r="O41" s="150"/>
      <c r="P41" s="151">
        <f t="shared" si="12"/>
        <v>14622</v>
      </c>
    </row>
    <row r="42" spans="2:16" ht="13.5" customHeight="1">
      <c r="B42" s="150"/>
      <c r="C42" s="150" t="s">
        <v>263</v>
      </c>
      <c r="D42" s="150"/>
      <c r="E42" s="150"/>
      <c r="F42" s="150"/>
      <c r="G42" s="150"/>
      <c r="H42" s="150"/>
      <c r="I42" s="150">
        <v>3361</v>
      </c>
      <c r="J42" s="150"/>
      <c r="K42" s="150"/>
      <c r="L42" s="150"/>
      <c r="M42" s="150"/>
      <c r="N42" s="150"/>
      <c r="O42" s="150">
        <v>1144</v>
      </c>
      <c r="P42" s="151">
        <f t="shared" si="12"/>
        <v>4505</v>
      </c>
    </row>
    <row r="43" spans="2:20" ht="13.5" customHeight="1">
      <c r="B43" s="150"/>
      <c r="C43" s="150"/>
      <c r="D43" s="150">
        <f>SUM(D36:D42)</f>
        <v>13649</v>
      </c>
      <c r="E43" s="150">
        <f aca="true" t="shared" si="14" ref="E43:P43">SUM(E36:E42)</f>
        <v>13649</v>
      </c>
      <c r="F43" s="150">
        <f t="shared" si="14"/>
        <v>17299</v>
      </c>
      <c r="G43" s="150">
        <f t="shared" si="14"/>
        <v>14409</v>
      </c>
      <c r="H43" s="150">
        <f t="shared" si="14"/>
        <v>28271</v>
      </c>
      <c r="I43" s="150">
        <f t="shared" si="14"/>
        <v>17160</v>
      </c>
      <c r="J43" s="150">
        <f t="shared" si="14"/>
        <v>15149</v>
      </c>
      <c r="K43" s="150">
        <f t="shared" si="14"/>
        <v>13649</v>
      </c>
      <c r="L43" s="150">
        <f t="shared" si="14"/>
        <v>13799</v>
      </c>
      <c r="M43" s="150">
        <f t="shared" si="14"/>
        <v>15149</v>
      </c>
      <c r="N43" s="150">
        <f t="shared" si="14"/>
        <v>13649</v>
      </c>
      <c r="O43" s="150">
        <f t="shared" si="14"/>
        <v>16439</v>
      </c>
      <c r="P43" s="150">
        <f t="shared" si="14"/>
        <v>192271</v>
      </c>
      <c r="Q43" s="150"/>
      <c r="R43" s="150"/>
      <c r="S43" s="150"/>
      <c r="T43" s="150"/>
    </row>
    <row r="44" spans="2:20" ht="13.5" customHeight="1"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</row>
    <row r="45" spans="2:20" ht="13.5" customHeight="1">
      <c r="B45" s="150"/>
      <c r="C45" s="210" t="s">
        <v>264</v>
      </c>
      <c r="D45" s="210">
        <v>100</v>
      </c>
      <c r="E45" s="210">
        <v>300</v>
      </c>
      <c r="F45" s="210">
        <v>5500</v>
      </c>
      <c r="G45" s="210">
        <v>1200</v>
      </c>
      <c r="H45" s="210">
        <v>200</v>
      </c>
      <c r="I45" s="210">
        <v>364</v>
      </c>
      <c r="J45" s="210">
        <v>300</v>
      </c>
      <c r="K45" s="210">
        <v>250</v>
      </c>
      <c r="L45" s="210">
        <v>5500</v>
      </c>
      <c r="M45" s="210">
        <v>1200</v>
      </c>
      <c r="N45" s="210">
        <v>200</v>
      </c>
      <c r="O45" s="210">
        <v>100</v>
      </c>
      <c r="P45" s="210">
        <f>SUM(D45:O45)</f>
        <v>15214</v>
      </c>
      <c r="Q45" s="210"/>
      <c r="R45" s="150"/>
      <c r="S45" s="150"/>
      <c r="T45" s="150"/>
    </row>
    <row r="46" spans="2:20" ht="12.75" customHeight="1">
      <c r="B46" s="150"/>
      <c r="C46" s="209" t="s">
        <v>38</v>
      </c>
      <c r="D46" s="209"/>
      <c r="E46" s="209"/>
      <c r="F46" s="209"/>
      <c r="G46" s="209"/>
      <c r="H46" s="209">
        <v>4500</v>
      </c>
      <c r="I46" s="209"/>
      <c r="J46" s="209">
        <v>25000</v>
      </c>
      <c r="K46" s="209"/>
      <c r="L46" s="209"/>
      <c r="M46" s="209"/>
      <c r="N46" s="209">
        <v>10745</v>
      </c>
      <c r="O46" s="209" t="e">
        <f>+'1.mell. pfbevétel'!#REF!-4500</f>
        <v>#REF!</v>
      </c>
      <c r="P46" s="209" t="e">
        <f aca="true" t="shared" si="15" ref="P46:P76">SUM(D46:O46)</f>
        <v>#REF!</v>
      </c>
      <c r="Q46" s="209"/>
      <c r="R46" s="150"/>
      <c r="S46" s="150"/>
      <c r="T46" s="150"/>
    </row>
    <row r="47" spans="2:20" ht="13.5" customHeight="1" hidden="1">
      <c r="B47" s="150"/>
      <c r="C47" s="166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>
        <f t="shared" si="15"/>
        <v>0</v>
      </c>
      <c r="Q47" s="150"/>
      <c r="R47" s="150"/>
      <c r="S47" s="150"/>
      <c r="T47" s="150"/>
    </row>
    <row r="48" spans="2:20" ht="13.5" customHeight="1" hidden="1">
      <c r="B48" s="150"/>
      <c r="C48" s="166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>
        <f t="shared" si="15"/>
        <v>0</v>
      </c>
      <c r="Q48" s="150"/>
      <c r="R48" s="150"/>
      <c r="S48" s="150"/>
      <c r="T48" s="150"/>
    </row>
    <row r="49" spans="2:20" ht="13.5" customHeight="1" hidden="1"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>
        <f t="shared" si="15"/>
        <v>0</v>
      </c>
      <c r="Q49" s="150"/>
      <c r="R49" s="150"/>
      <c r="S49" s="150"/>
      <c r="T49" s="150"/>
    </row>
    <row r="50" spans="2:20" ht="13.5" customHeight="1" hidden="1"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>
        <f t="shared" si="15"/>
        <v>0</v>
      </c>
      <c r="Q50" s="150"/>
      <c r="R50" s="150"/>
      <c r="S50" s="150"/>
      <c r="T50" s="150"/>
    </row>
    <row r="51" spans="2:20" ht="13.5" customHeight="1" hidden="1"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>
        <f t="shared" si="15"/>
        <v>0</v>
      </c>
      <c r="Q51" s="150"/>
      <c r="R51" s="150"/>
      <c r="S51" s="150"/>
      <c r="T51" s="150"/>
    </row>
    <row r="52" spans="2:20" ht="13.5" customHeight="1" hidden="1"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>
        <f t="shared" si="15"/>
        <v>0</v>
      </c>
      <c r="Q52" s="150"/>
      <c r="R52" s="150"/>
      <c r="S52" s="150"/>
      <c r="T52" s="150"/>
    </row>
    <row r="53" spans="2:20" ht="13.5" customHeight="1" hidden="1"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>
        <f t="shared" si="15"/>
        <v>0</v>
      </c>
      <c r="Q53" s="150"/>
      <c r="R53" s="150"/>
      <c r="S53" s="150"/>
      <c r="T53" s="150"/>
    </row>
    <row r="54" spans="2:20" ht="13.5" customHeight="1" hidden="1"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>
        <f t="shared" si="15"/>
        <v>0</v>
      </c>
      <c r="Q54" s="150"/>
      <c r="R54" s="150"/>
      <c r="S54" s="150"/>
      <c r="T54" s="150"/>
    </row>
    <row r="55" spans="2:20" ht="13.5" customHeight="1" hidden="1"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>
        <f t="shared" si="15"/>
        <v>0</v>
      </c>
      <c r="Q55" s="150"/>
      <c r="R55" s="150"/>
      <c r="S55" s="150"/>
      <c r="T55" s="150"/>
    </row>
    <row r="56" spans="2:20" ht="13.5" customHeight="1" hidden="1"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>
        <f t="shared" si="15"/>
        <v>0</v>
      </c>
      <c r="Q56" s="150"/>
      <c r="R56" s="150"/>
      <c r="S56" s="150"/>
      <c r="T56" s="150"/>
    </row>
    <row r="57" spans="2:20" ht="13.5" customHeight="1" hidden="1"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>
        <f t="shared" si="15"/>
        <v>0</v>
      </c>
      <c r="Q57" s="150"/>
      <c r="R57" s="150"/>
      <c r="S57" s="150"/>
      <c r="T57" s="150"/>
    </row>
    <row r="58" spans="2:20" ht="13.5" customHeight="1" hidden="1"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>
        <f t="shared" si="15"/>
        <v>0</v>
      </c>
      <c r="Q58" s="150"/>
      <c r="R58" s="150"/>
      <c r="S58" s="150"/>
      <c r="T58" s="150"/>
    </row>
    <row r="59" spans="2:20" ht="13.5" customHeight="1" hidden="1"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>
        <f t="shared" si="15"/>
        <v>0</v>
      </c>
      <c r="Q59" s="150"/>
      <c r="R59" s="150"/>
      <c r="S59" s="150"/>
      <c r="T59" s="150"/>
    </row>
    <row r="60" spans="2:20" ht="13.5" customHeight="1" hidden="1"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>
        <f t="shared" si="15"/>
        <v>0</v>
      </c>
      <c r="Q60" s="150"/>
      <c r="R60" s="150"/>
      <c r="S60" s="150"/>
      <c r="T60" s="150"/>
    </row>
    <row r="61" spans="2:20" ht="13.5" customHeight="1" hidden="1"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>
        <f t="shared" si="15"/>
        <v>0</v>
      </c>
      <c r="Q61" s="150"/>
      <c r="R61" s="150"/>
      <c r="S61" s="150"/>
      <c r="T61" s="150"/>
    </row>
    <row r="62" spans="2:20" ht="13.5" customHeight="1" hidden="1"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>
        <f t="shared" si="15"/>
        <v>0</v>
      </c>
      <c r="Q62" s="150"/>
      <c r="R62" s="150"/>
      <c r="S62" s="150"/>
      <c r="T62" s="150"/>
    </row>
    <row r="63" spans="2:20" ht="13.5" customHeight="1" hidden="1"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>
        <f t="shared" si="15"/>
        <v>0</v>
      </c>
      <c r="Q63" s="150"/>
      <c r="R63" s="150"/>
      <c r="S63" s="150"/>
      <c r="T63" s="150"/>
    </row>
    <row r="64" spans="2:20" ht="13.5" customHeight="1" hidden="1"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>
        <f t="shared" si="15"/>
        <v>0</v>
      </c>
      <c r="Q64" s="150"/>
      <c r="R64" s="150"/>
      <c r="S64" s="150"/>
      <c r="T64" s="150"/>
    </row>
    <row r="65" spans="2:20" ht="13.5" customHeight="1" hidden="1"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>
        <f t="shared" si="15"/>
        <v>0</v>
      </c>
      <c r="Q65" s="150"/>
      <c r="R65" s="150"/>
      <c r="S65" s="150"/>
      <c r="T65" s="150"/>
    </row>
    <row r="66" spans="2:20" ht="13.5" customHeight="1" hidden="1"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>
        <f t="shared" si="15"/>
        <v>0</v>
      </c>
      <c r="Q66" s="150"/>
      <c r="R66" s="150"/>
      <c r="S66" s="150"/>
      <c r="T66" s="150"/>
    </row>
    <row r="67" spans="2:20" ht="13.5" customHeight="1" hidden="1"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>
        <f t="shared" si="15"/>
        <v>0</v>
      </c>
      <c r="Q67" s="150"/>
      <c r="R67" s="150"/>
      <c r="S67" s="150"/>
      <c r="T67" s="150"/>
    </row>
    <row r="68" spans="2:20" ht="13.5" customHeight="1" hidden="1"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>
        <f t="shared" si="15"/>
        <v>0</v>
      </c>
      <c r="Q68" s="150"/>
      <c r="R68" s="150"/>
      <c r="S68" s="150"/>
      <c r="T68" s="150"/>
    </row>
    <row r="69" spans="2:20" ht="13.5" customHeight="1">
      <c r="B69" s="150"/>
      <c r="C69" s="150"/>
      <c r="D69" s="150">
        <f>+'[3]felhbevétel'!F9</f>
        <v>11500</v>
      </c>
      <c r="E69" s="150"/>
      <c r="F69" s="150"/>
      <c r="G69" s="150"/>
      <c r="H69" s="150"/>
      <c r="I69" s="150"/>
      <c r="J69" s="150"/>
      <c r="K69" s="150"/>
      <c r="L69" s="150"/>
      <c r="M69" s="150"/>
      <c r="N69" s="150">
        <f>+'[3]felhbevétel'!F10</f>
        <v>6789</v>
      </c>
      <c r="O69" s="150">
        <f>+'[3]felhbevétel'!F8</f>
        <v>12460</v>
      </c>
      <c r="P69" s="150">
        <v>30749</v>
      </c>
      <c r="Q69" s="150"/>
      <c r="R69" s="150"/>
      <c r="S69" s="150"/>
      <c r="T69" s="150"/>
    </row>
    <row r="70" spans="2:20" ht="13.5" customHeight="1">
      <c r="B70" s="150"/>
      <c r="C70" s="150"/>
      <c r="D70" s="150">
        <f>SUM(D45:D69)</f>
        <v>11600</v>
      </c>
      <c r="E70" s="150">
        <f aca="true" t="shared" si="16" ref="E70:P70">SUM(E45:E69)</f>
        <v>300</v>
      </c>
      <c r="F70" s="150">
        <f t="shared" si="16"/>
        <v>5500</v>
      </c>
      <c r="G70" s="150">
        <f t="shared" si="16"/>
        <v>1200</v>
      </c>
      <c r="H70" s="150">
        <f t="shared" si="16"/>
        <v>4700</v>
      </c>
      <c r="I70" s="150">
        <f t="shared" si="16"/>
        <v>364</v>
      </c>
      <c r="J70" s="150">
        <f t="shared" si="16"/>
        <v>25300</v>
      </c>
      <c r="K70" s="150">
        <f t="shared" si="16"/>
        <v>250</v>
      </c>
      <c r="L70" s="150">
        <f t="shared" si="16"/>
        <v>5500</v>
      </c>
      <c r="M70" s="150">
        <f t="shared" si="16"/>
        <v>1200</v>
      </c>
      <c r="N70" s="150">
        <f t="shared" si="16"/>
        <v>17734</v>
      </c>
      <c r="O70" s="150" t="e">
        <f t="shared" si="16"/>
        <v>#REF!</v>
      </c>
      <c r="P70" s="150" t="e">
        <f t="shared" si="16"/>
        <v>#REF!</v>
      </c>
      <c r="Q70" s="150"/>
      <c r="R70" s="150"/>
      <c r="S70" s="150"/>
      <c r="T70" s="150"/>
    </row>
    <row r="71" spans="2:20" ht="13.5" customHeight="1"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>
        <f t="shared" si="15"/>
        <v>0</v>
      </c>
      <c r="Q71" s="150"/>
      <c r="R71" s="150"/>
      <c r="S71" s="150"/>
      <c r="T71" s="150"/>
    </row>
    <row r="72" spans="2:20" ht="13.5" customHeight="1"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>
        <f t="shared" si="15"/>
        <v>0</v>
      </c>
      <c r="Q72" s="150"/>
      <c r="R72" s="150"/>
      <c r="S72" s="150"/>
      <c r="T72" s="150"/>
    </row>
    <row r="73" spans="2:20" ht="13.5" customHeight="1">
      <c r="B73" s="150"/>
      <c r="C73" s="212" t="s">
        <v>265</v>
      </c>
      <c r="D73" s="207">
        <f>850+500</f>
        <v>1350</v>
      </c>
      <c r="E73" s="207">
        <f>900+500+800</f>
        <v>2200</v>
      </c>
      <c r="F73" s="207">
        <f>39500+12000</f>
        <v>51500</v>
      </c>
      <c r="G73" s="207">
        <f>2500+2100</f>
        <v>4600</v>
      </c>
      <c r="H73" s="207">
        <v>250</v>
      </c>
      <c r="I73" s="207">
        <v>2600</v>
      </c>
      <c r="J73" s="207">
        <v>500</v>
      </c>
      <c r="K73" s="207">
        <f>1539+1000</f>
        <v>2539</v>
      </c>
      <c r="L73" s="207">
        <f>45000+5000</f>
        <v>50000</v>
      </c>
      <c r="M73" s="207">
        <f>3500+2500</f>
        <v>6000</v>
      </c>
      <c r="N73" s="207">
        <v>1200</v>
      </c>
      <c r="O73" s="207">
        <f>1500+761</f>
        <v>2261</v>
      </c>
      <c r="P73" s="207">
        <f t="shared" si="15"/>
        <v>125000</v>
      </c>
      <c r="Q73" s="207"/>
      <c r="R73" s="150"/>
      <c r="S73" s="150"/>
      <c r="T73" s="150"/>
    </row>
    <row r="74" spans="2:20" ht="13.5" customHeight="1">
      <c r="B74" s="150"/>
      <c r="C74" s="213" t="s">
        <v>266</v>
      </c>
      <c r="D74" s="208">
        <v>422</v>
      </c>
      <c r="E74" s="208">
        <f>+D74</f>
        <v>422</v>
      </c>
      <c r="F74" s="208">
        <f aca="true" t="shared" si="17" ref="F74:N74">+E74</f>
        <v>422</v>
      </c>
      <c r="G74" s="208">
        <f t="shared" si="17"/>
        <v>422</v>
      </c>
      <c r="H74" s="208">
        <f t="shared" si="17"/>
        <v>422</v>
      </c>
      <c r="I74" s="208">
        <f t="shared" si="17"/>
        <v>422</v>
      </c>
      <c r="J74" s="208">
        <f t="shared" si="17"/>
        <v>422</v>
      </c>
      <c r="K74" s="208">
        <f t="shared" si="17"/>
        <v>422</v>
      </c>
      <c r="L74" s="208">
        <f t="shared" si="17"/>
        <v>422</v>
      </c>
      <c r="M74" s="208">
        <f t="shared" si="17"/>
        <v>422</v>
      </c>
      <c r="N74" s="208">
        <f t="shared" si="17"/>
        <v>422</v>
      </c>
      <c r="O74" s="208">
        <f>+N74</f>
        <v>422</v>
      </c>
      <c r="P74" s="208">
        <f>SUM(D74:O74)</f>
        <v>5064</v>
      </c>
      <c r="Q74" s="208"/>
      <c r="R74" s="150"/>
      <c r="S74" s="150"/>
      <c r="T74" s="150"/>
    </row>
    <row r="75" spans="2:20" ht="13.5" customHeight="1">
      <c r="B75" s="150"/>
      <c r="C75" s="209"/>
      <c r="D75" s="209">
        <f>SUM(D73:D74)</f>
        <v>1772</v>
      </c>
      <c r="E75" s="209">
        <f aca="true" t="shared" si="18" ref="E75:P75">SUM(E73:E74)</f>
        <v>2622</v>
      </c>
      <c r="F75" s="209">
        <f t="shared" si="18"/>
        <v>51922</v>
      </c>
      <c r="G75" s="209">
        <f t="shared" si="18"/>
        <v>5022</v>
      </c>
      <c r="H75" s="209">
        <f t="shared" si="18"/>
        <v>672</v>
      </c>
      <c r="I75" s="209">
        <f t="shared" si="18"/>
        <v>3022</v>
      </c>
      <c r="J75" s="209">
        <f t="shared" si="18"/>
        <v>922</v>
      </c>
      <c r="K75" s="209">
        <f t="shared" si="18"/>
        <v>2961</v>
      </c>
      <c r="L75" s="209">
        <f t="shared" si="18"/>
        <v>50422</v>
      </c>
      <c r="M75" s="209">
        <f t="shared" si="18"/>
        <v>6422</v>
      </c>
      <c r="N75" s="209">
        <f t="shared" si="18"/>
        <v>1622</v>
      </c>
      <c r="O75" s="209">
        <f t="shared" si="18"/>
        <v>2683</v>
      </c>
      <c r="P75" s="209">
        <f t="shared" si="18"/>
        <v>130064</v>
      </c>
      <c r="Q75" s="150"/>
      <c r="R75" s="150"/>
      <c r="S75" s="150"/>
      <c r="T75" s="150"/>
    </row>
    <row r="76" spans="2:20" ht="13.5" customHeight="1">
      <c r="B76" s="150"/>
      <c r="C76" s="150">
        <f>+C78+C80</f>
        <v>290139.629</v>
      </c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>
        <f t="shared" si="15"/>
        <v>0</v>
      </c>
      <c r="Q76" s="150"/>
      <c r="R76" s="150"/>
      <c r="S76" s="150"/>
      <c r="T76" s="150"/>
    </row>
    <row r="77" spans="2:20" ht="13.5" customHeight="1">
      <c r="B77" s="150"/>
      <c r="C77" s="150">
        <f>+U9</f>
        <v>0</v>
      </c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66"/>
      <c r="Q77" s="166"/>
      <c r="R77" s="166"/>
      <c r="S77" s="166"/>
      <c r="T77" s="166"/>
    </row>
    <row r="78" spans="2:20" ht="13.5" customHeight="1">
      <c r="B78" s="150"/>
      <c r="C78" s="209">
        <f>+'1.mell. pfbevétel'!E17</f>
        <v>265453.629</v>
      </c>
      <c r="D78" s="175">
        <v>0.05</v>
      </c>
      <c r="E78" s="176">
        <v>0.14</v>
      </c>
      <c r="F78" s="175">
        <v>0.07</v>
      </c>
      <c r="G78" s="176">
        <v>0.08</v>
      </c>
      <c r="H78" s="176">
        <v>0.08</v>
      </c>
      <c r="I78" s="176">
        <v>0.08</v>
      </c>
      <c r="J78" s="176">
        <v>0.08</v>
      </c>
      <c r="K78" s="176">
        <v>0.08</v>
      </c>
      <c r="L78" s="176">
        <v>0.08</v>
      </c>
      <c r="M78" s="175">
        <v>0.08</v>
      </c>
      <c r="N78" s="176">
        <v>0.08</v>
      </c>
      <c r="O78" s="176">
        <v>0.1</v>
      </c>
      <c r="P78" s="109">
        <f>SUM(D78:O78)</f>
        <v>0.9999999999999998</v>
      </c>
      <c r="Q78" s="109"/>
      <c r="R78" s="109"/>
      <c r="S78" s="109"/>
      <c r="T78" s="109"/>
    </row>
    <row r="79" spans="2:20" ht="13.5" customHeight="1">
      <c r="B79" s="150"/>
      <c r="C79" s="150">
        <f>+'[3]pfbevétel'!G21+'[3]pfbevétel'!G28-'[3]pfbevétel'!G25-'[3]pfbevétel'!G26</f>
        <v>451155</v>
      </c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66"/>
      <c r="Q79" s="166"/>
      <c r="R79" s="166"/>
      <c r="S79" s="166"/>
      <c r="T79" s="166"/>
    </row>
    <row r="80" spans="2:20" ht="13.5" customHeight="1">
      <c r="B80" s="150"/>
      <c r="C80" s="150">
        <f>+'[3]pfbevétel'!G25+'[3]pfbevétel'!G26</f>
        <v>24686</v>
      </c>
      <c r="D80" s="150">
        <f>+D78*C78</f>
        <v>13272.681450000002</v>
      </c>
      <c r="E80" s="150">
        <f>+E78*C78</f>
        <v>37163.50806000001</v>
      </c>
      <c r="F80" s="150">
        <f>+F78*C78</f>
        <v>18581.754030000004</v>
      </c>
      <c r="G80" s="150">
        <f>+G78*C78</f>
        <v>21236.29032</v>
      </c>
      <c r="H80" s="150">
        <f>+H78*C78</f>
        <v>21236.29032</v>
      </c>
      <c r="I80" s="150">
        <f>+I78*C78</f>
        <v>21236.29032</v>
      </c>
      <c r="J80" s="150">
        <f>+J78*C78</f>
        <v>21236.29032</v>
      </c>
      <c r="K80" s="150">
        <f>+K78*C78</f>
        <v>21236.29032</v>
      </c>
      <c r="L80" s="150">
        <f>+L78*C78</f>
        <v>21236.29032</v>
      </c>
      <c r="M80" s="150">
        <f>+M78*C78</f>
        <v>21236.29032</v>
      </c>
      <c r="N80" s="150">
        <f>+N78*C78</f>
        <v>21236.29032</v>
      </c>
      <c r="O80" s="150">
        <f>+O78*C78</f>
        <v>26545.362900000004</v>
      </c>
      <c r="P80" s="166">
        <f>SUM(D80:O80)</f>
        <v>265453.629</v>
      </c>
      <c r="Q80" s="166"/>
      <c r="R80" s="166"/>
      <c r="S80" s="166"/>
      <c r="T80" s="166"/>
    </row>
    <row r="81" spans="2:20" ht="13.5" customHeight="1"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66">
        <f>SUM(D81:O81)</f>
        <v>0</v>
      </c>
      <c r="Q81" s="166"/>
      <c r="R81" s="166"/>
      <c r="S81" s="166"/>
      <c r="T81" s="166"/>
    </row>
    <row r="82" spans="2:57" s="113" customFormat="1" ht="13.5" customHeight="1">
      <c r="B82" s="177"/>
      <c r="C82" s="209" t="s">
        <v>204</v>
      </c>
      <c r="D82" s="209">
        <v>12594</v>
      </c>
      <c r="E82" s="209">
        <v>35265</v>
      </c>
      <c r="F82" s="209">
        <v>17632</v>
      </c>
      <c r="G82" s="209">
        <v>20151</v>
      </c>
      <c r="H82" s="209">
        <v>20151</v>
      </c>
      <c r="I82" s="209">
        <v>20151</v>
      </c>
      <c r="J82" s="209">
        <v>20151</v>
      </c>
      <c r="K82" s="209">
        <v>20151</v>
      </c>
      <c r="L82" s="209">
        <v>20151</v>
      </c>
      <c r="M82" s="209">
        <v>20151</v>
      </c>
      <c r="N82" s="209">
        <v>20151</v>
      </c>
      <c r="O82" s="209">
        <f>25189+2</f>
        <v>25191</v>
      </c>
      <c r="P82" s="211">
        <f>SUM(D82:O82)</f>
        <v>251890</v>
      </c>
      <c r="Q82" s="178"/>
      <c r="R82" s="178"/>
      <c r="S82" s="178"/>
      <c r="T82" s="178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7"/>
      <c r="AM82" s="177"/>
      <c r="AN82" s="177"/>
      <c r="AO82" s="177"/>
      <c r="AP82" s="177"/>
      <c r="AQ82" s="177"/>
      <c r="AR82" s="177"/>
      <c r="AS82" s="177"/>
      <c r="AT82" s="177"/>
      <c r="AU82" s="177"/>
      <c r="AV82" s="177"/>
      <c r="AW82" s="177"/>
      <c r="AX82" s="177"/>
      <c r="AY82" s="177"/>
      <c r="AZ82" s="177"/>
      <c r="BA82" s="177"/>
      <c r="BB82" s="177"/>
      <c r="BC82" s="177"/>
      <c r="BD82" s="177"/>
      <c r="BE82" s="177"/>
    </row>
    <row r="83" spans="2:57" s="113" customFormat="1" ht="13.5" customHeight="1">
      <c r="B83" s="177"/>
      <c r="C83" s="209" t="s">
        <v>288</v>
      </c>
      <c r="D83" s="209">
        <v>50</v>
      </c>
      <c r="E83" s="209">
        <v>150</v>
      </c>
      <c r="F83" s="209">
        <v>4300</v>
      </c>
      <c r="G83" s="209">
        <v>100</v>
      </c>
      <c r="H83" s="209">
        <v>50</v>
      </c>
      <c r="I83" s="209">
        <v>100</v>
      </c>
      <c r="J83" s="209">
        <v>100</v>
      </c>
      <c r="K83" s="209">
        <v>160</v>
      </c>
      <c r="L83" s="209">
        <f>4300+54</f>
        <v>4354</v>
      </c>
      <c r="M83" s="209">
        <v>250</v>
      </c>
      <c r="N83" s="209">
        <v>150</v>
      </c>
      <c r="O83" s="209">
        <v>200</v>
      </c>
      <c r="P83" s="211">
        <f>SUM(D83:O83)</f>
        <v>9964</v>
      </c>
      <c r="Q83" s="211"/>
      <c r="R83" s="178"/>
      <c r="S83" s="178"/>
      <c r="T83" s="178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  <c r="AF83" s="177"/>
      <c r="AG83" s="177"/>
      <c r="AH83" s="177"/>
      <c r="AI83" s="177"/>
      <c r="AJ83" s="177"/>
      <c r="AK83" s="177"/>
      <c r="AL83" s="177"/>
      <c r="AM83" s="177"/>
      <c r="AN83" s="177"/>
      <c r="AO83" s="177"/>
      <c r="AP83" s="177"/>
      <c r="AQ83" s="177"/>
      <c r="AR83" s="177"/>
      <c r="AS83" s="177"/>
      <c r="AT83" s="177"/>
      <c r="AU83" s="177"/>
      <c r="AV83" s="177"/>
      <c r="AW83" s="177"/>
      <c r="AX83" s="177"/>
      <c r="AY83" s="177"/>
      <c r="AZ83" s="177"/>
      <c r="BA83" s="177"/>
      <c r="BB83" s="177"/>
      <c r="BC83" s="177"/>
      <c r="BD83" s="177"/>
      <c r="BE83" s="177"/>
    </row>
    <row r="84" spans="2:20" ht="13.5" customHeight="1">
      <c r="B84" s="150"/>
      <c r="C84" s="150"/>
      <c r="D84" s="150">
        <f>SUM(D82:D83)</f>
        <v>12644</v>
      </c>
      <c r="E84" s="150">
        <f aca="true" t="shared" si="19" ref="E84:P84">SUM(E82:E83)</f>
        <v>35415</v>
      </c>
      <c r="F84" s="150">
        <f t="shared" si="19"/>
        <v>21932</v>
      </c>
      <c r="G84" s="150">
        <f t="shared" si="19"/>
        <v>20251</v>
      </c>
      <c r="H84" s="150">
        <f t="shared" si="19"/>
        <v>20201</v>
      </c>
      <c r="I84" s="150">
        <f t="shared" si="19"/>
        <v>20251</v>
      </c>
      <c r="J84" s="150">
        <f t="shared" si="19"/>
        <v>20251</v>
      </c>
      <c r="K84" s="150">
        <f t="shared" si="19"/>
        <v>20311</v>
      </c>
      <c r="L84" s="150">
        <f t="shared" si="19"/>
        <v>24505</v>
      </c>
      <c r="M84" s="150">
        <f t="shared" si="19"/>
        <v>20401</v>
      </c>
      <c r="N84" s="150">
        <f t="shared" si="19"/>
        <v>20301</v>
      </c>
      <c r="O84" s="150">
        <f t="shared" si="19"/>
        <v>25391</v>
      </c>
      <c r="P84" s="150">
        <f t="shared" si="19"/>
        <v>261854</v>
      </c>
      <c r="Q84" s="150"/>
      <c r="R84" s="150"/>
      <c r="S84" s="150"/>
      <c r="T84" s="150"/>
    </row>
    <row r="85" spans="2:20" ht="13.5" customHeight="1">
      <c r="B85" s="150"/>
      <c r="C85" s="174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</row>
    <row r="86" spans="2:20" ht="13.5" customHeight="1">
      <c r="B86" s="150"/>
      <c r="C86" s="174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66"/>
      <c r="Q86" s="166"/>
      <c r="R86" s="166"/>
      <c r="S86" s="166"/>
      <c r="T86" s="166"/>
    </row>
    <row r="87" spans="2:20" ht="13.5" customHeight="1">
      <c r="B87" s="150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66"/>
      <c r="Q87" s="166"/>
      <c r="R87" s="166"/>
      <c r="S87" s="166"/>
      <c r="T87" s="166"/>
    </row>
    <row r="88" spans="2:20" ht="13.5" customHeight="1"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66"/>
      <c r="Q88" s="166"/>
      <c r="R88" s="166"/>
      <c r="S88" s="166"/>
      <c r="T88" s="166"/>
    </row>
    <row r="89" spans="2:20" ht="13.5" customHeight="1"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66"/>
      <c r="Q89" s="166"/>
      <c r="R89" s="166"/>
      <c r="S89" s="166"/>
      <c r="T89" s="166"/>
    </row>
    <row r="90" spans="2:20" ht="13.5" customHeight="1"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66"/>
      <c r="Q90" s="166"/>
      <c r="R90" s="166"/>
      <c r="S90" s="166"/>
      <c r="T90" s="166"/>
    </row>
    <row r="91" spans="2:20" ht="13.5" customHeight="1"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66"/>
      <c r="Q91" s="166"/>
      <c r="R91" s="166"/>
      <c r="S91" s="166"/>
      <c r="T91" s="166"/>
    </row>
    <row r="92" spans="2:20" ht="13.5" customHeight="1">
      <c r="B92" s="150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66"/>
      <c r="Q92" s="166"/>
      <c r="R92" s="166"/>
      <c r="S92" s="166"/>
      <c r="T92" s="166"/>
    </row>
    <row r="93" spans="2:20" ht="13.5" customHeight="1"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79"/>
      <c r="Q93" s="179"/>
      <c r="R93" s="179"/>
      <c r="S93" s="179"/>
      <c r="T93" s="179"/>
    </row>
    <row r="94" spans="2:20" ht="13.5" customHeight="1">
      <c r="B94" s="150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79"/>
      <c r="Q94" s="179"/>
      <c r="R94" s="179"/>
      <c r="S94" s="179"/>
      <c r="T94" s="179"/>
    </row>
    <row r="95" spans="2:20" ht="13.5" customHeight="1">
      <c r="B95" s="150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79"/>
      <c r="Q95" s="179"/>
      <c r="R95" s="179"/>
      <c r="S95" s="179"/>
      <c r="T95" s="179"/>
    </row>
    <row r="96" spans="2:20" ht="13.5" customHeight="1">
      <c r="B96" s="150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79"/>
      <c r="Q96" s="179"/>
      <c r="R96" s="179"/>
      <c r="S96" s="179"/>
      <c r="T96" s="179"/>
    </row>
    <row r="97" spans="2:20" ht="13.5" customHeight="1">
      <c r="B97" s="180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</row>
    <row r="98" spans="2:20" ht="13.5" customHeight="1">
      <c r="B98" s="150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66"/>
      <c r="Q98" s="166"/>
      <c r="R98" s="166"/>
      <c r="S98" s="166"/>
      <c r="T98" s="166"/>
    </row>
    <row r="99" spans="2:20" ht="13.5" customHeight="1">
      <c r="B99" s="150"/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</row>
    <row r="100" spans="2:20" ht="13.5" customHeight="1">
      <c r="B100" s="150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66"/>
      <c r="Q100" s="166"/>
      <c r="R100" s="166"/>
      <c r="S100" s="166"/>
      <c r="T100" s="166"/>
    </row>
    <row r="101" spans="2:20" ht="13.5" customHeight="1">
      <c r="B101" s="150"/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66"/>
      <c r="Q101" s="166"/>
      <c r="R101" s="166"/>
      <c r="S101" s="166"/>
      <c r="T101" s="166"/>
    </row>
    <row r="102" spans="2:20" ht="13.5" customHeight="1"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66"/>
      <c r="Q102" s="166"/>
      <c r="R102" s="166"/>
      <c r="S102" s="166"/>
      <c r="T102" s="166"/>
    </row>
    <row r="103" spans="2:20" ht="13.5" customHeight="1">
      <c r="B103" s="150"/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66"/>
      <c r="Q103" s="166"/>
      <c r="R103" s="166"/>
      <c r="S103" s="166"/>
      <c r="T103" s="166"/>
    </row>
    <row r="104" spans="2:20" ht="13.5" customHeight="1">
      <c r="B104" s="150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66"/>
      <c r="Q104" s="166"/>
      <c r="R104" s="166"/>
      <c r="S104" s="166"/>
      <c r="T104" s="166"/>
    </row>
    <row r="105" spans="2:20" ht="13.5" customHeight="1">
      <c r="B105" s="150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66"/>
      <c r="Q105" s="166"/>
      <c r="R105" s="166"/>
      <c r="S105" s="166"/>
      <c r="T105" s="166"/>
    </row>
    <row r="106" spans="2:20" ht="13.5" customHeight="1"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66"/>
      <c r="Q106" s="166"/>
      <c r="R106" s="166"/>
      <c r="S106" s="166"/>
      <c r="T106" s="166"/>
    </row>
    <row r="107" spans="2:20" ht="13.5" customHeight="1"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66"/>
      <c r="Q107" s="166"/>
      <c r="R107" s="166"/>
      <c r="S107" s="166"/>
      <c r="T107" s="166"/>
    </row>
    <row r="108" spans="2:20" ht="13.5" customHeight="1"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66"/>
      <c r="Q108" s="166"/>
      <c r="R108" s="166"/>
      <c r="S108" s="166"/>
      <c r="T108" s="166"/>
    </row>
    <row r="109" spans="2:20" ht="13.5" customHeight="1"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66"/>
      <c r="Q109" s="166"/>
      <c r="R109" s="166"/>
      <c r="S109" s="166"/>
      <c r="T109" s="166"/>
    </row>
    <row r="110" spans="2:20" ht="13.5" customHeight="1"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66"/>
      <c r="Q110" s="166"/>
      <c r="R110" s="166"/>
      <c r="S110" s="166"/>
      <c r="T110" s="166"/>
    </row>
    <row r="111" spans="2:20" ht="13.5" customHeight="1"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66"/>
      <c r="Q111" s="166"/>
      <c r="R111" s="166"/>
      <c r="S111" s="166"/>
      <c r="T111" s="166"/>
    </row>
    <row r="112" spans="2:20" ht="13.5" customHeight="1"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66"/>
      <c r="Q112" s="166"/>
      <c r="R112" s="166"/>
      <c r="S112" s="166"/>
      <c r="T112" s="166"/>
    </row>
    <row r="113" spans="2:20" ht="13.5" customHeight="1"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66"/>
      <c r="Q113" s="166"/>
      <c r="R113" s="166"/>
      <c r="S113" s="166"/>
      <c r="T113" s="166"/>
    </row>
    <row r="114" spans="2:20" ht="13.5" customHeight="1"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66"/>
      <c r="Q114" s="166"/>
      <c r="R114" s="166"/>
      <c r="S114" s="166"/>
      <c r="T114" s="166"/>
    </row>
    <row r="115" spans="2:20" ht="13.5" customHeight="1"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66"/>
      <c r="Q115" s="166"/>
      <c r="R115" s="166"/>
      <c r="S115" s="166"/>
      <c r="T115" s="166"/>
    </row>
    <row r="116" spans="2:20" ht="13.5" customHeight="1"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66"/>
      <c r="Q116" s="166"/>
      <c r="R116" s="166"/>
      <c r="S116" s="166"/>
      <c r="T116" s="166"/>
    </row>
    <row r="117" spans="2:20" ht="13.5" customHeight="1"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66"/>
      <c r="Q117" s="166"/>
      <c r="R117" s="166"/>
      <c r="S117" s="166"/>
      <c r="T117" s="166"/>
    </row>
    <row r="118" spans="2:20" ht="13.5" customHeight="1"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66"/>
      <c r="Q118" s="166"/>
      <c r="R118" s="166"/>
      <c r="S118" s="166"/>
      <c r="T118" s="166"/>
    </row>
    <row r="119" spans="2:20" ht="13.5" customHeight="1"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66"/>
      <c r="Q119" s="166"/>
      <c r="R119" s="166"/>
      <c r="S119" s="166"/>
      <c r="T119" s="166"/>
    </row>
    <row r="120" spans="2:20" ht="13.5" customHeight="1">
      <c r="B120" s="150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66"/>
      <c r="Q120" s="166"/>
      <c r="R120" s="166"/>
      <c r="S120" s="166"/>
      <c r="T120" s="166"/>
    </row>
    <row r="121" spans="2:20" ht="13.5" customHeight="1">
      <c r="B121" s="150"/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66"/>
      <c r="Q121" s="166"/>
      <c r="R121" s="166"/>
      <c r="S121" s="166"/>
      <c r="T121" s="166"/>
    </row>
    <row r="122" spans="2:20" ht="13.5" customHeight="1"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66"/>
      <c r="Q122" s="166"/>
      <c r="R122" s="166"/>
      <c r="S122" s="166"/>
      <c r="T122" s="166"/>
    </row>
    <row r="123" spans="2:20" ht="13.5" customHeight="1"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66"/>
      <c r="Q123" s="166"/>
      <c r="R123" s="166"/>
      <c r="S123" s="166"/>
      <c r="T123" s="166"/>
    </row>
    <row r="124" spans="2:20" ht="13.5" customHeight="1">
      <c r="B124" s="150"/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66"/>
      <c r="Q124" s="166"/>
      <c r="R124" s="166"/>
      <c r="S124" s="166"/>
      <c r="T124" s="166"/>
    </row>
    <row r="125" spans="2:20" ht="13.5" customHeight="1"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66"/>
      <c r="Q125" s="166"/>
      <c r="R125" s="166"/>
      <c r="S125" s="166"/>
      <c r="T125" s="166"/>
    </row>
    <row r="126" spans="2:20" ht="13.5" customHeight="1">
      <c r="B126" s="150"/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66"/>
      <c r="Q126" s="166"/>
      <c r="R126" s="166"/>
      <c r="S126" s="166"/>
      <c r="T126" s="166"/>
    </row>
    <row r="127" spans="2:20" ht="13.5" customHeight="1"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66"/>
      <c r="Q127" s="166"/>
      <c r="R127" s="166"/>
      <c r="S127" s="166"/>
      <c r="T127" s="166"/>
    </row>
    <row r="128" spans="2:20" ht="13.5" customHeight="1"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66"/>
      <c r="Q128" s="166"/>
      <c r="R128" s="166"/>
      <c r="S128" s="166"/>
      <c r="T128" s="166"/>
    </row>
    <row r="129" spans="2:20" ht="13.5" customHeight="1"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66"/>
      <c r="Q129" s="166"/>
      <c r="R129" s="166"/>
      <c r="S129" s="166"/>
      <c r="T129" s="166"/>
    </row>
    <row r="130" spans="2:20" ht="13.5" customHeight="1"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66"/>
      <c r="Q130" s="166"/>
      <c r="R130" s="166"/>
      <c r="S130" s="166"/>
      <c r="T130" s="166"/>
    </row>
    <row r="131" spans="2:20" ht="13.5" customHeight="1">
      <c r="B131" s="150"/>
      <c r="C131" s="150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66"/>
      <c r="Q131" s="166"/>
      <c r="R131" s="166"/>
      <c r="S131" s="166"/>
      <c r="T131" s="166"/>
    </row>
    <row r="132" spans="2:20" ht="13.5" customHeight="1">
      <c r="B132" s="150"/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66"/>
      <c r="Q132" s="166"/>
      <c r="R132" s="166"/>
      <c r="S132" s="166"/>
      <c r="T132" s="166"/>
    </row>
    <row r="133" spans="2:20" ht="13.5" customHeight="1">
      <c r="B133" s="150"/>
      <c r="C133" s="150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66"/>
      <c r="Q133" s="166"/>
      <c r="R133" s="166"/>
      <c r="S133" s="166"/>
      <c r="T133" s="166"/>
    </row>
    <row r="134" spans="2:20" ht="13.5" customHeight="1">
      <c r="B134" s="150"/>
      <c r="C134" s="150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66"/>
      <c r="Q134" s="166"/>
      <c r="R134" s="166"/>
      <c r="S134" s="166"/>
      <c r="T134" s="166"/>
    </row>
    <row r="135" spans="2:20" ht="13.5" customHeight="1"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66"/>
      <c r="Q135" s="166"/>
      <c r="R135" s="166"/>
      <c r="S135" s="166"/>
      <c r="T135" s="166"/>
    </row>
    <row r="136" spans="2:20" ht="13.5" customHeight="1">
      <c r="B136" s="150"/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66"/>
      <c r="Q136" s="166"/>
      <c r="R136" s="166"/>
      <c r="S136" s="166"/>
      <c r="T136" s="166"/>
    </row>
    <row r="137" spans="2:20" ht="13.5" customHeight="1">
      <c r="B137" s="150"/>
      <c r="C137" s="150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66"/>
      <c r="Q137" s="166"/>
      <c r="R137" s="166"/>
      <c r="S137" s="166"/>
      <c r="T137" s="166"/>
    </row>
    <row r="138" spans="2:20" ht="13.5" customHeight="1">
      <c r="B138" s="150"/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66"/>
      <c r="Q138" s="166"/>
      <c r="R138" s="166"/>
      <c r="S138" s="166"/>
      <c r="T138" s="166"/>
    </row>
    <row r="139" spans="2:20" ht="13.5" customHeight="1">
      <c r="B139" s="150"/>
      <c r="C139" s="150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66"/>
      <c r="Q139" s="166"/>
      <c r="R139" s="166"/>
      <c r="S139" s="166"/>
      <c r="T139" s="166"/>
    </row>
    <row r="140" spans="2:20" ht="13.5" customHeight="1"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66"/>
      <c r="Q140" s="166"/>
      <c r="R140" s="166"/>
      <c r="S140" s="166"/>
      <c r="T140" s="166"/>
    </row>
    <row r="141" spans="2:20" ht="13.5" customHeight="1">
      <c r="B141" s="150"/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66"/>
      <c r="Q141" s="166"/>
      <c r="R141" s="166"/>
      <c r="S141" s="166"/>
      <c r="T141" s="166"/>
    </row>
    <row r="142" spans="2:20" ht="13.5" customHeight="1">
      <c r="B142" s="150"/>
      <c r="C142" s="150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66"/>
      <c r="Q142" s="166"/>
      <c r="R142" s="166"/>
      <c r="S142" s="166"/>
      <c r="T142" s="166"/>
    </row>
    <row r="143" spans="2:20" ht="13.5" customHeight="1">
      <c r="B143" s="150"/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66"/>
      <c r="Q143" s="166"/>
      <c r="R143" s="166"/>
      <c r="S143" s="166"/>
      <c r="T143" s="166"/>
    </row>
    <row r="144" spans="2:20" ht="13.5" customHeight="1">
      <c r="B144" s="150"/>
      <c r="C144" s="150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66"/>
      <c r="Q144" s="166"/>
      <c r="R144" s="166"/>
      <c r="S144" s="166"/>
      <c r="T144" s="166"/>
    </row>
    <row r="145" spans="2:20" ht="13.5" customHeight="1">
      <c r="B145" s="150"/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66"/>
      <c r="Q145" s="166"/>
      <c r="R145" s="166"/>
      <c r="S145" s="166"/>
      <c r="T145" s="166"/>
    </row>
    <row r="146" spans="2:20" ht="13.5" customHeight="1">
      <c r="B146" s="150"/>
      <c r="C146" s="150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66"/>
      <c r="Q146" s="166"/>
      <c r="R146" s="166"/>
      <c r="S146" s="166"/>
      <c r="T146" s="166"/>
    </row>
    <row r="147" spans="2:20" ht="13.5" customHeight="1">
      <c r="B147" s="150"/>
      <c r="C147" s="150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66"/>
      <c r="Q147" s="166"/>
      <c r="R147" s="166"/>
      <c r="S147" s="166"/>
      <c r="T147" s="166"/>
    </row>
    <row r="148" spans="2:20" ht="13.5" customHeight="1">
      <c r="B148" s="150"/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66"/>
      <c r="Q148" s="166"/>
      <c r="R148" s="166"/>
      <c r="S148" s="166"/>
      <c r="T148" s="166"/>
    </row>
    <row r="149" spans="2:20" ht="13.5" customHeight="1">
      <c r="B149" s="150"/>
      <c r="C149" s="150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66"/>
      <c r="Q149" s="166"/>
      <c r="R149" s="166"/>
      <c r="S149" s="166"/>
      <c r="T149" s="166"/>
    </row>
    <row r="150" spans="2:20" ht="13.5" customHeight="1">
      <c r="B150" s="150"/>
      <c r="C150" s="150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66"/>
      <c r="Q150" s="166"/>
      <c r="R150" s="166"/>
      <c r="S150" s="166"/>
      <c r="T150" s="166"/>
    </row>
    <row r="151" spans="2:20" ht="13.5" customHeight="1">
      <c r="B151" s="150"/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66"/>
      <c r="Q151" s="166"/>
      <c r="R151" s="166"/>
      <c r="S151" s="166"/>
      <c r="T151" s="166"/>
    </row>
    <row r="152" spans="2:20" ht="13.5" customHeight="1">
      <c r="B152" s="150"/>
      <c r="C152" s="150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66"/>
      <c r="Q152" s="166"/>
      <c r="R152" s="166"/>
      <c r="S152" s="166"/>
      <c r="T152" s="166"/>
    </row>
    <row r="153" spans="2:20" ht="13.5" customHeight="1">
      <c r="B153" s="150"/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66"/>
      <c r="Q153" s="166"/>
      <c r="R153" s="166"/>
      <c r="S153" s="166"/>
      <c r="T153" s="166"/>
    </row>
    <row r="154" spans="2:20" ht="13.5" customHeight="1">
      <c r="B154" s="150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66"/>
      <c r="Q154" s="166"/>
      <c r="R154" s="166"/>
      <c r="S154" s="166"/>
      <c r="T154" s="166"/>
    </row>
    <row r="155" spans="2:20" ht="13.5" customHeight="1">
      <c r="B155" s="150"/>
      <c r="C155" s="150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66"/>
      <c r="Q155" s="166"/>
      <c r="R155" s="166"/>
      <c r="S155" s="166"/>
      <c r="T155" s="166"/>
    </row>
    <row r="156" spans="2:20" ht="13.5" customHeight="1">
      <c r="B156" s="150"/>
      <c r="C156" s="150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66"/>
      <c r="Q156" s="166"/>
      <c r="R156" s="166"/>
      <c r="S156" s="166"/>
      <c r="T156" s="166"/>
    </row>
    <row r="157" spans="2:20" ht="13.5" customHeight="1">
      <c r="B157" s="150"/>
      <c r="C157" s="150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66"/>
      <c r="Q157" s="166"/>
      <c r="R157" s="166"/>
      <c r="S157" s="166"/>
      <c r="T157" s="166"/>
    </row>
    <row r="158" spans="2:20" ht="13.5" customHeight="1">
      <c r="B158" s="150"/>
      <c r="C158" s="150"/>
      <c r="D158" s="150"/>
      <c r="E158" s="150"/>
      <c r="F158" s="150"/>
      <c r="G158" s="150"/>
      <c r="H158" s="150"/>
      <c r="I158" s="150"/>
      <c r="J158" s="150"/>
      <c r="K158" s="150"/>
      <c r="L158" s="150"/>
      <c r="M158" s="150"/>
      <c r="N158" s="150"/>
      <c r="O158" s="150"/>
      <c r="P158" s="166"/>
      <c r="Q158" s="166"/>
      <c r="R158" s="166"/>
      <c r="S158" s="166"/>
      <c r="T158" s="166"/>
    </row>
    <row r="159" spans="2:20" ht="13.5" customHeight="1">
      <c r="B159" s="150"/>
      <c r="C159" s="150"/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66"/>
      <c r="Q159" s="166"/>
      <c r="R159" s="166"/>
      <c r="S159" s="166"/>
      <c r="T159" s="166"/>
    </row>
    <row r="160" spans="2:20" ht="13.5" customHeight="1">
      <c r="B160" s="150"/>
      <c r="C160" s="150"/>
      <c r="D160" s="150"/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66"/>
      <c r="Q160" s="166"/>
      <c r="R160" s="166"/>
      <c r="S160" s="166"/>
      <c r="T160" s="166"/>
    </row>
    <row r="161" spans="2:20" ht="13.5" customHeight="1">
      <c r="B161" s="150"/>
      <c r="C161" s="150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66"/>
      <c r="Q161" s="166"/>
      <c r="R161" s="166"/>
      <c r="S161" s="166"/>
      <c r="T161" s="166"/>
    </row>
    <row r="162" spans="2:20" ht="13.5" customHeight="1">
      <c r="B162" s="150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66"/>
      <c r="Q162" s="166"/>
      <c r="R162" s="166"/>
      <c r="S162" s="166"/>
      <c r="T162" s="166"/>
    </row>
    <row r="163" spans="2:20" ht="13.5" customHeight="1">
      <c r="B163" s="150"/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66"/>
      <c r="Q163" s="166"/>
      <c r="R163" s="166"/>
      <c r="S163" s="166"/>
      <c r="T163" s="166"/>
    </row>
    <row r="164" spans="2:20" ht="13.5" customHeight="1">
      <c r="B164" s="150"/>
      <c r="C164" s="150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66"/>
      <c r="Q164" s="166"/>
      <c r="R164" s="166"/>
      <c r="S164" s="166"/>
      <c r="T164" s="166"/>
    </row>
    <row r="165" spans="2:20" ht="13.5" customHeight="1">
      <c r="B165" s="150"/>
      <c r="C165" s="150"/>
      <c r="D165" s="150"/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66"/>
      <c r="Q165" s="166"/>
      <c r="R165" s="166"/>
      <c r="S165" s="166"/>
      <c r="T165" s="166"/>
    </row>
    <row r="166" spans="2:20" ht="13.5" customHeight="1">
      <c r="B166" s="150"/>
      <c r="C166" s="150"/>
      <c r="D166" s="150"/>
      <c r="E166" s="150"/>
      <c r="F166" s="150"/>
      <c r="G166" s="150"/>
      <c r="H166" s="150"/>
      <c r="I166" s="150"/>
      <c r="J166" s="150"/>
      <c r="K166" s="150"/>
      <c r="L166" s="150"/>
      <c r="M166" s="150"/>
      <c r="N166" s="150"/>
      <c r="O166" s="150"/>
      <c r="P166" s="166"/>
      <c r="Q166" s="166"/>
      <c r="R166" s="166"/>
      <c r="S166" s="166"/>
      <c r="T166" s="166"/>
    </row>
    <row r="167" spans="2:20" ht="13.5" customHeight="1">
      <c r="B167" s="150"/>
      <c r="C167" s="150"/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66"/>
      <c r="Q167" s="166"/>
      <c r="R167" s="166"/>
      <c r="S167" s="166"/>
      <c r="T167" s="166"/>
    </row>
    <row r="168" spans="2:20" ht="13.5" customHeight="1">
      <c r="B168" s="150"/>
      <c r="C168" s="150"/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66"/>
      <c r="Q168" s="166"/>
      <c r="R168" s="166"/>
      <c r="S168" s="166"/>
      <c r="T168" s="166"/>
    </row>
    <row r="169" spans="2:20" ht="13.5" customHeight="1">
      <c r="B169" s="150"/>
      <c r="C169" s="150"/>
      <c r="D169" s="150"/>
      <c r="E169" s="150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66"/>
      <c r="Q169" s="166"/>
      <c r="R169" s="166"/>
      <c r="S169" s="166"/>
      <c r="T169" s="166"/>
    </row>
    <row r="170" spans="2:20" ht="13.5" customHeight="1">
      <c r="B170" s="150"/>
      <c r="C170" s="150"/>
      <c r="D170" s="150"/>
      <c r="E170" s="150"/>
      <c r="F170" s="150"/>
      <c r="G170" s="150"/>
      <c r="H170" s="150"/>
      <c r="I170" s="150"/>
      <c r="J170" s="150"/>
      <c r="K170" s="150"/>
      <c r="L170" s="150"/>
      <c r="M170" s="150"/>
      <c r="N170" s="150"/>
      <c r="O170" s="150"/>
      <c r="P170" s="166"/>
      <c r="Q170" s="166"/>
      <c r="R170" s="166"/>
      <c r="S170" s="166"/>
      <c r="T170" s="166"/>
    </row>
    <row r="171" spans="2:20" ht="13.5" customHeight="1">
      <c r="B171" s="150"/>
      <c r="C171" s="150"/>
      <c r="D171" s="150"/>
      <c r="E171" s="150"/>
      <c r="F171" s="150"/>
      <c r="G171" s="150"/>
      <c r="H171" s="150"/>
      <c r="I171" s="150"/>
      <c r="J171" s="150"/>
      <c r="K171" s="150"/>
      <c r="L171" s="150"/>
      <c r="M171" s="150"/>
      <c r="N171" s="150"/>
      <c r="O171" s="150"/>
      <c r="P171" s="166"/>
      <c r="Q171" s="166"/>
      <c r="R171" s="166"/>
      <c r="S171" s="166"/>
      <c r="T171" s="166"/>
    </row>
    <row r="172" spans="2:20" ht="13.5" customHeight="1">
      <c r="B172" s="150"/>
      <c r="C172" s="150"/>
      <c r="D172" s="150"/>
      <c r="E172" s="150"/>
      <c r="F172" s="150"/>
      <c r="G172" s="150"/>
      <c r="H172" s="150"/>
      <c r="I172" s="150"/>
      <c r="J172" s="150"/>
      <c r="K172" s="150"/>
      <c r="L172" s="150"/>
      <c r="M172" s="150"/>
      <c r="N172" s="150"/>
      <c r="O172" s="150"/>
      <c r="P172" s="166"/>
      <c r="Q172" s="166"/>
      <c r="R172" s="166"/>
      <c r="S172" s="166"/>
      <c r="T172" s="166"/>
    </row>
    <row r="173" spans="2:20" ht="13.5" customHeight="1">
      <c r="B173" s="150"/>
      <c r="C173" s="150"/>
      <c r="D173" s="150"/>
      <c r="E173" s="150"/>
      <c r="F173" s="150"/>
      <c r="G173" s="150"/>
      <c r="H173" s="150"/>
      <c r="I173" s="150"/>
      <c r="J173" s="150"/>
      <c r="K173" s="150"/>
      <c r="L173" s="150"/>
      <c r="M173" s="150"/>
      <c r="N173" s="150"/>
      <c r="O173" s="150"/>
      <c r="P173" s="166"/>
      <c r="Q173" s="166"/>
      <c r="R173" s="166"/>
      <c r="S173" s="166"/>
      <c r="T173" s="166"/>
    </row>
    <row r="174" spans="2:20" ht="13.5" customHeight="1">
      <c r="B174" s="150"/>
      <c r="C174" s="150"/>
      <c r="D174" s="150"/>
      <c r="E174" s="150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66"/>
      <c r="Q174" s="166"/>
      <c r="R174" s="166"/>
      <c r="S174" s="166"/>
      <c r="T174" s="166"/>
    </row>
    <row r="175" spans="2:20" ht="13.5" customHeight="1">
      <c r="B175" s="150"/>
      <c r="C175" s="150"/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66"/>
      <c r="Q175" s="166"/>
      <c r="R175" s="166"/>
      <c r="S175" s="166"/>
      <c r="T175" s="166"/>
    </row>
    <row r="176" spans="2:20" ht="13.5" customHeight="1">
      <c r="B176" s="150"/>
      <c r="C176" s="150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166"/>
      <c r="Q176" s="166"/>
      <c r="R176" s="166"/>
      <c r="S176" s="166"/>
      <c r="T176" s="166"/>
    </row>
    <row r="177" spans="2:20" ht="13.5" customHeight="1">
      <c r="B177" s="150"/>
      <c r="C177" s="150"/>
      <c r="D177" s="150"/>
      <c r="E177" s="150"/>
      <c r="F177" s="150"/>
      <c r="G177" s="150"/>
      <c r="H177" s="150"/>
      <c r="I177" s="150"/>
      <c r="J177" s="150"/>
      <c r="K177" s="150"/>
      <c r="L177" s="150"/>
      <c r="M177" s="150"/>
      <c r="N177" s="150"/>
      <c r="O177" s="150"/>
      <c r="P177" s="166"/>
      <c r="Q177" s="166"/>
      <c r="R177" s="166"/>
      <c r="S177" s="166"/>
      <c r="T177" s="166"/>
    </row>
    <row r="178" spans="2:20" ht="13.5" customHeight="1">
      <c r="B178" s="150"/>
      <c r="C178" s="150"/>
      <c r="D178" s="150"/>
      <c r="E178" s="150"/>
      <c r="F178" s="150"/>
      <c r="G178" s="150"/>
      <c r="H178" s="150"/>
      <c r="I178" s="150"/>
      <c r="J178" s="150"/>
      <c r="K178" s="150"/>
      <c r="L178" s="150"/>
      <c r="M178" s="150"/>
      <c r="N178" s="150"/>
      <c r="O178" s="150"/>
      <c r="P178" s="166"/>
      <c r="Q178" s="166"/>
      <c r="R178" s="166"/>
      <c r="S178" s="166"/>
      <c r="T178" s="166"/>
    </row>
    <row r="179" spans="2:20" ht="13.5" customHeight="1">
      <c r="B179" s="150"/>
      <c r="C179" s="150"/>
      <c r="D179" s="150"/>
      <c r="E179" s="150"/>
      <c r="F179" s="150"/>
      <c r="G179" s="150"/>
      <c r="H179" s="150"/>
      <c r="I179" s="150"/>
      <c r="J179" s="150"/>
      <c r="K179" s="150"/>
      <c r="L179" s="150"/>
      <c r="M179" s="150"/>
      <c r="N179" s="150"/>
      <c r="O179" s="150"/>
      <c r="P179" s="166"/>
      <c r="Q179" s="166"/>
      <c r="R179" s="166"/>
      <c r="S179" s="166"/>
      <c r="T179" s="166"/>
    </row>
    <row r="180" spans="2:20" ht="13.5" customHeight="1">
      <c r="B180" s="150"/>
      <c r="C180" s="150"/>
      <c r="D180" s="150"/>
      <c r="E180" s="150"/>
      <c r="F180" s="150"/>
      <c r="G180" s="150"/>
      <c r="H180" s="150"/>
      <c r="I180" s="150"/>
      <c r="J180" s="150"/>
      <c r="K180" s="150"/>
      <c r="L180" s="150"/>
      <c r="M180" s="150"/>
      <c r="N180" s="150"/>
      <c r="O180" s="150"/>
      <c r="P180" s="166"/>
      <c r="Q180" s="166"/>
      <c r="R180" s="166"/>
      <c r="S180" s="166"/>
      <c r="T180" s="166"/>
    </row>
    <row r="181" spans="2:20" ht="13.5" customHeight="1">
      <c r="B181" s="150"/>
      <c r="C181" s="150"/>
      <c r="D181" s="150"/>
      <c r="E181" s="150"/>
      <c r="F181" s="150"/>
      <c r="G181" s="150"/>
      <c r="H181" s="150"/>
      <c r="I181" s="150"/>
      <c r="J181" s="150"/>
      <c r="K181" s="150"/>
      <c r="L181" s="150"/>
      <c r="M181" s="150"/>
      <c r="N181" s="150"/>
      <c r="O181" s="150"/>
      <c r="P181" s="166"/>
      <c r="Q181" s="166"/>
      <c r="R181" s="166"/>
      <c r="S181" s="166"/>
      <c r="T181" s="166"/>
    </row>
    <row r="182" spans="2:20" ht="13.5" customHeight="1">
      <c r="B182" s="150"/>
      <c r="C182" s="150"/>
      <c r="D182" s="150"/>
      <c r="E182" s="150"/>
      <c r="F182" s="150"/>
      <c r="G182" s="150"/>
      <c r="H182" s="150"/>
      <c r="I182" s="150"/>
      <c r="J182" s="150"/>
      <c r="K182" s="150"/>
      <c r="L182" s="150"/>
      <c r="M182" s="150"/>
      <c r="N182" s="150"/>
      <c r="O182" s="150"/>
      <c r="P182" s="166"/>
      <c r="Q182" s="166"/>
      <c r="R182" s="166"/>
      <c r="S182" s="166"/>
      <c r="T182" s="166"/>
    </row>
    <row r="183" spans="2:20" ht="13.5" customHeight="1">
      <c r="B183" s="150"/>
      <c r="C183" s="150"/>
      <c r="D183" s="150"/>
      <c r="E183" s="150"/>
      <c r="F183" s="150"/>
      <c r="G183" s="150"/>
      <c r="H183" s="150"/>
      <c r="I183" s="150"/>
      <c r="J183" s="150"/>
      <c r="K183" s="150"/>
      <c r="L183" s="150"/>
      <c r="M183" s="150"/>
      <c r="N183" s="150"/>
      <c r="O183" s="150"/>
      <c r="P183" s="166"/>
      <c r="Q183" s="166"/>
      <c r="R183" s="166"/>
      <c r="S183" s="166"/>
      <c r="T183" s="166"/>
    </row>
    <row r="184" spans="2:20" ht="13.5" customHeight="1">
      <c r="B184" s="150"/>
      <c r="C184" s="150"/>
      <c r="D184" s="150"/>
      <c r="E184" s="150"/>
      <c r="F184" s="150"/>
      <c r="G184" s="150"/>
      <c r="H184" s="150"/>
      <c r="I184" s="150"/>
      <c r="J184" s="150"/>
      <c r="K184" s="150"/>
      <c r="L184" s="150"/>
      <c r="M184" s="150"/>
      <c r="N184" s="150"/>
      <c r="O184" s="150"/>
      <c r="P184" s="166"/>
      <c r="Q184" s="166"/>
      <c r="R184" s="166"/>
      <c r="S184" s="166"/>
      <c r="T184" s="166"/>
    </row>
    <row r="185" spans="2:20" ht="13.5" customHeight="1">
      <c r="B185" s="150"/>
      <c r="C185" s="150"/>
      <c r="D185" s="150"/>
      <c r="E185" s="150"/>
      <c r="F185" s="150"/>
      <c r="G185" s="150"/>
      <c r="H185" s="150"/>
      <c r="I185" s="150"/>
      <c r="J185" s="150"/>
      <c r="K185" s="150"/>
      <c r="L185" s="150"/>
      <c r="M185" s="150"/>
      <c r="N185" s="150"/>
      <c r="O185" s="150"/>
      <c r="P185" s="166"/>
      <c r="Q185" s="166"/>
      <c r="R185" s="166"/>
      <c r="S185" s="166"/>
      <c r="T185" s="166"/>
    </row>
    <row r="186" spans="2:20" ht="13.5" customHeight="1">
      <c r="B186" s="150"/>
      <c r="C186" s="150"/>
      <c r="D186" s="150"/>
      <c r="E186" s="150"/>
      <c r="F186" s="150"/>
      <c r="G186" s="150"/>
      <c r="H186" s="150"/>
      <c r="I186" s="150"/>
      <c r="J186" s="150"/>
      <c r="K186" s="150"/>
      <c r="L186" s="150"/>
      <c r="M186" s="150"/>
      <c r="N186" s="150"/>
      <c r="O186" s="150"/>
      <c r="P186" s="166"/>
      <c r="Q186" s="166"/>
      <c r="R186" s="166"/>
      <c r="S186" s="166"/>
      <c r="T186" s="166"/>
    </row>
    <row r="187" spans="2:20" ht="13.5" customHeight="1">
      <c r="B187" s="150"/>
      <c r="C187" s="150"/>
      <c r="D187" s="150"/>
      <c r="E187" s="150"/>
      <c r="F187" s="150"/>
      <c r="G187" s="150"/>
      <c r="H187" s="150"/>
      <c r="I187" s="150"/>
      <c r="J187" s="150"/>
      <c r="K187" s="150"/>
      <c r="L187" s="150"/>
      <c r="M187" s="150"/>
      <c r="N187" s="150"/>
      <c r="O187" s="150"/>
      <c r="P187" s="166"/>
      <c r="Q187" s="166"/>
      <c r="R187" s="166"/>
      <c r="S187" s="166"/>
      <c r="T187" s="166"/>
    </row>
    <row r="188" spans="2:20" ht="13.5" customHeight="1">
      <c r="B188" s="150"/>
      <c r="C188" s="150"/>
      <c r="D188" s="150"/>
      <c r="E188" s="150"/>
      <c r="F188" s="150"/>
      <c r="G188" s="150"/>
      <c r="H188" s="150"/>
      <c r="I188" s="150"/>
      <c r="J188" s="150"/>
      <c r="K188" s="150"/>
      <c r="L188" s="150"/>
      <c r="M188" s="150"/>
      <c r="N188" s="150"/>
      <c r="O188" s="150"/>
      <c r="P188" s="166"/>
      <c r="Q188" s="166"/>
      <c r="R188" s="166"/>
      <c r="S188" s="166"/>
      <c r="T188" s="166"/>
    </row>
    <row r="189" spans="2:20" ht="13.5" customHeight="1">
      <c r="B189" s="150"/>
      <c r="C189" s="150"/>
      <c r="D189" s="150"/>
      <c r="E189" s="150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66"/>
      <c r="Q189" s="166"/>
      <c r="R189" s="166"/>
      <c r="S189" s="166"/>
      <c r="T189" s="166"/>
    </row>
    <row r="190" spans="2:20" ht="13.5" customHeight="1">
      <c r="B190" s="150"/>
      <c r="C190" s="150"/>
      <c r="D190" s="150"/>
      <c r="E190" s="150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66"/>
      <c r="Q190" s="166"/>
      <c r="R190" s="166"/>
      <c r="S190" s="166"/>
      <c r="T190" s="166"/>
    </row>
    <row r="191" spans="2:20" ht="13.5" customHeight="1">
      <c r="B191" s="150"/>
      <c r="C191" s="150"/>
      <c r="D191" s="150"/>
      <c r="E191" s="150"/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P191" s="166"/>
      <c r="Q191" s="166"/>
      <c r="R191" s="166"/>
      <c r="S191" s="166"/>
      <c r="T191" s="166"/>
    </row>
    <row r="192" spans="2:20" ht="13.5" customHeight="1">
      <c r="B192" s="150"/>
      <c r="C192" s="150"/>
      <c r="D192" s="150"/>
      <c r="E192" s="150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66"/>
      <c r="Q192" s="166"/>
      <c r="R192" s="166"/>
      <c r="S192" s="166"/>
      <c r="T192" s="166"/>
    </row>
    <row r="193" spans="2:20" ht="13.5" customHeight="1">
      <c r="B193" s="150"/>
      <c r="C193" s="150"/>
      <c r="D193" s="150"/>
      <c r="E193" s="150"/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  <c r="P193" s="166"/>
      <c r="Q193" s="166"/>
      <c r="R193" s="166"/>
      <c r="S193" s="166"/>
      <c r="T193" s="166"/>
    </row>
    <row r="194" spans="2:20" ht="13.5" customHeight="1">
      <c r="B194" s="150"/>
      <c r="C194" s="150"/>
      <c r="D194" s="150"/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66"/>
      <c r="Q194" s="166"/>
      <c r="R194" s="166"/>
      <c r="S194" s="166"/>
      <c r="T194" s="166"/>
    </row>
    <row r="195" spans="2:20" ht="13.5" customHeight="1">
      <c r="B195" s="150"/>
      <c r="C195" s="150"/>
      <c r="D195" s="150"/>
      <c r="E195" s="150"/>
      <c r="F195" s="150"/>
      <c r="G195" s="150"/>
      <c r="H195" s="150"/>
      <c r="I195" s="150"/>
      <c r="J195" s="150"/>
      <c r="K195" s="150"/>
      <c r="L195" s="150"/>
      <c r="M195" s="150"/>
      <c r="N195" s="150"/>
      <c r="O195" s="150"/>
      <c r="P195" s="166"/>
      <c r="Q195" s="166"/>
      <c r="R195" s="166"/>
      <c r="S195" s="166"/>
      <c r="T195" s="166"/>
    </row>
    <row r="196" spans="2:20" ht="13.5" customHeight="1">
      <c r="B196" s="150"/>
      <c r="C196" s="150"/>
      <c r="D196" s="150"/>
      <c r="E196" s="150"/>
      <c r="F196" s="150"/>
      <c r="G196" s="150"/>
      <c r="H196" s="150"/>
      <c r="I196" s="150"/>
      <c r="J196" s="150"/>
      <c r="K196" s="150"/>
      <c r="L196" s="150"/>
      <c r="M196" s="150"/>
      <c r="N196" s="150"/>
      <c r="O196" s="150"/>
      <c r="P196" s="166"/>
      <c r="Q196" s="166"/>
      <c r="R196" s="166"/>
      <c r="S196" s="166"/>
      <c r="T196" s="166"/>
    </row>
    <row r="197" spans="2:20" ht="13.5" customHeight="1">
      <c r="B197" s="150"/>
      <c r="C197" s="150"/>
      <c r="D197" s="150"/>
      <c r="E197" s="150"/>
      <c r="F197" s="150"/>
      <c r="G197" s="150"/>
      <c r="H197" s="150"/>
      <c r="I197" s="150"/>
      <c r="J197" s="150"/>
      <c r="K197" s="150"/>
      <c r="L197" s="150"/>
      <c r="M197" s="150"/>
      <c r="N197" s="150"/>
      <c r="O197" s="150"/>
      <c r="P197" s="166"/>
      <c r="Q197" s="166"/>
      <c r="R197" s="166"/>
      <c r="S197" s="166"/>
      <c r="T197" s="166"/>
    </row>
    <row r="198" spans="2:20" ht="13.5" customHeight="1">
      <c r="B198" s="150"/>
      <c r="C198" s="150"/>
      <c r="D198" s="150"/>
      <c r="E198" s="150"/>
      <c r="F198" s="150"/>
      <c r="G198" s="150"/>
      <c r="H198" s="150"/>
      <c r="I198" s="150"/>
      <c r="J198" s="150"/>
      <c r="K198" s="150"/>
      <c r="L198" s="150"/>
      <c r="M198" s="150"/>
      <c r="N198" s="150"/>
      <c r="O198" s="150"/>
      <c r="P198" s="166"/>
      <c r="Q198" s="166"/>
      <c r="R198" s="166"/>
      <c r="S198" s="166"/>
      <c r="T198" s="166"/>
    </row>
    <row r="199" spans="2:20" ht="13.5" customHeight="1">
      <c r="B199" s="150"/>
      <c r="C199" s="150"/>
      <c r="D199" s="150"/>
      <c r="E199" s="150"/>
      <c r="F199" s="150"/>
      <c r="G199" s="150"/>
      <c r="H199" s="150"/>
      <c r="I199" s="150"/>
      <c r="J199" s="150"/>
      <c r="K199" s="150"/>
      <c r="L199" s="150"/>
      <c r="M199" s="150"/>
      <c r="N199" s="150"/>
      <c r="O199" s="150"/>
      <c r="P199" s="166"/>
      <c r="Q199" s="166"/>
      <c r="R199" s="166"/>
      <c r="S199" s="166"/>
      <c r="T199" s="166"/>
    </row>
    <row r="200" spans="2:20" ht="13.5" customHeight="1">
      <c r="B200" s="150"/>
      <c r="C200" s="150"/>
      <c r="D200" s="150"/>
      <c r="E200" s="150"/>
      <c r="F200" s="150"/>
      <c r="G200" s="150"/>
      <c r="H200" s="150"/>
      <c r="I200" s="150"/>
      <c r="J200" s="150"/>
      <c r="K200" s="150"/>
      <c r="L200" s="150"/>
      <c r="M200" s="150"/>
      <c r="N200" s="150"/>
      <c r="O200" s="150"/>
      <c r="P200" s="166"/>
      <c r="Q200" s="166"/>
      <c r="R200" s="166"/>
      <c r="S200" s="166"/>
      <c r="T200" s="166"/>
    </row>
    <row r="201" spans="2:20" ht="13.5" customHeight="1">
      <c r="B201" s="150"/>
      <c r="C201" s="150"/>
      <c r="D201" s="150"/>
      <c r="E201" s="150"/>
      <c r="F201" s="150"/>
      <c r="G201" s="150"/>
      <c r="H201" s="150"/>
      <c r="I201" s="150"/>
      <c r="J201" s="150"/>
      <c r="K201" s="150"/>
      <c r="L201" s="150"/>
      <c r="M201" s="150"/>
      <c r="N201" s="150"/>
      <c r="O201" s="150"/>
      <c r="P201" s="166"/>
      <c r="Q201" s="166"/>
      <c r="R201" s="166"/>
      <c r="S201" s="166"/>
      <c r="T201" s="166"/>
    </row>
    <row r="202" spans="2:20" ht="13.5" customHeight="1">
      <c r="B202" s="150"/>
      <c r="C202" s="150"/>
      <c r="D202" s="150"/>
      <c r="E202" s="150"/>
      <c r="F202" s="150"/>
      <c r="G202" s="150"/>
      <c r="H202" s="150"/>
      <c r="I202" s="150"/>
      <c r="J202" s="150"/>
      <c r="K202" s="150"/>
      <c r="L202" s="150"/>
      <c r="M202" s="150"/>
      <c r="N202" s="150"/>
      <c r="O202" s="150"/>
      <c r="P202" s="166"/>
      <c r="Q202" s="166"/>
      <c r="R202" s="166"/>
      <c r="S202" s="166"/>
      <c r="T202" s="166"/>
    </row>
    <row r="203" spans="2:20" ht="13.5" customHeight="1">
      <c r="B203" s="150"/>
      <c r="C203" s="150"/>
      <c r="D203" s="150"/>
      <c r="E203" s="150"/>
      <c r="F203" s="150"/>
      <c r="G203" s="150"/>
      <c r="H203" s="150"/>
      <c r="I203" s="150"/>
      <c r="J203" s="150"/>
      <c r="K203" s="150"/>
      <c r="L203" s="150"/>
      <c r="M203" s="150"/>
      <c r="N203" s="150"/>
      <c r="O203" s="150"/>
      <c r="P203" s="166"/>
      <c r="Q203" s="166"/>
      <c r="R203" s="166"/>
      <c r="S203" s="166"/>
      <c r="T203" s="166"/>
    </row>
    <row r="204" spans="2:20" ht="13.5" customHeight="1">
      <c r="B204" s="150"/>
      <c r="C204" s="150"/>
      <c r="D204" s="150"/>
      <c r="E204" s="150"/>
      <c r="F204" s="150"/>
      <c r="G204" s="150"/>
      <c r="H204" s="150"/>
      <c r="I204" s="150"/>
      <c r="J204" s="150"/>
      <c r="K204" s="150"/>
      <c r="L204" s="150"/>
      <c r="M204" s="150"/>
      <c r="N204" s="150"/>
      <c r="O204" s="150"/>
      <c r="P204" s="166"/>
      <c r="Q204" s="166"/>
      <c r="R204" s="166"/>
      <c r="S204" s="166"/>
      <c r="T204" s="166"/>
    </row>
    <row r="205" spans="2:20" ht="13.5" customHeight="1">
      <c r="B205" s="150"/>
      <c r="C205" s="150"/>
      <c r="D205" s="150"/>
      <c r="E205" s="150"/>
      <c r="F205" s="150"/>
      <c r="G205" s="150"/>
      <c r="H205" s="150"/>
      <c r="I205" s="150"/>
      <c r="J205" s="150"/>
      <c r="K205" s="150"/>
      <c r="L205" s="150"/>
      <c r="M205" s="150"/>
      <c r="N205" s="150"/>
      <c r="O205" s="150"/>
      <c r="P205" s="166"/>
      <c r="Q205" s="166"/>
      <c r="R205" s="166"/>
      <c r="S205" s="166"/>
      <c r="T205" s="166"/>
    </row>
    <row r="206" spans="2:20" ht="13.5" customHeight="1">
      <c r="B206" s="150"/>
      <c r="C206" s="150"/>
      <c r="D206" s="150"/>
      <c r="E206" s="150"/>
      <c r="F206" s="150"/>
      <c r="G206" s="150"/>
      <c r="H206" s="150"/>
      <c r="I206" s="150"/>
      <c r="J206" s="150"/>
      <c r="K206" s="150"/>
      <c r="L206" s="150"/>
      <c r="M206" s="150"/>
      <c r="N206" s="150"/>
      <c r="O206" s="150"/>
      <c r="P206" s="166"/>
      <c r="Q206" s="166"/>
      <c r="R206" s="166"/>
      <c r="S206" s="166"/>
      <c r="T206" s="166"/>
    </row>
    <row r="207" spans="2:20" ht="13.5" customHeight="1">
      <c r="B207" s="150"/>
      <c r="C207" s="150"/>
      <c r="D207" s="150"/>
      <c r="E207" s="150"/>
      <c r="F207" s="150"/>
      <c r="G207" s="150"/>
      <c r="H207" s="150"/>
      <c r="I207" s="150"/>
      <c r="J207" s="150"/>
      <c r="K207" s="150"/>
      <c r="L207" s="150"/>
      <c r="M207" s="150"/>
      <c r="N207" s="150"/>
      <c r="O207" s="150"/>
      <c r="P207" s="166"/>
      <c r="Q207" s="166"/>
      <c r="R207" s="166"/>
      <c r="S207" s="166"/>
      <c r="T207" s="166"/>
    </row>
    <row r="208" spans="2:20" ht="13.5" customHeight="1">
      <c r="B208" s="150"/>
      <c r="C208" s="150"/>
      <c r="D208" s="150"/>
      <c r="E208" s="150"/>
      <c r="F208" s="150"/>
      <c r="G208" s="150"/>
      <c r="H208" s="150"/>
      <c r="I208" s="150"/>
      <c r="J208" s="150"/>
      <c r="K208" s="150"/>
      <c r="L208" s="150"/>
      <c r="M208" s="150"/>
      <c r="N208" s="150"/>
      <c r="O208" s="150"/>
      <c r="P208" s="166"/>
      <c r="Q208" s="166"/>
      <c r="R208" s="166"/>
      <c r="S208" s="166"/>
      <c r="T208" s="166"/>
    </row>
    <row r="209" spans="2:20" ht="13.5" customHeight="1">
      <c r="B209" s="150"/>
      <c r="C209" s="150"/>
      <c r="D209" s="150"/>
      <c r="E209" s="150"/>
      <c r="F209" s="150"/>
      <c r="G209" s="150"/>
      <c r="H209" s="150"/>
      <c r="I209" s="150"/>
      <c r="J209" s="150"/>
      <c r="K209" s="150"/>
      <c r="L209" s="150"/>
      <c r="M209" s="150"/>
      <c r="N209" s="150"/>
      <c r="O209" s="150"/>
      <c r="P209" s="166"/>
      <c r="Q209" s="166"/>
      <c r="R209" s="166"/>
      <c r="S209" s="166"/>
      <c r="T209" s="166"/>
    </row>
    <row r="210" spans="2:20" ht="13.5" customHeight="1">
      <c r="B210" s="150"/>
      <c r="C210" s="150"/>
      <c r="D210" s="150"/>
      <c r="E210" s="150"/>
      <c r="F210" s="150"/>
      <c r="G210" s="150"/>
      <c r="H210" s="150"/>
      <c r="I210" s="150"/>
      <c r="J210" s="150"/>
      <c r="K210" s="150"/>
      <c r="L210" s="150"/>
      <c r="M210" s="150"/>
      <c r="N210" s="150"/>
      <c r="O210" s="150"/>
      <c r="P210" s="166"/>
      <c r="Q210" s="166"/>
      <c r="R210" s="166"/>
      <c r="S210" s="166"/>
      <c r="T210" s="166"/>
    </row>
    <row r="211" spans="2:20" ht="13.5" customHeight="1">
      <c r="B211" s="150"/>
      <c r="C211" s="150"/>
      <c r="D211" s="150"/>
      <c r="E211" s="150"/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  <c r="P211" s="166"/>
      <c r="Q211" s="166"/>
      <c r="R211" s="166"/>
      <c r="S211" s="166"/>
      <c r="T211" s="166"/>
    </row>
    <row r="212" spans="2:20" ht="13.5" customHeight="1">
      <c r="B212" s="150"/>
      <c r="C212" s="150"/>
      <c r="D212" s="150"/>
      <c r="E212" s="150"/>
      <c r="F212" s="150"/>
      <c r="G212" s="150"/>
      <c r="H212" s="150"/>
      <c r="I212" s="150"/>
      <c r="J212" s="150"/>
      <c r="K212" s="150"/>
      <c r="L212" s="150"/>
      <c r="M212" s="150"/>
      <c r="N212" s="150"/>
      <c r="O212" s="150"/>
      <c r="P212" s="166"/>
      <c r="Q212" s="166"/>
      <c r="R212" s="166"/>
      <c r="S212" s="166"/>
      <c r="T212" s="166"/>
    </row>
    <row r="213" spans="2:20" ht="13.5" customHeight="1">
      <c r="B213" s="150"/>
      <c r="C213" s="150"/>
      <c r="D213" s="150"/>
      <c r="E213" s="150"/>
      <c r="F213" s="150"/>
      <c r="G213" s="150"/>
      <c r="H213" s="150"/>
      <c r="I213" s="150"/>
      <c r="J213" s="150"/>
      <c r="K213" s="150"/>
      <c r="L213" s="150"/>
      <c r="M213" s="150"/>
      <c r="N213" s="150"/>
      <c r="O213" s="150"/>
      <c r="P213" s="166"/>
      <c r="Q213" s="166"/>
      <c r="R213" s="166"/>
      <c r="S213" s="166"/>
      <c r="T213" s="166"/>
    </row>
    <row r="214" spans="2:20" ht="13.5" customHeight="1">
      <c r="B214" s="150"/>
      <c r="C214" s="150"/>
      <c r="D214" s="150"/>
      <c r="E214" s="150"/>
      <c r="F214" s="150"/>
      <c r="G214" s="150"/>
      <c r="H214" s="150"/>
      <c r="I214" s="150"/>
      <c r="J214" s="150"/>
      <c r="K214" s="150"/>
      <c r="L214" s="150"/>
      <c r="M214" s="150"/>
      <c r="N214" s="150"/>
      <c r="O214" s="150"/>
      <c r="P214" s="166"/>
      <c r="Q214" s="166"/>
      <c r="R214" s="166"/>
      <c r="S214" s="166"/>
      <c r="T214" s="166"/>
    </row>
    <row r="215" spans="2:20" ht="13.5" customHeight="1">
      <c r="B215" s="150"/>
      <c r="C215" s="150"/>
      <c r="D215" s="150"/>
      <c r="E215" s="150"/>
      <c r="F215" s="150"/>
      <c r="G215" s="150"/>
      <c r="H215" s="150"/>
      <c r="I215" s="150"/>
      <c r="J215" s="150"/>
      <c r="K215" s="150"/>
      <c r="L215" s="150"/>
      <c r="M215" s="150"/>
      <c r="N215" s="150"/>
      <c r="O215" s="150"/>
      <c r="P215" s="166"/>
      <c r="Q215" s="166"/>
      <c r="R215" s="166"/>
      <c r="S215" s="166"/>
      <c r="T215" s="166"/>
    </row>
    <row r="216" spans="2:20" ht="13.5" customHeight="1">
      <c r="B216" s="150"/>
      <c r="C216" s="150"/>
      <c r="D216" s="150"/>
      <c r="E216" s="150"/>
      <c r="F216" s="150"/>
      <c r="G216" s="150"/>
      <c r="H216" s="150"/>
      <c r="I216" s="150"/>
      <c r="J216" s="150"/>
      <c r="K216" s="150"/>
      <c r="L216" s="150"/>
      <c r="M216" s="150"/>
      <c r="N216" s="150"/>
      <c r="O216" s="150"/>
      <c r="P216" s="166"/>
      <c r="Q216" s="166"/>
      <c r="R216" s="166"/>
      <c r="S216" s="166"/>
      <c r="T216" s="166"/>
    </row>
    <row r="217" spans="2:20" ht="13.5" customHeight="1">
      <c r="B217" s="150"/>
      <c r="C217" s="150"/>
      <c r="D217" s="150"/>
      <c r="E217" s="150"/>
      <c r="F217" s="150"/>
      <c r="G217" s="150"/>
      <c r="H217" s="150"/>
      <c r="I217" s="150"/>
      <c r="J217" s="150"/>
      <c r="K217" s="150"/>
      <c r="L217" s="150"/>
      <c r="M217" s="150"/>
      <c r="N217" s="150"/>
      <c r="O217" s="150"/>
      <c r="P217" s="166"/>
      <c r="Q217" s="166"/>
      <c r="R217" s="166"/>
      <c r="S217" s="166"/>
      <c r="T217" s="166"/>
    </row>
    <row r="218" spans="2:20" ht="13.5" customHeight="1">
      <c r="B218" s="150"/>
      <c r="C218" s="150"/>
      <c r="D218" s="150"/>
      <c r="E218" s="150"/>
      <c r="F218" s="150"/>
      <c r="G218" s="150"/>
      <c r="H218" s="150"/>
      <c r="I218" s="150"/>
      <c r="J218" s="150"/>
      <c r="K218" s="150"/>
      <c r="L218" s="150"/>
      <c r="M218" s="150"/>
      <c r="N218" s="150"/>
      <c r="O218" s="150"/>
      <c r="P218" s="166"/>
      <c r="Q218" s="166"/>
      <c r="R218" s="166"/>
      <c r="S218" s="166"/>
      <c r="T218" s="166"/>
    </row>
    <row r="219" spans="2:20" ht="13.5" customHeight="1">
      <c r="B219" s="150"/>
      <c r="C219" s="150"/>
      <c r="D219" s="150"/>
      <c r="E219" s="150"/>
      <c r="F219" s="150"/>
      <c r="G219" s="150"/>
      <c r="H219" s="150"/>
      <c r="I219" s="150"/>
      <c r="J219" s="150"/>
      <c r="K219" s="150"/>
      <c r="L219" s="150"/>
      <c r="M219" s="150"/>
      <c r="N219" s="150"/>
      <c r="O219" s="150"/>
      <c r="P219" s="166"/>
      <c r="Q219" s="166"/>
      <c r="R219" s="166"/>
      <c r="S219" s="166"/>
      <c r="T219" s="166"/>
    </row>
    <row r="220" spans="2:20" ht="13.5" customHeight="1">
      <c r="B220" s="150"/>
      <c r="C220" s="150"/>
      <c r="D220" s="150"/>
      <c r="E220" s="150"/>
      <c r="F220" s="150"/>
      <c r="G220" s="150"/>
      <c r="H220" s="150"/>
      <c r="I220" s="150"/>
      <c r="J220" s="150"/>
      <c r="K220" s="150"/>
      <c r="L220" s="150"/>
      <c r="M220" s="150"/>
      <c r="N220" s="150"/>
      <c r="O220" s="150"/>
      <c r="P220" s="166"/>
      <c r="Q220" s="166"/>
      <c r="R220" s="166"/>
      <c r="S220" s="166"/>
      <c r="T220" s="166"/>
    </row>
    <row r="221" spans="2:20" ht="13.5" customHeight="1">
      <c r="B221" s="150"/>
      <c r="C221" s="150"/>
      <c r="D221" s="150"/>
      <c r="E221" s="150"/>
      <c r="F221" s="150"/>
      <c r="G221" s="150"/>
      <c r="H221" s="150"/>
      <c r="I221" s="150"/>
      <c r="J221" s="150"/>
      <c r="K221" s="150"/>
      <c r="L221" s="150"/>
      <c r="M221" s="150"/>
      <c r="N221" s="150"/>
      <c r="O221" s="150"/>
      <c r="P221" s="166"/>
      <c r="Q221" s="166"/>
      <c r="R221" s="166"/>
      <c r="S221" s="166"/>
      <c r="T221" s="166"/>
    </row>
    <row r="222" spans="2:20" ht="13.5" customHeight="1">
      <c r="B222" s="150"/>
      <c r="C222" s="150"/>
      <c r="D222" s="150"/>
      <c r="E222" s="150"/>
      <c r="F222" s="150"/>
      <c r="G222" s="150"/>
      <c r="H222" s="150"/>
      <c r="I222" s="150"/>
      <c r="J222" s="150"/>
      <c r="K222" s="150"/>
      <c r="L222" s="150"/>
      <c r="M222" s="150"/>
      <c r="N222" s="150"/>
      <c r="O222" s="150"/>
      <c r="P222" s="166"/>
      <c r="Q222" s="166"/>
      <c r="R222" s="166"/>
      <c r="S222" s="166"/>
      <c r="T222" s="166"/>
    </row>
    <row r="223" spans="2:20" ht="13.5" customHeight="1">
      <c r="B223" s="150"/>
      <c r="C223" s="150"/>
      <c r="D223" s="150"/>
      <c r="E223" s="150"/>
      <c r="F223" s="150"/>
      <c r="G223" s="150"/>
      <c r="H223" s="150"/>
      <c r="I223" s="150"/>
      <c r="J223" s="150"/>
      <c r="K223" s="150"/>
      <c r="L223" s="150"/>
      <c r="M223" s="150"/>
      <c r="N223" s="150"/>
      <c r="O223" s="150"/>
      <c r="P223" s="166"/>
      <c r="Q223" s="166"/>
      <c r="R223" s="166"/>
      <c r="S223" s="166"/>
      <c r="T223" s="166"/>
    </row>
    <row r="224" spans="2:20" ht="13.5" customHeight="1">
      <c r="B224" s="150"/>
      <c r="C224" s="150"/>
      <c r="D224" s="150"/>
      <c r="E224" s="150"/>
      <c r="F224" s="150"/>
      <c r="G224" s="150"/>
      <c r="H224" s="150"/>
      <c r="I224" s="150"/>
      <c r="J224" s="150"/>
      <c r="K224" s="150"/>
      <c r="L224" s="150"/>
      <c r="M224" s="150"/>
      <c r="N224" s="150"/>
      <c r="O224" s="150"/>
      <c r="P224" s="166"/>
      <c r="Q224" s="166"/>
      <c r="R224" s="166"/>
      <c r="S224" s="166"/>
      <c r="T224" s="166"/>
    </row>
    <row r="225" spans="2:20" ht="13.5" customHeight="1">
      <c r="B225" s="150"/>
      <c r="C225" s="150"/>
      <c r="D225" s="150"/>
      <c r="E225" s="150"/>
      <c r="F225" s="150"/>
      <c r="G225" s="150"/>
      <c r="H225" s="150"/>
      <c r="I225" s="150"/>
      <c r="J225" s="150"/>
      <c r="K225" s="150"/>
      <c r="L225" s="150"/>
      <c r="M225" s="150"/>
      <c r="N225" s="150"/>
      <c r="O225" s="150"/>
      <c r="P225" s="166"/>
      <c r="Q225" s="166"/>
      <c r="R225" s="166"/>
      <c r="S225" s="166"/>
      <c r="T225" s="166"/>
    </row>
    <row r="226" spans="2:20" ht="13.5" customHeight="1">
      <c r="B226" s="150"/>
      <c r="C226" s="150"/>
      <c r="D226" s="150"/>
      <c r="E226" s="150"/>
      <c r="F226" s="150"/>
      <c r="G226" s="150"/>
      <c r="H226" s="150"/>
      <c r="I226" s="150"/>
      <c r="J226" s="150"/>
      <c r="K226" s="150"/>
      <c r="L226" s="150"/>
      <c r="M226" s="150"/>
      <c r="N226" s="150"/>
      <c r="O226" s="150"/>
      <c r="P226" s="166"/>
      <c r="Q226" s="166"/>
      <c r="R226" s="166"/>
      <c r="S226" s="166"/>
      <c r="T226" s="166"/>
    </row>
    <row r="227" spans="2:20" ht="13.5" customHeight="1">
      <c r="B227" s="150"/>
      <c r="C227" s="150"/>
      <c r="D227" s="150"/>
      <c r="E227" s="150"/>
      <c r="F227" s="150"/>
      <c r="G227" s="150"/>
      <c r="H227" s="150"/>
      <c r="I227" s="150"/>
      <c r="J227" s="150"/>
      <c r="K227" s="150"/>
      <c r="L227" s="150"/>
      <c r="M227" s="150"/>
      <c r="N227" s="150"/>
      <c r="O227" s="150"/>
      <c r="P227" s="166"/>
      <c r="Q227" s="166"/>
      <c r="R227" s="166"/>
      <c r="S227" s="166"/>
      <c r="T227" s="166"/>
    </row>
    <row r="228" spans="2:20" ht="13.5" customHeight="1">
      <c r="B228" s="150"/>
      <c r="C228" s="150"/>
      <c r="D228" s="150"/>
      <c r="E228" s="150"/>
      <c r="F228" s="150"/>
      <c r="G228" s="150"/>
      <c r="H228" s="150"/>
      <c r="I228" s="150"/>
      <c r="J228" s="150"/>
      <c r="K228" s="150"/>
      <c r="L228" s="150"/>
      <c r="M228" s="150"/>
      <c r="N228" s="150"/>
      <c r="O228" s="150"/>
      <c r="P228" s="166"/>
      <c r="Q228" s="166"/>
      <c r="R228" s="166"/>
      <c r="S228" s="166"/>
      <c r="T228" s="166"/>
    </row>
    <row r="229" spans="2:20" ht="13.5" customHeight="1">
      <c r="B229" s="150"/>
      <c r="C229" s="150"/>
      <c r="D229" s="150"/>
      <c r="E229" s="150"/>
      <c r="F229" s="150"/>
      <c r="G229" s="150"/>
      <c r="H229" s="150"/>
      <c r="I229" s="150"/>
      <c r="J229" s="150"/>
      <c r="K229" s="150"/>
      <c r="L229" s="150"/>
      <c r="M229" s="150"/>
      <c r="N229" s="150"/>
      <c r="O229" s="150"/>
      <c r="P229" s="166"/>
      <c r="Q229" s="166"/>
      <c r="R229" s="166"/>
      <c r="S229" s="166"/>
      <c r="T229" s="166"/>
    </row>
    <row r="230" spans="2:20" ht="13.5" customHeight="1">
      <c r="B230" s="150"/>
      <c r="C230" s="150"/>
      <c r="D230" s="150"/>
      <c r="E230" s="150"/>
      <c r="F230" s="150"/>
      <c r="G230" s="150"/>
      <c r="H230" s="150"/>
      <c r="I230" s="150"/>
      <c r="J230" s="150"/>
      <c r="K230" s="150"/>
      <c r="L230" s="150"/>
      <c r="M230" s="150"/>
      <c r="N230" s="150"/>
      <c r="O230" s="150"/>
      <c r="P230" s="166"/>
      <c r="Q230" s="166"/>
      <c r="R230" s="166"/>
      <c r="S230" s="166"/>
      <c r="T230" s="166"/>
    </row>
    <row r="231" spans="2:20" ht="13.5" customHeight="1">
      <c r="B231" s="150"/>
      <c r="C231" s="150"/>
      <c r="D231" s="150"/>
      <c r="E231" s="150"/>
      <c r="F231" s="150"/>
      <c r="G231" s="150"/>
      <c r="H231" s="150"/>
      <c r="I231" s="150"/>
      <c r="J231" s="150"/>
      <c r="K231" s="150"/>
      <c r="L231" s="150"/>
      <c r="M231" s="150"/>
      <c r="N231" s="150"/>
      <c r="O231" s="150"/>
      <c r="P231" s="166"/>
      <c r="Q231" s="166"/>
      <c r="R231" s="166"/>
      <c r="S231" s="166"/>
      <c r="T231" s="166"/>
    </row>
    <row r="232" spans="2:20" ht="13.5" customHeight="1">
      <c r="B232" s="150"/>
      <c r="C232" s="150"/>
      <c r="D232" s="150"/>
      <c r="E232" s="150"/>
      <c r="F232" s="150"/>
      <c r="G232" s="150"/>
      <c r="H232" s="150"/>
      <c r="I232" s="150"/>
      <c r="J232" s="150"/>
      <c r="K232" s="150"/>
      <c r="L232" s="150"/>
      <c r="M232" s="150"/>
      <c r="N232" s="150"/>
      <c r="O232" s="150"/>
      <c r="P232" s="166"/>
      <c r="Q232" s="166"/>
      <c r="R232" s="166"/>
      <c r="S232" s="166"/>
      <c r="T232" s="166"/>
    </row>
    <row r="233" spans="2:20" ht="13.5" customHeight="1">
      <c r="B233" s="150"/>
      <c r="C233" s="150"/>
      <c r="D233" s="150"/>
      <c r="E233" s="150"/>
      <c r="F233" s="150"/>
      <c r="G233" s="150"/>
      <c r="H233" s="150"/>
      <c r="I233" s="150"/>
      <c r="J233" s="150"/>
      <c r="K233" s="150"/>
      <c r="L233" s="150"/>
      <c r="M233" s="150"/>
      <c r="N233" s="150"/>
      <c r="O233" s="150"/>
      <c r="P233" s="166"/>
      <c r="Q233" s="166"/>
      <c r="R233" s="166"/>
      <c r="S233" s="166"/>
      <c r="T233" s="166"/>
    </row>
    <row r="234" spans="2:20" ht="13.5" customHeight="1">
      <c r="B234" s="150"/>
      <c r="C234" s="150"/>
      <c r="D234" s="150"/>
      <c r="E234" s="150"/>
      <c r="F234" s="150"/>
      <c r="G234" s="150"/>
      <c r="H234" s="150"/>
      <c r="I234" s="150"/>
      <c r="J234" s="150"/>
      <c r="K234" s="150"/>
      <c r="L234" s="150"/>
      <c r="M234" s="150"/>
      <c r="N234" s="150"/>
      <c r="O234" s="150"/>
      <c r="P234" s="166"/>
      <c r="Q234" s="166"/>
      <c r="R234" s="166"/>
      <c r="S234" s="166"/>
      <c r="T234" s="166"/>
    </row>
    <row r="235" spans="2:20" ht="13.5" customHeight="1">
      <c r="B235" s="150"/>
      <c r="C235" s="150"/>
      <c r="D235" s="150"/>
      <c r="E235" s="150"/>
      <c r="F235" s="150"/>
      <c r="G235" s="150"/>
      <c r="H235" s="150"/>
      <c r="I235" s="150"/>
      <c r="J235" s="150"/>
      <c r="K235" s="150"/>
      <c r="L235" s="150"/>
      <c r="M235" s="150"/>
      <c r="N235" s="150"/>
      <c r="O235" s="150"/>
      <c r="P235" s="166"/>
      <c r="Q235" s="166"/>
      <c r="R235" s="166"/>
      <c r="S235" s="166"/>
      <c r="T235" s="166"/>
    </row>
    <row r="236" spans="2:20" ht="13.5" customHeight="1">
      <c r="B236" s="150"/>
      <c r="C236" s="150"/>
      <c r="D236" s="150"/>
      <c r="E236" s="150"/>
      <c r="F236" s="150"/>
      <c r="G236" s="150"/>
      <c r="H236" s="150"/>
      <c r="I236" s="150"/>
      <c r="J236" s="150"/>
      <c r="K236" s="150"/>
      <c r="L236" s="150"/>
      <c r="M236" s="150"/>
      <c r="N236" s="150"/>
      <c r="O236" s="150"/>
      <c r="P236" s="166"/>
      <c r="Q236" s="166"/>
      <c r="R236" s="166"/>
      <c r="S236" s="166"/>
      <c r="T236" s="166"/>
    </row>
    <row r="237" spans="2:20" ht="13.5" customHeight="1">
      <c r="B237" s="150"/>
      <c r="C237" s="150"/>
      <c r="D237" s="150"/>
      <c r="E237" s="150"/>
      <c r="F237" s="150"/>
      <c r="G237" s="150"/>
      <c r="H237" s="150"/>
      <c r="I237" s="150"/>
      <c r="J237" s="150"/>
      <c r="K237" s="150"/>
      <c r="L237" s="150"/>
      <c r="M237" s="150"/>
      <c r="N237" s="150"/>
      <c r="O237" s="150"/>
      <c r="P237" s="166"/>
      <c r="Q237" s="166"/>
      <c r="R237" s="166"/>
      <c r="S237" s="166"/>
      <c r="T237" s="166"/>
    </row>
    <row r="238" spans="2:20" ht="13.5" customHeight="1">
      <c r="B238" s="150"/>
      <c r="C238" s="150"/>
      <c r="D238" s="150"/>
      <c r="E238" s="150"/>
      <c r="F238" s="150"/>
      <c r="G238" s="150"/>
      <c r="H238" s="150"/>
      <c r="I238" s="150"/>
      <c r="J238" s="150"/>
      <c r="K238" s="150"/>
      <c r="L238" s="150"/>
      <c r="M238" s="150"/>
      <c r="N238" s="150"/>
      <c r="O238" s="150"/>
      <c r="P238" s="166"/>
      <c r="Q238" s="166"/>
      <c r="R238" s="166"/>
      <c r="S238" s="166"/>
      <c r="T238" s="166"/>
    </row>
    <row r="239" spans="2:20" ht="13.5" customHeight="1">
      <c r="B239" s="150"/>
      <c r="C239" s="150"/>
      <c r="D239" s="150"/>
      <c r="E239" s="150"/>
      <c r="F239" s="150"/>
      <c r="G239" s="150"/>
      <c r="H239" s="150"/>
      <c r="I239" s="150"/>
      <c r="J239" s="150"/>
      <c r="K239" s="150"/>
      <c r="L239" s="150"/>
      <c r="M239" s="150"/>
      <c r="N239" s="150"/>
      <c r="O239" s="150"/>
      <c r="P239" s="166"/>
      <c r="Q239" s="166"/>
      <c r="R239" s="166"/>
      <c r="S239" s="166"/>
      <c r="T239" s="166"/>
    </row>
    <row r="240" spans="2:20" ht="13.5" customHeight="1">
      <c r="B240" s="150"/>
      <c r="C240" s="150"/>
      <c r="D240" s="150"/>
      <c r="E240" s="150"/>
      <c r="F240" s="150"/>
      <c r="G240" s="150"/>
      <c r="H240" s="150"/>
      <c r="I240" s="150"/>
      <c r="J240" s="150"/>
      <c r="K240" s="150"/>
      <c r="L240" s="150"/>
      <c r="M240" s="150"/>
      <c r="N240" s="150"/>
      <c r="O240" s="150"/>
      <c r="P240" s="166"/>
      <c r="Q240" s="166"/>
      <c r="R240" s="166"/>
      <c r="S240" s="166"/>
      <c r="T240" s="166"/>
    </row>
    <row r="241" spans="2:20" ht="13.5" customHeight="1">
      <c r="B241" s="150"/>
      <c r="C241" s="150"/>
      <c r="D241" s="150"/>
      <c r="E241" s="150"/>
      <c r="F241" s="150"/>
      <c r="G241" s="150"/>
      <c r="H241" s="150"/>
      <c r="I241" s="150"/>
      <c r="J241" s="150"/>
      <c r="K241" s="150"/>
      <c r="L241" s="150"/>
      <c r="M241" s="150"/>
      <c r="N241" s="150"/>
      <c r="O241" s="150"/>
      <c r="P241" s="166"/>
      <c r="Q241" s="166"/>
      <c r="R241" s="166"/>
      <c r="S241" s="166"/>
      <c r="T241" s="166"/>
    </row>
    <row r="242" spans="2:20" ht="13.5" customHeight="1">
      <c r="B242" s="150"/>
      <c r="C242" s="150"/>
      <c r="D242" s="150"/>
      <c r="E242" s="150"/>
      <c r="F242" s="150"/>
      <c r="G242" s="150"/>
      <c r="H242" s="150"/>
      <c r="I242" s="150"/>
      <c r="J242" s="150"/>
      <c r="K242" s="150"/>
      <c r="L242" s="150"/>
      <c r="M242" s="150"/>
      <c r="N242" s="150"/>
      <c r="O242" s="150"/>
      <c r="P242" s="166"/>
      <c r="Q242" s="166"/>
      <c r="R242" s="166"/>
      <c r="S242" s="166"/>
      <c r="T242" s="166"/>
    </row>
    <row r="243" spans="2:20" ht="13.5" customHeight="1">
      <c r="B243" s="150"/>
      <c r="C243" s="150"/>
      <c r="D243" s="150"/>
      <c r="E243" s="150"/>
      <c r="F243" s="150"/>
      <c r="G243" s="150"/>
      <c r="H243" s="150"/>
      <c r="I243" s="150"/>
      <c r="J243" s="150"/>
      <c r="K243" s="150"/>
      <c r="L243" s="150"/>
      <c r="M243" s="150"/>
      <c r="N243" s="150"/>
      <c r="O243" s="150"/>
      <c r="P243" s="166"/>
      <c r="Q243" s="166"/>
      <c r="R243" s="166"/>
      <c r="S243" s="166"/>
      <c r="T243" s="166"/>
    </row>
    <row r="244" spans="2:20" ht="13.5" customHeight="1">
      <c r="B244" s="150"/>
      <c r="C244" s="150"/>
      <c r="D244" s="150"/>
      <c r="E244" s="150"/>
      <c r="F244" s="150"/>
      <c r="G244" s="150"/>
      <c r="H244" s="150"/>
      <c r="I244" s="150"/>
      <c r="J244" s="150"/>
      <c r="K244" s="150"/>
      <c r="L244" s="150"/>
      <c r="M244" s="150"/>
      <c r="N244" s="150"/>
      <c r="O244" s="150"/>
      <c r="P244" s="166"/>
      <c r="Q244" s="166"/>
      <c r="R244" s="166"/>
      <c r="S244" s="166"/>
      <c r="T244" s="166"/>
    </row>
    <row r="245" spans="2:20" ht="13.5" customHeight="1">
      <c r="B245" s="150"/>
      <c r="C245" s="150"/>
      <c r="D245" s="150"/>
      <c r="E245" s="150"/>
      <c r="F245" s="150"/>
      <c r="G245" s="150"/>
      <c r="H245" s="150"/>
      <c r="I245" s="150"/>
      <c r="J245" s="150"/>
      <c r="K245" s="150"/>
      <c r="L245" s="150"/>
      <c r="M245" s="150"/>
      <c r="N245" s="150"/>
      <c r="O245" s="150"/>
      <c r="P245" s="166"/>
      <c r="Q245" s="166"/>
      <c r="R245" s="166"/>
      <c r="S245" s="166"/>
      <c r="T245" s="166"/>
    </row>
    <row r="246" spans="2:20" ht="13.5" customHeight="1">
      <c r="B246" s="150"/>
      <c r="C246" s="150"/>
      <c r="D246" s="150"/>
      <c r="E246" s="150"/>
      <c r="F246" s="150"/>
      <c r="G246" s="150"/>
      <c r="H246" s="150"/>
      <c r="I246" s="150"/>
      <c r="J246" s="150"/>
      <c r="K246" s="150"/>
      <c r="L246" s="150"/>
      <c r="M246" s="150"/>
      <c r="N246" s="150"/>
      <c r="O246" s="150"/>
      <c r="P246" s="166"/>
      <c r="Q246" s="166"/>
      <c r="R246" s="166"/>
      <c r="S246" s="166"/>
      <c r="T246" s="166"/>
    </row>
    <row r="247" spans="2:20" ht="13.5" customHeight="1">
      <c r="B247" s="150"/>
      <c r="C247" s="150"/>
      <c r="D247" s="150"/>
      <c r="E247" s="150"/>
      <c r="F247" s="150"/>
      <c r="G247" s="150"/>
      <c r="H247" s="150"/>
      <c r="I247" s="150"/>
      <c r="J247" s="150"/>
      <c r="K247" s="150"/>
      <c r="L247" s="150"/>
      <c r="M247" s="150"/>
      <c r="N247" s="150"/>
      <c r="O247" s="150"/>
      <c r="P247" s="166"/>
      <c r="Q247" s="166"/>
      <c r="R247" s="166"/>
      <c r="S247" s="166"/>
      <c r="T247" s="166"/>
    </row>
    <row r="248" spans="2:20" ht="13.5" customHeight="1">
      <c r="B248" s="150"/>
      <c r="C248" s="150"/>
      <c r="D248" s="150"/>
      <c r="E248" s="150"/>
      <c r="F248" s="150"/>
      <c r="G248" s="150"/>
      <c r="H248" s="150"/>
      <c r="I248" s="150"/>
      <c r="J248" s="150"/>
      <c r="K248" s="150"/>
      <c r="L248" s="150"/>
      <c r="M248" s="150"/>
      <c r="N248" s="150"/>
      <c r="O248" s="150"/>
      <c r="P248" s="166"/>
      <c r="Q248" s="166"/>
      <c r="R248" s="166"/>
      <c r="S248" s="166"/>
      <c r="T248" s="166"/>
    </row>
    <row r="249" spans="2:20" ht="13.5" customHeight="1">
      <c r="B249" s="150"/>
      <c r="C249" s="150"/>
      <c r="D249" s="150"/>
      <c r="E249" s="150"/>
      <c r="F249" s="150"/>
      <c r="G249" s="150"/>
      <c r="H249" s="150"/>
      <c r="I249" s="150"/>
      <c r="J249" s="150"/>
      <c r="K249" s="150"/>
      <c r="L249" s="150"/>
      <c r="M249" s="150"/>
      <c r="N249" s="150"/>
      <c r="O249" s="150"/>
      <c r="P249" s="166"/>
      <c r="Q249" s="166"/>
      <c r="R249" s="166"/>
      <c r="S249" s="166"/>
      <c r="T249" s="166"/>
    </row>
    <row r="250" spans="2:20" ht="13.5" customHeight="1">
      <c r="B250" s="150"/>
      <c r="C250" s="150"/>
      <c r="D250" s="150"/>
      <c r="E250" s="150"/>
      <c r="F250" s="150"/>
      <c r="G250" s="150"/>
      <c r="H250" s="150"/>
      <c r="I250" s="150"/>
      <c r="J250" s="150"/>
      <c r="K250" s="150"/>
      <c r="L250" s="150"/>
      <c r="M250" s="150"/>
      <c r="N250" s="150"/>
      <c r="O250" s="150"/>
      <c r="P250" s="166"/>
      <c r="Q250" s="166"/>
      <c r="R250" s="166"/>
      <c r="S250" s="166"/>
      <c r="T250" s="166"/>
    </row>
    <row r="251" spans="2:20" ht="13.5" customHeight="1">
      <c r="B251" s="150"/>
      <c r="C251" s="150"/>
      <c r="D251" s="150"/>
      <c r="E251" s="150"/>
      <c r="F251" s="150"/>
      <c r="G251" s="150"/>
      <c r="H251" s="150"/>
      <c r="I251" s="150"/>
      <c r="J251" s="150"/>
      <c r="K251" s="150"/>
      <c r="L251" s="150"/>
      <c r="M251" s="150"/>
      <c r="N251" s="150"/>
      <c r="O251" s="150"/>
      <c r="P251" s="166"/>
      <c r="Q251" s="166"/>
      <c r="R251" s="166"/>
      <c r="S251" s="166"/>
      <c r="T251" s="166"/>
    </row>
    <row r="252" spans="2:20" ht="13.5" customHeight="1">
      <c r="B252" s="150"/>
      <c r="C252" s="150"/>
      <c r="D252" s="150"/>
      <c r="E252" s="150"/>
      <c r="F252" s="150"/>
      <c r="G252" s="150"/>
      <c r="H252" s="150"/>
      <c r="I252" s="150"/>
      <c r="J252" s="150"/>
      <c r="K252" s="150"/>
      <c r="L252" s="150"/>
      <c r="M252" s="150"/>
      <c r="N252" s="150"/>
      <c r="O252" s="150"/>
      <c r="P252" s="166"/>
      <c r="Q252" s="166"/>
      <c r="R252" s="166"/>
      <c r="S252" s="166"/>
      <c r="T252" s="166"/>
    </row>
    <row r="253" spans="2:20" ht="13.5" customHeight="1">
      <c r="B253" s="150"/>
      <c r="C253" s="150"/>
      <c r="D253" s="150"/>
      <c r="E253" s="150"/>
      <c r="F253" s="150"/>
      <c r="G253" s="150"/>
      <c r="H253" s="150"/>
      <c r="I253" s="150"/>
      <c r="J253" s="150"/>
      <c r="K253" s="150"/>
      <c r="L253" s="150"/>
      <c r="M253" s="150"/>
      <c r="N253" s="150"/>
      <c r="O253" s="150"/>
      <c r="P253" s="166"/>
      <c r="Q253" s="166"/>
      <c r="R253" s="166"/>
      <c r="S253" s="166"/>
      <c r="T253" s="166"/>
    </row>
    <row r="254" spans="2:20" ht="13.5" customHeight="1">
      <c r="B254" s="150"/>
      <c r="C254" s="150"/>
      <c r="D254" s="150"/>
      <c r="E254" s="150"/>
      <c r="F254" s="150"/>
      <c r="G254" s="150"/>
      <c r="H254" s="150"/>
      <c r="I254" s="150"/>
      <c r="J254" s="150"/>
      <c r="K254" s="150"/>
      <c r="L254" s="150"/>
      <c r="M254" s="150"/>
      <c r="N254" s="150"/>
      <c r="O254" s="150"/>
      <c r="P254" s="166"/>
      <c r="Q254" s="166"/>
      <c r="R254" s="166"/>
      <c r="S254" s="166"/>
      <c r="T254" s="166"/>
    </row>
    <row r="255" spans="2:20" ht="13.5" customHeight="1">
      <c r="B255" s="150"/>
      <c r="C255" s="150"/>
      <c r="D255" s="150"/>
      <c r="E255" s="150"/>
      <c r="F255" s="150"/>
      <c r="G255" s="150"/>
      <c r="H255" s="150"/>
      <c r="I255" s="150"/>
      <c r="J255" s="150"/>
      <c r="K255" s="150"/>
      <c r="L255" s="150"/>
      <c r="M255" s="150"/>
      <c r="N255" s="150"/>
      <c r="O255" s="150"/>
      <c r="P255" s="166"/>
      <c r="Q255" s="166"/>
      <c r="R255" s="166"/>
      <c r="S255" s="166"/>
      <c r="T255" s="166"/>
    </row>
    <row r="256" spans="2:20" ht="13.5" customHeight="1">
      <c r="B256" s="150"/>
      <c r="C256" s="150"/>
      <c r="D256" s="150"/>
      <c r="E256" s="150"/>
      <c r="F256" s="150"/>
      <c r="G256" s="150"/>
      <c r="H256" s="150"/>
      <c r="I256" s="150"/>
      <c r="J256" s="150"/>
      <c r="K256" s="150"/>
      <c r="L256" s="150"/>
      <c r="M256" s="150"/>
      <c r="N256" s="150"/>
      <c r="O256" s="150"/>
      <c r="P256" s="166"/>
      <c r="Q256" s="166"/>
      <c r="R256" s="166"/>
      <c r="S256" s="166"/>
      <c r="T256" s="166"/>
    </row>
    <row r="257" spans="2:20" ht="13.5" customHeight="1">
      <c r="B257" s="150"/>
      <c r="C257" s="150"/>
      <c r="D257" s="150"/>
      <c r="E257" s="150"/>
      <c r="F257" s="150"/>
      <c r="G257" s="150"/>
      <c r="H257" s="150"/>
      <c r="I257" s="150"/>
      <c r="J257" s="150"/>
      <c r="K257" s="150"/>
      <c r="L257" s="150"/>
      <c r="M257" s="150"/>
      <c r="N257" s="150"/>
      <c r="O257" s="150"/>
      <c r="P257" s="166"/>
      <c r="Q257" s="166"/>
      <c r="R257" s="166"/>
      <c r="S257" s="166"/>
      <c r="T257" s="166"/>
    </row>
    <row r="258" spans="2:20" ht="13.5" customHeight="1">
      <c r="B258" s="150"/>
      <c r="C258" s="150"/>
      <c r="D258" s="150"/>
      <c r="E258" s="150"/>
      <c r="F258" s="150"/>
      <c r="G258" s="150"/>
      <c r="H258" s="150"/>
      <c r="I258" s="150"/>
      <c r="J258" s="150"/>
      <c r="K258" s="150"/>
      <c r="L258" s="150"/>
      <c r="M258" s="150"/>
      <c r="N258" s="150"/>
      <c r="O258" s="150"/>
      <c r="P258" s="166"/>
      <c r="Q258" s="166"/>
      <c r="R258" s="166"/>
      <c r="S258" s="166"/>
      <c r="T258" s="166"/>
    </row>
    <row r="259" spans="2:20" ht="13.5" customHeight="1">
      <c r="B259" s="150"/>
      <c r="C259" s="150"/>
      <c r="D259" s="150"/>
      <c r="E259" s="150"/>
      <c r="F259" s="150"/>
      <c r="G259" s="150"/>
      <c r="H259" s="150"/>
      <c r="I259" s="150"/>
      <c r="J259" s="150"/>
      <c r="K259" s="150"/>
      <c r="L259" s="150"/>
      <c r="M259" s="150"/>
      <c r="N259" s="150"/>
      <c r="O259" s="150"/>
      <c r="P259" s="166"/>
      <c r="Q259" s="166"/>
      <c r="R259" s="166"/>
      <c r="S259" s="166"/>
      <c r="T259" s="166"/>
    </row>
    <row r="260" spans="2:20" ht="13.5" customHeight="1">
      <c r="B260" s="150"/>
      <c r="C260" s="150"/>
      <c r="D260" s="150"/>
      <c r="E260" s="150"/>
      <c r="F260" s="150"/>
      <c r="G260" s="150"/>
      <c r="H260" s="150"/>
      <c r="I260" s="150"/>
      <c r="J260" s="150"/>
      <c r="K260" s="150"/>
      <c r="L260" s="150"/>
      <c r="M260" s="150"/>
      <c r="N260" s="150"/>
      <c r="O260" s="150"/>
      <c r="P260" s="166"/>
      <c r="Q260" s="166"/>
      <c r="R260" s="166"/>
      <c r="S260" s="166"/>
      <c r="T260" s="166"/>
    </row>
    <row r="261" spans="2:20" ht="13.5" customHeight="1">
      <c r="B261" s="150"/>
      <c r="C261" s="150"/>
      <c r="D261" s="150"/>
      <c r="E261" s="150"/>
      <c r="F261" s="150"/>
      <c r="G261" s="150"/>
      <c r="H261" s="150"/>
      <c r="I261" s="150"/>
      <c r="J261" s="150"/>
      <c r="K261" s="150"/>
      <c r="L261" s="150"/>
      <c r="M261" s="150"/>
      <c r="N261" s="150"/>
      <c r="O261" s="150"/>
      <c r="P261" s="166"/>
      <c r="Q261" s="166"/>
      <c r="R261" s="166"/>
      <c r="S261" s="166"/>
      <c r="T261" s="166"/>
    </row>
    <row r="262" spans="2:20" ht="13.5" customHeight="1">
      <c r="B262" s="150"/>
      <c r="C262" s="150"/>
      <c r="D262" s="150"/>
      <c r="E262" s="150"/>
      <c r="F262" s="150"/>
      <c r="G262" s="150"/>
      <c r="H262" s="150"/>
      <c r="I262" s="150"/>
      <c r="J262" s="150"/>
      <c r="K262" s="150"/>
      <c r="L262" s="150"/>
      <c r="M262" s="150"/>
      <c r="N262" s="150"/>
      <c r="O262" s="150"/>
      <c r="P262" s="166"/>
      <c r="Q262" s="166"/>
      <c r="R262" s="166"/>
      <c r="S262" s="166"/>
      <c r="T262" s="166"/>
    </row>
    <row r="263" spans="2:20" ht="13.5" customHeight="1">
      <c r="B263" s="150"/>
      <c r="C263" s="150"/>
      <c r="D263" s="150"/>
      <c r="E263" s="150"/>
      <c r="F263" s="150"/>
      <c r="G263" s="150"/>
      <c r="H263" s="150"/>
      <c r="I263" s="150"/>
      <c r="J263" s="150"/>
      <c r="K263" s="150"/>
      <c r="L263" s="150"/>
      <c r="M263" s="150"/>
      <c r="N263" s="150"/>
      <c r="O263" s="150"/>
      <c r="P263" s="166"/>
      <c r="Q263" s="166"/>
      <c r="R263" s="166"/>
      <c r="S263" s="166"/>
      <c r="T263" s="166"/>
    </row>
    <row r="264" spans="2:20" ht="13.5" customHeight="1">
      <c r="B264" s="150"/>
      <c r="C264" s="150"/>
      <c r="D264" s="150"/>
      <c r="E264" s="150"/>
      <c r="F264" s="150"/>
      <c r="G264" s="150"/>
      <c r="H264" s="150"/>
      <c r="I264" s="150"/>
      <c r="J264" s="150"/>
      <c r="K264" s="150"/>
      <c r="L264" s="150"/>
      <c r="M264" s="150"/>
      <c r="N264" s="150"/>
      <c r="O264" s="150"/>
      <c r="P264" s="166"/>
      <c r="Q264" s="166"/>
      <c r="R264" s="166"/>
      <c r="S264" s="166"/>
      <c r="T264" s="166"/>
    </row>
    <row r="265" spans="2:20" ht="13.5" customHeight="1">
      <c r="B265" s="150"/>
      <c r="C265" s="150"/>
      <c r="D265" s="150"/>
      <c r="E265" s="150"/>
      <c r="F265" s="150"/>
      <c r="G265" s="150"/>
      <c r="H265" s="150"/>
      <c r="I265" s="150"/>
      <c r="J265" s="150"/>
      <c r="K265" s="150"/>
      <c r="L265" s="150"/>
      <c r="M265" s="150"/>
      <c r="N265" s="150"/>
      <c r="O265" s="150"/>
      <c r="P265" s="166"/>
      <c r="Q265" s="166"/>
      <c r="R265" s="166"/>
      <c r="S265" s="166"/>
      <c r="T265" s="166"/>
    </row>
    <row r="266" spans="2:20" ht="13.5" customHeight="1">
      <c r="B266" s="150"/>
      <c r="C266" s="150"/>
      <c r="D266" s="150"/>
      <c r="E266" s="150"/>
      <c r="F266" s="150"/>
      <c r="G266" s="150"/>
      <c r="H266" s="150"/>
      <c r="I266" s="150"/>
      <c r="J266" s="150"/>
      <c r="K266" s="150"/>
      <c r="L266" s="150"/>
      <c r="M266" s="150"/>
      <c r="N266" s="150"/>
      <c r="O266" s="150"/>
      <c r="P266" s="166"/>
      <c r="Q266" s="166"/>
      <c r="R266" s="166"/>
      <c r="S266" s="166"/>
      <c r="T266" s="166"/>
    </row>
    <row r="267" spans="2:20" ht="13.5" customHeight="1">
      <c r="B267" s="150"/>
      <c r="C267" s="150"/>
      <c r="D267" s="150"/>
      <c r="E267" s="150"/>
      <c r="F267" s="150"/>
      <c r="G267" s="150"/>
      <c r="H267" s="150"/>
      <c r="I267" s="150"/>
      <c r="J267" s="150"/>
      <c r="K267" s="150"/>
      <c r="L267" s="150"/>
      <c r="M267" s="150"/>
      <c r="N267" s="150"/>
      <c r="O267" s="150"/>
      <c r="P267" s="166"/>
      <c r="Q267" s="166"/>
      <c r="R267" s="166"/>
      <c r="S267" s="166"/>
      <c r="T267" s="166"/>
    </row>
    <row r="268" spans="2:20" ht="13.5" customHeight="1">
      <c r="B268" s="150"/>
      <c r="C268" s="150"/>
      <c r="D268" s="150"/>
      <c r="E268" s="150"/>
      <c r="F268" s="150"/>
      <c r="G268" s="150"/>
      <c r="H268" s="150"/>
      <c r="I268" s="150"/>
      <c r="J268" s="150"/>
      <c r="K268" s="150"/>
      <c r="L268" s="150"/>
      <c r="M268" s="150"/>
      <c r="N268" s="150"/>
      <c r="O268" s="150"/>
      <c r="P268" s="166"/>
      <c r="Q268" s="166"/>
      <c r="R268" s="166"/>
      <c r="S268" s="166"/>
      <c r="T268" s="166"/>
    </row>
    <row r="269" spans="2:20" ht="13.5" customHeight="1">
      <c r="B269" s="150"/>
      <c r="C269" s="150"/>
      <c r="D269" s="150"/>
      <c r="E269" s="150"/>
      <c r="F269" s="150"/>
      <c r="G269" s="150"/>
      <c r="H269" s="150"/>
      <c r="I269" s="150"/>
      <c r="J269" s="150"/>
      <c r="K269" s="150"/>
      <c r="L269" s="150"/>
      <c r="M269" s="150"/>
      <c r="N269" s="150"/>
      <c r="O269" s="150"/>
      <c r="P269" s="166"/>
      <c r="Q269" s="166"/>
      <c r="R269" s="166"/>
      <c r="S269" s="166"/>
      <c r="T269" s="166"/>
    </row>
    <row r="270" spans="2:20" ht="13.5" customHeight="1">
      <c r="B270" s="150"/>
      <c r="C270" s="150"/>
      <c r="D270" s="150"/>
      <c r="E270" s="150"/>
      <c r="F270" s="150"/>
      <c r="G270" s="150"/>
      <c r="H270" s="150"/>
      <c r="I270" s="150"/>
      <c r="J270" s="150"/>
      <c r="K270" s="150"/>
      <c r="L270" s="150"/>
      <c r="M270" s="150"/>
      <c r="N270" s="150"/>
      <c r="O270" s="150"/>
      <c r="P270" s="166"/>
      <c r="Q270" s="166"/>
      <c r="R270" s="166"/>
      <c r="S270" s="166"/>
      <c r="T270" s="166"/>
    </row>
    <row r="271" spans="2:20" ht="13.5" customHeight="1">
      <c r="B271" s="150"/>
      <c r="C271" s="150"/>
      <c r="D271" s="150"/>
      <c r="E271" s="150"/>
      <c r="F271" s="150"/>
      <c r="G271" s="150"/>
      <c r="H271" s="150"/>
      <c r="I271" s="150"/>
      <c r="J271" s="150"/>
      <c r="K271" s="150"/>
      <c r="L271" s="150"/>
      <c r="M271" s="150"/>
      <c r="N271" s="150"/>
      <c r="O271" s="150"/>
      <c r="P271" s="166"/>
      <c r="Q271" s="166"/>
      <c r="R271" s="166"/>
      <c r="S271" s="166"/>
      <c r="T271" s="166"/>
    </row>
    <row r="272" spans="2:20" ht="13.5" customHeight="1">
      <c r="B272" s="150"/>
      <c r="C272" s="150"/>
      <c r="D272" s="150"/>
      <c r="E272" s="150"/>
      <c r="F272" s="150"/>
      <c r="G272" s="150"/>
      <c r="H272" s="150"/>
      <c r="I272" s="150"/>
      <c r="J272" s="150"/>
      <c r="K272" s="150"/>
      <c r="L272" s="150"/>
      <c r="M272" s="150"/>
      <c r="N272" s="150"/>
      <c r="O272" s="150"/>
      <c r="P272" s="166"/>
      <c r="Q272" s="166"/>
      <c r="R272" s="166"/>
      <c r="S272" s="166"/>
      <c r="T272" s="166"/>
    </row>
    <row r="273" spans="2:20" ht="13.5" customHeight="1">
      <c r="B273" s="150"/>
      <c r="C273" s="150"/>
      <c r="D273" s="150"/>
      <c r="E273" s="150"/>
      <c r="F273" s="150"/>
      <c r="G273" s="150"/>
      <c r="H273" s="150"/>
      <c r="I273" s="150"/>
      <c r="J273" s="150"/>
      <c r="K273" s="150"/>
      <c r="L273" s="150"/>
      <c r="M273" s="150"/>
      <c r="N273" s="150"/>
      <c r="O273" s="150"/>
      <c r="P273" s="166"/>
      <c r="Q273" s="166"/>
      <c r="R273" s="166"/>
      <c r="S273" s="166"/>
      <c r="T273" s="166"/>
    </row>
    <row r="274" spans="2:20" ht="13.5" customHeight="1">
      <c r="B274" s="150"/>
      <c r="C274" s="150"/>
      <c r="D274" s="150"/>
      <c r="E274" s="150"/>
      <c r="F274" s="150"/>
      <c r="G274" s="150"/>
      <c r="H274" s="150"/>
      <c r="I274" s="150"/>
      <c r="J274" s="150"/>
      <c r="K274" s="150"/>
      <c r="L274" s="150"/>
      <c r="M274" s="150"/>
      <c r="N274" s="150"/>
      <c r="O274" s="150"/>
      <c r="P274" s="166"/>
      <c r="Q274" s="166"/>
      <c r="R274" s="166"/>
      <c r="S274" s="166"/>
      <c r="T274" s="166"/>
    </row>
    <row r="275" spans="2:20" ht="13.5" customHeight="1">
      <c r="B275" s="150"/>
      <c r="C275" s="150"/>
      <c r="D275" s="150"/>
      <c r="E275" s="150"/>
      <c r="F275" s="150"/>
      <c r="G275" s="150"/>
      <c r="H275" s="150"/>
      <c r="I275" s="150"/>
      <c r="J275" s="150"/>
      <c r="K275" s="150"/>
      <c r="L275" s="150"/>
      <c r="M275" s="150"/>
      <c r="N275" s="150"/>
      <c r="O275" s="150"/>
      <c r="P275" s="166"/>
      <c r="Q275" s="166"/>
      <c r="R275" s="166"/>
      <c r="S275" s="166"/>
      <c r="T275" s="166"/>
    </row>
    <row r="276" spans="2:20" ht="13.5" customHeight="1">
      <c r="B276" s="150"/>
      <c r="C276" s="150"/>
      <c r="D276" s="150"/>
      <c r="E276" s="150"/>
      <c r="F276" s="150"/>
      <c r="G276" s="150"/>
      <c r="H276" s="150"/>
      <c r="I276" s="150"/>
      <c r="J276" s="150"/>
      <c r="K276" s="150"/>
      <c r="L276" s="150"/>
      <c r="M276" s="150"/>
      <c r="N276" s="150"/>
      <c r="O276" s="150"/>
      <c r="P276" s="166"/>
      <c r="Q276" s="166"/>
      <c r="R276" s="166"/>
      <c r="S276" s="166"/>
      <c r="T276" s="166"/>
    </row>
    <row r="277" spans="2:20" ht="13.5" customHeight="1">
      <c r="B277" s="150"/>
      <c r="C277" s="150"/>
      <c r="D277" s="150"/>
      <c r="E277" s="150"/>
      <c r="F277" s="150"/>
      <c r="G277" s="150"/>
      <c r="H277" s="150"/>
      <c r="I277" s="150"/>
      <c r="J277" s="150"/>
      <c r="K277" s="150"/>
      <c r="L277" s="150"/>
      <c r="M277" s="150"/>
      <c r="N277" s="150"/>
      <c r="O277" s="150"/>
      <c r="P277" s="166"/>
      <c r="Q277" s="166"/>
      <c r="R277" s="166"/>
      <c r="S277" s="166"/>
      <c r="T277" s="166"/>
    </row>
    <row r="278" spans="2:20" ht="13.5" customHeight="1">
      <c r="B278" s="150"/>
      <c r="C278" s="150"/>
      <c r="D278" s="150"/>
      <c r="E278" s="150"/>
      <c r="F278" s="150"/>
      <c r="G278" s="150"/>
      <c r="H278" s="150"/>
      <c r="I278" s="150"/>
      <c r="J278" s="150"/>
      <c r="K278" s="150"/>
      <c r="L278" s="150"/>
      <c r="M278" s="150"/>
      <c r="N278" s="150"/>
      <c r="O278" s="150"/>
      <c r="P278" s="166"/>
      <c r="Q278" s="166"/>
      <c r="R278" s="166"/>
      <c r="S278" s="166"/>
      <c r="T278" s="166"/>
    </row>
    <row r="279" spans="2:20" ht="13.5" customHeight="1">
      <c r="B279" s="150"/>
      <c r="C279" s="150"/>
      <c r="D279" s="150"/>
      <c r="E279" s="150"/>
      <c r="F279" s="150"/>
      <c r="G279" s="150"/>
      <c r="H279" s="150"/>
      <c r="I279" s="150"/>
      <c r="J279" s="150"/>
      <c r="K279" s="150"/>
      <c r="L279" s="150"/>
      <c r="M279" s="150"/>
      <c r="N279" s="150"/>
      <c r="O279" s="150"/>
      <c r="P279" s="166"/>
      <c r="Q279" s="166"/>
      <c r="R279" s="166"/>
      <c r="S279" s="166"/>
      <c r="T279" s="166"/>
    </row>
    <row r="280" spans="2:20" ht="13.5" customHeight="1">
      <c r="B280" s="150"/>
      <c r="C280" s="150"/>
      <c r="D280" s="150"/>
      <c r="E280" s="150"/>
      <c r="F280" s="150"/>
      <c r="G280" s="150"/>
      <c r="H280" s="150"/>
      <c r="I280" s="150"/>
      <c r="J280" s="150"/>
      <c r="K280" s="150"/>
      <c r="L280" s="150"/>
      <c r="M280" s="150"/>
      <c r="N280" s="150"/>
      <c r="O280" s="150"/>
      <c r="P280" s="166"/>
      <c r="Q280" s="166"/>
      <c r="R280" s="166"/>
      <c r="S280" s="166"/>
      <c r="T280" s="166"/>
    </row>
    <row r="281" spans="2:20" ht="13.5" customHeight="1">
      <c r="B281" s="150"/>
      <c r="C281" s="150"/>
      <c r="D281" s="150"/>
      <c r="E281" s="150"/>
      <c r="F281" s="150"/>
      <c r="G281" s="150"/>
      <c r="H281" s="150"/>
      <c r="I281" s="150"/>
      <c r="J281" s="150"/>
      <c r="K281" s="150"/>
      <c r="L281" s="150"/>
      <c r="M281" s="150"/>
      <c r="N281" s="150"/>
      <c r="O281" s="150"/>
      <c r="P281" s="166"/>
      <c r="Q281" s="166"/>
      <c r="R281" s="166"/>
      <c r="S281" s="166"/>
      <c r="T281" s="166"/>
    </row>
    <row r="282" spans="2:20" ht="13.5" customHeight="1">
      <c r="B282" s="150"/>
      <c r="C282" s="150"/>
      <c r="D282" s="150"/>
      <c r="E282" s="150"/>
      <c r="F282" s="150"/>
      <c r="G282" s="150"/>
      <c r="H282" s="150"/>
      <c r="I282" s="150"/>
      <c r="J282" s="150"/>
      <c r="K282" s="150"/>
      <c r="L282" s="150"/>
      <c r="M282" s="150"/>
      <c r="N282" s="150"/>
      <c r="O282" s="150"/>
      <c r="P282" s="166"/>
      <c r="Q282" s="166"/>
      <c r="R282" s="166"/>
      <c r="S282" s="166"/>
      <c r="T282" s="166"/>
    </row>
    <row r="283" spans="2:20" ht="13.5" customHeight="1">
      <c r="B283" s="150"/>
      <c r="C283" s="150"/>
      <c r="D283" s="150"/>
      <c r="E283" s="150"/>
      <c r="F283" s="150"/>
      <c r="G283" s="150"/>
      <c r="H283" s="150"/>
      <c r="I283" s="150"/>
      <c r="J283" s="150"/>
      <c r="K283" s="150"/>
      <c r="L283" s="150"/>
      <c r="M283" s="150"/>
      <c r="N283" s="150"/>
      <c r="O283" s="150"/>
      <c r="P283" s="166"/>
      <c r="Q283" s="166"/>
      <c r="R283" s="166"/>
      <c r="S283" s="166"/>
      <c r="T283" s="166"/>
    </row>
    <row r="284" spans="2:20" ht="13.5" customHeight="1">
      <c r="B284" s="150"/>
      <c r="C284" s="150"/>
      <c r="D284" s="150"/>
      <c r="E284" s="150"/>
      <c r="F284" s="150"/>
      <c r="G284" s="150"/>
      <c r="H284" s="150"/>
      <c r="I284" s="150"/>
      <c r="J284" s="150"/>
      <c r="K284" s="150"/>
      <c r="L284" s="150"/>
      <c r="M284" s="150"/>
      <c r="N284" s="150"/>
      <c r="O284" s="150"/>
      <c r="P284" s="166"/>
      <c r="Q284" s="166"/>
      <c r="R284" s="166"/>
      <c r="S284" s="166"/>
      <c r="T284" s="166"/>
    </row>
    <row r="285" spans="2:20" ht="13.5" customHeight="1">
      <c r="B285" s="150"/>
      <c r="C285" s="150"/>
      <c r="D285" s="150"/>
      <c r="E285" s="150"/>
      <c r="F285" s="150"/>
      <c r="G285" s="150"/>
      <c r="H285" s="150"/>
      <c r="I285" s="150"/>
      <c r="J285" s="150"/>
      <c r="K285" s="150"/>
      <c r="L285" s="150"/>
      <c r="M285" s="150"/>
      <c r="N285" s="150"/>
      <c r="O285" s="150"/>
      <c r="P285" s="166"/>
      <c r="Q285" s="166"/>
      <c r="R285" s="166"/>
      <c r="S285" s="166"/>
      <c r="T285" s="166"/>
    </row>
    <row r="286" spans="2:20" ht="13.5" customHeight="1">
      <c r="B286" s="150"/>
      <c r="C286" s="150"/>
      <c r="D286" s="150"/>
      <c r="E286" s="150"/>
      <c r="F286" s="150"/>
      <c r="G286" s="150"/>
      <c r="H286" s="150"/>
      <c r="I286" s="150"/>
      <c r="J286" s="150"/>
      <c r="K286" s="150"/>
      <c r="L286" s="150"/>
      <c r="M286" s="150"/>
      <c r="N286" s="150"/>
      <c r="O286" s="150"/>
      <c r="P286" s="166"/>
      <c r="Q286" s="166"/>
      <c r="R286" s="166"/>
      <c r="S286" s="166"/>
      <c r="T286" s="166"/>
    </row>
    <row r="287" spans="2:20" ht="13.5" customHeight="1">
      <c r="B287" s="150"/>
      <c r="C287" s="150"/>
      <c r="D287" s="150"/>
      <c r="E287" s="150"/>
      <c r="F287" s="150"/>
      <c r="G287" s="150"/>
      <c r="H287" s="150"/>
      <c r="I287" s="150"/>
      <c r="J287" s="150"/>
      <c r="K287" s="150"/>
      <c r="L287" s="150"/>
      <c r="M287" s="150"/>
      <c r="N287" s="150"/>
      <c r="O287" s="150"/>
      <c r="P287" s="166"/>
      <c r="Q287" s="166"/>
      <c r="R287" s="166"/>
      <c r="S287" s="166"/>
      <c r="T287" s="166"/>
    </row>
    <row r="288" spans="2:20" ht="13.5" customHeight="1">
      <c r="B288" s="150"/>
      <c r="C288" s="150"/>
      <c r="D288" s="150"/>
      <c r="E288" s="150"/>
      <c r="F288" s="150"/>
      <c r="G288" s="150"/>
      <c r="H288" s="150"/>
      <c r="I288" s="150"/>
      <c r="J288" s="150"/>
      <c r="K288" s="150"/>
      <c r="L288" s="150"/>
      <c r="M288" s="150"/>
      <c r="N288" s="150"/>
      <c r="O288" s="150"/>
      <c r="P288" s="166"/>
      <c r="Q288" s="166"/>
      <c r="R288" s="166"/>
      <c r="S288" s="166"/>
      <c r="T288" s="166"/>
    </row>
    <row r="289" spans="2:20" ht="13.5" customHeight="1">
      <c r="B289" s="150"/>
      <c r="C289" s="150"/>
      <c r="D289" s="150"/>
      <c r="E289" s="150"/>
      <c r="F289" s="150"/>
      <c r="G289" s="150"/>
      <c r="H289" s="150"/>
      <c r="I289" s="150"/>
      <c r="J289" s="150"/>
      <c r="K289" s="150"/>
      <c r="L289" s="150"/>
      <c r="M289" s="150"/>
      <c r="N289" s="150"/>
      <c r="O289" s="150"/>
      <c r="P289" s="166"/>
      <c r="Q289" s="166"/>
      <c r="R289" s="166"/>
      <c r="S289" s="166"/>
      <c r="T289" s="166"/>
    </row>
    <row r="290" spans="2:20" ht="13.5" customHeight="1">
      <c r="B290" s="150"/>
      <c r="C290" s="150"/>
      <c r="D290" s="150"/>
      <c r="E290" s="150"/>
      <c r="F290" s="150"/>
      <c r="G290" s="150"/>
      <c r="H290" s="150"/>
      <c r="I290" s="150"/>
      <c r="J290" s="150"/>
      <c r="K290" s="150"/>
      <c r="L290" s="150"/>
      <c r="M290" s="150"/>
      <c r="N290" s="150"/>
      <c r="O290" s="150"/>
      <c r="P290" s="166"/>
      <c r="Q290" s="166"/>
      <c r="R290" s="166"/>
      <c r="S290" s="166"/>
      <c r="T290" s="166"/>
    </row>
    <row r="291" spans="2:20" ht="13.5" customHeight="1">
      <c r="B291" s="150"/>
      <c r="C291" s="150"/>
      <c r="D291" s="150"/>
      <c r="E291" s="150"/>
      <c r="F291" s="150"/>
      <c r="G291" s="150"/>
      <c r="H291" s="150"/>
      <c r="I291" s="150"/>
      <c r="J291" s="150"/>
      <c r="K291" s="150"/>
      <c r="L291" s="150"/>
      <c r="M291" s="150"/>
      <c r="N291" s="150"/>
      <c r="O291" s="150"/>
      <c r="P291" s="166"/>
      <c r="Q291" s="166"/>
      <c r="R291" s="166"/>
      <c r="S291" s="166"/>
      <c r="T291" s="166"/>
    </row>
    <row r="292" spans="2:20" ht="13.5" customHeight="1">
      <c r="B292" s="150"/>
      <c r="C292" s="150"/>
      <c r="D292" s="150"/>
      <c r="E292" s="150"/>
      <c r="F292" s="150"/>
      <c r="G292" s="150"/>
      <c r="H292" s="150"/>
      <c r="I292" s="150"/>
      <c r="J292" s="150"/>
      <c r="K292" s="150"/>
      <c r="L292" s="150"/>
      <c r="M292" s="150"/>
      <c r="N292" s="150"/>
      <c r="O292" s="150"/>
      <c r="P292" s="166"/>
      <c r="Q292" s="166"/>
      <c r="R292" s="166"/>
      <c r="S292" s="166"/>
      <c r="T292" s="166"/>
    </row>
    <row r="293" spans="2:20" ht="13.5" customHeight="1">
      <c r="B293" s="150"/>
      <c r="C293" s="150"/>
      <c r="D293" s="150"/>
      <c r="E293" s="150"/>
      <c r="F293" s="150"/>
      <c r="G293" s="150"/>
      <c r="H293" s="150"/>
      <c r="I293" s="150"/>
      <c r="J293" s="150"/>
      <c r="K293" s="150"/>
      <c r="L293" s="150"/>
      <c r="M293" s="150"/>
      <c r="N293" s="150"/>
      <c r="O293" s="150"/>
      <c r="P293" s="166"/>
      <c r="Q293" s="166"/>
      <c r="R293" s="166"/>
      <c r="S293" s="166"/>
      <c r="T293" s="166"/>
    </row>
    <row r="294" spans="2:20" ht="13.5" customHeight="1">
      <c r="B294" s="150"/>
      <c r="C294" s="150"/>
      <c r="D294" s="150"/>
      <c r="E294" s="150"/>
      <c r="F294" s="150"/>
      <c r="G294" s="150"/>
      <c r="H294" s="150"/>
      <c r="I294" s="150"/>
      <c r="J294" s="150"/>
      <c r="K294" s="150"/>
      <c r="L294" s="150"/>
      <c r="M294" s="150"/>
      <c r="N294" s="150"/>
      <c r="O294" s="150"/>
      <c r="P294" s="166"/>
      <c r="Q294" s="166"/>
      <c r="R294" s="166"/>
      <c r="S294" s="166"/>
      <c r="T294" s="166"/>
    </row>
    <row r="295" spans="2:20" ht="13.5" customHeight="1">
      <c r="B295" s="150"/>
      <c r="C295" s="150"/>
      <c r="D295" s="150"/>
      <c r="E295" s="150"/>
      <c r="F295" s="150"/>
      <c r="G295" s="150"/>
      <c r="H295" s="150"/>
      <c r="I295" s="150"/>
      <c r="J295" s="150"/>
      <c r="K295" s="150"/>
      <c r="L295" s="150"/>
      <c r="M295" s="150"/>
      <c r="N295" s="150"/>
      <c r="O295" s="150"/>
      <c r="P295" s="166"/>
      <c r="Q295" s="166"/>
      <c r="R295" s="166"/>
      <c r="S295" s="166"/>
      <c r="T295" s="166"/>
    </row>
    <row r="296" spans="2:20" ht="13.5" customHeight="1">
      <c r="B296" s="150"/>
      <c r="C296" s="150"/>
      <c r="D296" s="150"/>
      <c r="E296" s="150"/>
      <c r="F296" s="150"/>
      <c r="G296" s="150"/>
      <c r="H296" s="150"/>
      <c r="I296" s="150"/>
      <c r="J296" s="150"/>
      <c r="K296" s="150"/>
      <c r="L296" s="150"/>
      <c r="M296" s="150"/>
      <c r="N296" s="150"/>
      <c r="O296" s="150"/>
      <c r="P296" s="166"/>
      <c r="Q296" s="166"/>
      <c r="R296" s="166"/>
      <c r="S296" s="166"/>
      <c r="T296" s="166"/>
    </row>
    <row r="297" spans="2:20" ht="13.5" customHeight="1">
      <c r="B297" s="150"/>
      <c r="C297" s="150"/>
      <c r="D297" s="150"/>
      <c r="E297" s="150"/>
      <c r="F297" s="150"/>
      <c r="G297" s="150"/>
      <c r="H297" s="150"/>
      <c r="I297" s="150"/>
      <c r="J297" s="150"/>
      <c r="K297" s="150"/>
      <c r="L297" s="150"/>
      <c r="M297" s="150"/>
      <c r="N297" s="150"/>
      <c r="O297" s="150"/>
      <c r="P297" s="166"/>
      <c r="Q297" s="166"/>
      <c r="R297" s="166"/>
      <c r="S297" s="166"/>
      <c r="T297" s="166"/>
    </row>
    <row r="298" spans="2:20" ht="13.5" customHeight="1">
      <c r="B298" s="150"/>
      <c r="C298" s="150"/>
      <c r="D298" s="150"/>
      <c r="E298" s="150"/>
      <c r="F298" s="150"/>
      <c r="G298" s="150"/>
      <c r="H298" s="150"/>
      <c r="I298" s="150"/>
      <c r="J298" s="150"/>
      <c r="K298" s="150"/>
      <c r="L298" s="150"/>
      <c r="M298" s="150"/>
      <c r="N298" s="150"/>
      <c r="O298" s="150"/>
      <c r="P298" s="166"/>
      <c r="Q298" s="166"/>
      <c r="R298" s="166"/>
      <c r="S298" s="166"/>
      <c r="T298" s="166"/>
    </row>
    <row r="299" spans="2:20" ht="13.5" customHeight="1">
      <c r="B299" s="150"/>
      <c r="C299" s="150"/>
      <c r="D299" s="150"/>
      <c r="E299" s="150"/>
      <c r="F299" s="150"/>
      <c r="G299" s="150"/>
      <c r="H299" s="150"/>
      <c r="I299" s="150"/>
      <c r="J299" s="150"/>
      <c r="K299" s="150"/>
      <c r="L299" s="150"/>
      <c r="M299" s="150"/>
      <c r="N299" s="150"/>
      <c r="O299" s="150"/>
      <c r="P299" s="166"/>
      <c r="Q299" s="166"/>
      <c r="R299" s="166"/>
      <c r="S299" s="166"/>
      <c r="T299" s="166"/>
    </row>
    <row r="300" spans="2:20" ht="13.5" customHeight="1">
      <c r="B300" s="150"/>
      <c r="C300" s="150"/>
      <c r="D300" s="150"/>
      <c r="E300" s="150"/>
      <c r="F300" s="150"/>
      <c r="G300" s="150"/>
      <c r="H300" s="150"/>
      <c r="I300" s="150"/>
      <c r="J300" s="150"/>
      <c r="K300" s="150"/>
      <c r="L300" s="150"/>
      <c r="M300" s="150"/>
      <c r="N300" s="150"/>
      <c r="O300" s="150"/>
      <c r="P300" s="166"/>
      <c r="Q300" s="166"/>
      <c r="R300" s="166"/>
      <c r="S300" s="166"/>
      <c r="T300" s="166"/>
    </row>
    <row r="301" spans="2:20" ht="13.5" customHeight="1">
      <c r="B301" s="150"/>
      <c r="C301" s="150"/>
      <c r="D301" s="150"/>
      <c r="E301" s="150"/>
      <c r="F301" s="150"/>
      <c r="G301" s="150"/>
      <c r="H301" s="150"/>
      <c r="I301" s="150"/>
      <c r="J301" s="150"/>
      <c r="K301" s="150"/>
      <c r="L301" s="150"/>
      <c r="M301" s="150"/>
      <c r="N301" s="150"/>
      <c r="O301" s="150"/>
      <c r="P301" s="166"/>
      <c r="Q301" s="166"/>
      <c r="R301" s="166"/>
      <c r="S301" s="166"/>
      <c r="T301" s="166"/>
    </row>
    <row r="302" spans="2:20" ht="13.5" customHeight="1">
      <c r="B302" s="150"/>
      <c r="C302" s="150"/>
      <c r="D302" s="150"/>
      <c r="E302" s="150"/>
      <c r="F302" s="150"/>
      <c r="G302" s="150"/>
      <c r="H302" s="150"/>
      <c r="I302" s="150"/>
      <c r="J302" s="150"/>
      <c r="K302" s="150"/>
      <c r="L302" s="150"/>
      <c r="M302" s="150"/>
      <c r="N302" s="150"/>
      <c r="O302" s="150"/>
      <c r="P302" s="166"/>
      <c r="Q302" s="166"/>
      <c r="R302" s="166"/>
      <c r="S302" s="166"/>
      <c r="T302" s="166"/>
    </row>
    <row r="303" spans="2:20" ht="13.5" customHeight="1">
      <c r="B303" s="150"/>
      <c r="C303" s="150"/>
      <c r="D303" s="150"/>
      <c r="E303" s="150"/>
      <c r="F303" s="150"/>
      <c r="G303" s="150"/>
      <c r="H303" s="150"/>
      <c r="I303" s="150"/>
      <c r="J303" s="150"/>
      <c r="K303" s="150"/>
      <c r="L303" s="150"/>
      <c r="M303" s="150"/>
      <c r="N303" s="150"/>
      <c r="O303" s="150"/>
      <c r="P303" s="166"/>
      <c r="Q303" s="166"/>
      <c r="R303" s="166"/>
      <c r="S303" s="166"/>
      <c r="T303" s="166"/>
    </row>
    <row r="304" spans="2:20" ht="13.5" customHeight="1">
      <c r="B304" s="150"/>
      <c r="C304" s="150"/>
      <c r="D304" s="150"/>
      <c r="E304" s="150"/>
      <c r="F304" s="150"/>
      <c r="G304" s="150"/>
      <c r="H304" s="150"/>
      <c r="I304" s="150"/>
      <c r="J304" s="150"/>
      <c r="K304" s="150"/>
      <c r="L304" s="150"/>
      <c r="M304" s="150"/>
      <c r="N304" s="150"/>
      <c r="O304" s="150"/>
      <c r="P304" s="166"/>
      <c r="Q304" s="166"/>
      <c r="R304" s="166"/>
      <c r="S304" s="166"/>
      <c r="T304" s="166"/>
    </row>
    <row r="305" spans="2:20" ht="13.5" customHeight="1">
      <c r="B305" s="150"/>
      <c r="C305" s="150"/>
      <c r="D305" s="150"/>
      <c r="E305" s="150"/>
      <c r="F305" s="150"/>
      <c r="G305" s="150"/>
      <c r="H305" s="150"/>
      <c r="I305" s="150"/>
      <c r="J305" s="150"/>
      <c r="K305" s="150"/>
      <c r="L305" s="150"/>
      <c r="M305" s="150"/>
      <c r="N305" s="150"/>
      <c r="O305" s="150"/>
      <c r="P305" s="166"/>
      <c r="Q305" s="166"/>
      <c r="R305" s="166"/>
      <c r="S305" s="166"/>
      <c r="T305" s="166"/>
    </row>
    <row r="306" spans="2:20" ht="13.5" customHeight="1">
      <c r="B306" s="150"/>
      <c r="C306" s="150"/>
      <c r="D306" s="150"/>
      <c r="E306" s="150"/>
      <c r="F306" s="150"/>
      <c r="G306" s="150"/>
      <c r="H306" s="150"/>
      <c r="I306" s="150"/>
      <c r="J306" s="150"/>
      <c r="K306" s="150"/>
      <c r="L306" s="150"/>
      <c r="M306" s="150"/>
      <c r="N306" s="150"/>
      <c r="O306" s="150"/>
      <c r="P306" s="166"/>
      <c r="Q306" s="166"/>
      <c r="R306" s="166"/>
      <c r="S306" s="166"/>
      <c r="T306" s="166"/>
    </row>
    <row r="307" spans="2:20" ht="13.5" customHeight="1">
      <c r="B307" s="150"/>
      <c r="C307" s="150"/>
      <c r="D307" s="150"/>
      <c r="E307" s="150"/>
      <c r="F307" s="150"/>
      <c r="G307" s="150"/>
      <c r="H307" s="150"/>
      <c r="I307" s="150"/>
      <c r="J307" s="150"/>
      <c r="K307" s="150"/>
      <c r="L307" s="150"/>
      <c r="M307" s="150"/>
      <c r="N307" s="150"/>
      <c r="O307" s="150"/>
      <c r="P307" s="166"/>
      <c r="Q307" s="166"/>
      <c r="R307" s="166"/>
      <c r="S307" s="166"/>
      <c r="T307" s="166"/>
    </row>
    <row r="308" spans="2:20" ht="13.5" customHeight="1">
      <c r="B308" s="150"/>
      <c r="C308" s="150"/>
      <c r="D308" s="150"/>
      <c r="E308" s="150"/>
      <c r="F308" s="150"/>
      <c r="G308" s="150"/>
      <c r="H308" s="150"/>
      <c r="I308" s="150"/>
      <c r="J308" s="150"/>
      <c r="K308" s="150"/>
      <c r="L308" s="150"/>
      <c r="M308" s="150"/>
      <c r="N308" s="150"/>
      <c r="O308" s="150"/>
      <c r="P308" s="166"/>
      <c r="Q308" s="166"/>
      <c r="R308" s="166"/>
      <c r="S308" s="166"/>
      <c r="T308" s="166"/>
    </row>
    <row r="309" spans="2:20" ht="13.5" customHeight="1">
      <c r="B309" s="150"/>
      <c r="C309" s="150"/>
      <c r="D309" s="150"/>
      <c r="E309" s="150"/>
      <c r="F309" s="150"/>
      <c r="G309" s="150"/>
      <c r="H309" s="150"/>
      <c r="I309" s="150"/>
      <c r="J309" s="150"/>
      <c r="K309" s="150"/>
      <c r="L309" s="150"/>
      <c r="M309" s="150"/>
      <c r="N309" s="150"/>
      <c r="O309" s="150"/>
      <c r="P309" s="166"/>
      <c r="Q309" s="166"/>
      <c r="R309" s="166"/>
      <c r="S309" s="166"/>
      <c r="T309" s="166"/>
    </row>
    <row r="310" spans="2:20" ht="13.5" customHeight="1">
      <c r="B310" s="150"/>
      <c r="C310" s="150"/>
      <c r="D310" s="150"/>
      <c r="E310" s="150"/>
      <c r="F310" s="150"/>
      <c r="G310" s="150"/>
      <c r="H310" s="150"/>
      <c r="I310" s="150"/>
      <c r="J310" s="150"/>
      <c r="K310" s="150"/>
      <c r="L310" s="150"/>
      <c r="M310" s="150"/>
      <c r="N310" s="150"/>
      <c r="O310" s="150"/>
      <c r="P310" s="166"/>
      <c r="Q310" s="166"/>
      <c r="R310" s="166"/>
      <c r="S310" s="166"/>
      <c r="T310" s="166"/>
    </row>
    <row r="311" spans="2:20" ht="13.5" customHeight="1">
      <c r="B311" s="150"/>
      <c r="C311" s="150"/>
      <c r="D311" s="150"/>
      <c r="E311" s="150"/>
      <c r="F311" s="150"/>
      <c r="G311" s="150"/>
      <c r="H311" s="150"/>
      <c r="I311" s="150"/>
      <c r="J311" s="150"/>
      <c r="K311" s="150"/>
      <c r="L311" s="150"/>
      <c r="M311" s="150"/>
      <c r="N311" s="150"/>
      <c r="O311" s="150"/>
      <c r="P311" s="166"/>
      <c r="Q311" s="166"/>
      <c r="R311" s="166"/>
      <c r="S311" s="166"/>
      <c r="T311" s="166"/>
    </row>
    <row r="312" spans="2:20" ht="13.5" customHeight="1">
      <c r="B312" s="150"/>
      <c r="C312" s="150"/>
      <c r="D312" s="150"/>
      <c r="E312" s="150"/>
      <c r="F312" s="150"/>
      <c r="G312" s="150"/>
      <c r="H312" s="150"/>
      <c r="I312" s="150"/>
      <c r="J312" s="150"/>
      <c r="K312" s="150"/>
      <c r="L312" s="150"/>
      <c r="M312" s="150"/>
      <c r="N312" s="150"/>
      <c r="O312" s="150"/>
      <c r="P312" s="166"/>
      <c r="Q312" s="166"/>
      <c r="R312" s="166"/>
      <c r="S312" s="166"/>
      <c r="T312" s="166"/>
    </row>
    <row r="313" spans="2:20" ht="13.5" customHeight="1">
      <c r="B313" s="150"/>
      <c r="C313" s="150"/>
      <c r="D313" s="150"/>
      <c r="E313" s="150"/>
      <c r="F313" s="150"/>
      <c r="G313" s="150"/>
      <c r="H313" s="150"/>
      <c r="I313" s="150"/>
      <c r="J313" s="150"/>
      <c r="K313" s="150"/>
      <c r="L313" s="150"/>
      <c r="M313" s="150"/>
      <c r="N313" s="150"/>
      <c r="O313" s="150"/>
      <c r="P313" s="166"/>
      <c r="Q313" s="166"/>
      <c r="R313" s="166"/>
      <c r="S313" s="166"/>
      <c r="T313" s="166"/>
    </row>
    <row r="314" spans="2:20" ht="13.5" customHeight="1">
      <c r="B314" s="150"/>
      <c r="C314" s="150"/>
      <c r="D314" s="150"/>
      <c r="E314" s="150"/>
      <c r="F314" s="150"/>
      <c r="G314" s="150"/>
      <c r="H314" s="150"/>
      <c r="I314" s="150"/>
      <c r="J314" s="150"/>
      <c r="K314" s="150"/>
      <c r="L314" s="150"/>
      <c r="M314" s="150"/>
      <c r="N314" s="150"/>
      <c r="O314" s="150"/>
      <c r="P314" s="166"/>
      <c r="Q314" s="166"/>
      <c r="R314" s="166"/>
      <c r="S314" s="166"/>
      <c r="T314" s="166"/>
    </row>
    <row r="315" spans="2:20" ht="13.5" customHeight="1">
      <c r="B315" s="150"/>
      <c r="C315" s="150"/>
      <c r="D315" s="150"/>
      <c r="E315" s="150"/>
      <c r="F315" s="150"/>
      <c r="G315" s="150"/>
      <c r="H315" s="150"/>
      <c r="I315" s="150"/>
      <c r="J315" s="150"/>
      <c r="K315" s="150"/>
      <c r="L315" s="150"/>
      <c r="M315" s="150"/>
      <c r="N315" s="150"/>
      <c r="O315" s="150"/>
      <c r="P315" s="166"/>
      <c r="Q315" s="166"/>
      <c r="R315" s="166"/>
      <c r="S315" s="166"/>
      <c r="T315" s="166"/>
    </row>
    <row r="316" spans="2:20" ht="13.5" customHeight="1">
      <c r="B316" s="150"/>
      <c r="C316" s="150"/>
      <c r="D316" s="150"/>
      <c r="E316" s="150"/>
      <c r="F316" s="150"/>
      <c r="G316" s="150"/>
      <c r="H316" s="150"/>
      <c r="I316" s="150"/>
      <c r="J316" s="150"/>
      <c r="K316" s="150"/>
      <c r="L316" s="150"/>
      <c r="M316" s="150"/>
      <c r="N316" s="150"/>
      <c r="O316" s="150"/>
      <c r="P316" s="166"/>
      <c r="Q316" s="166"/>
      <c r="R316" s="166"/>
      <c r="S316" s="166"/>
      <c r="T316" s="166"/>
    </row>
    <row r="317" spans="2:20" ht="13.5" customHeight="1">
      <c r="B317" s="150"/>
      <c r="C317" s="150"/>
      <c r="D317" s="150"/>
      <c r="E317" s="150"/>
      <c r="F317" s="150"/>
      <c r="G317" s="150"/>
      <c r="H317" s="150"/>
      <c r="I317" s="150"/>
      <c r="J317" s="150"/>
      <c r="K317" s="150"/>
      <c r="L317" s="150"/>
      <c r="M317" s="150"/>
      <c r="N317" s="150"/>
      <c r="O317" s="150"/>
      <c r="P317" s="166"/>
      <c r="Q317" s="166"/>
      <c r="R317" s="166"/>
      <c r="S317" s="166"/>
      <c r="T317" s="166"/>
    </row>
    <row r="318" spans="2:20" ht="13.5" customHeight="1">
      <c r="B318" s="150"/>
      <c r="C318" s="150"/>
      <c r="D318" s="150"/>
      <c r="E318" s="150"/>
      <c r="F318" s="150"/>
      <c r="G318" s="150"/>
      <c r="H318" s="150"/>
      <c r="I318" s="150"/>
      <c r="J318" s="150"/>
      <c r="K318" s="150"/>
      <c r="L318" s="150"/>
      <c r="M318" s="150"/>
      <c r="N318" s="150"/>
      <c r="O318" s="150"/>
      <c r="P318" s="166"/>
      <c r="Q318" s="166"/>
      <c r="R318" s="166"/>
      <c r="S318" s="166"/>
      <c r="T318" s="166"/>
    </row>
    <row r="319" spans="2:20" ht="13.5" customHeight="1">
      <c r="B319" s="150"/>
      <c r="C319" s="150"/>
      <c r="D319" s="150"/>
      <c r="E319" s="150"/>
      <c r="F319" s="150"/>
      <c r="G319" s="150"/>
      <c r="H319" s="150"/>
      <c r="I319" s="150"/>
      <c r="J319" s="150"/>
      <c r="K319" s="150"/>
      <c r="L319" s="150"/>
      <c r="M319" s="150"/>
      <c r="N319" s="150"/>
      <c r="O319" s="150"/>
      <c r="P319" s="166"/>
      <c r="Q319" s="166"/>
      <c r="R319" s="166"/>
      <c r="S319" s="166"/>
      <c r="T319" s="166"/>
    </row>
    <row r="320" spans="2:20" ht="13.5" customHeight="1">
      <c r="B320" s="150"/>
      <c r="C320" s="150"/>
      <c r="D320" s="150"/>
      <c r="E320" s="150"/>
      <c r="F320" s="150"/>
      <c r="G320" s="150"/>
      <c r="H320" s="150"/>
      <c r="I320" s="150"/>
      <c r="J320" s="150"/>
      <c r="K320" s="150"/>
      <c r="L320" s="150"/>
      <c r="M320" s="150"/>
      <c r="N320" s="150"/>
      <c r="O320" s="150"/>
      <c r="P320" s="166"/>
      <c r="Q320" s="166"/>
      <c r="R320" s="166"/>
      <c r="S320" s="166"/>
      <c r="T320" s="166"/>
    </row>
    <row r="321" spans="2:20" ht="13.5" customHeight="1">
      <c r="B321" s="150"/>
      <c r="C321" s="150"/>
      <c r="D321" s="150"/>
      <c r="E321" s="150"/>
      <c r="F321" s="150"/>
      <c r="G321" s="150"/>
      <c r="H321" s="150"/>
      <c r="I321" s="150"/>
      <c r="J321" s="150"/>
      <c r="K321" s="150"/>
      <c r="L321" s="150"/>
      <c r="M321" s="150"/>
      <c r="N321" s="150"/>
      <c r="O321" s="150"/>
      <c r="P321" s="166"/>
      <c r="Q321" s="166"/>
      <c r="R321" s="166"/>
      <c r="S321" s="166"/>
      <c r="T321" s="166"/>
    </row>
    <row r="322" spans="2:20" ht="13.5" customHeight="1">
      <c r="B322" s="150"/>
      <c r="C322" s="150"/>
      <c r="D322" s="150"/>
      <c r="E322" s="150"/>
      <c r="F322" s="150"/>
      <c r="G322" s="150"/>
      <c r="H322" s="150"/>
      <c r="I322" s="150"/>
      <c r="J322" s="150"/>
      <c r="K322" s="150"/>
      <c r="L322" s="150"/>
      <c r="M322" s="150"/>
      <c r="N322" s="150"/>
      <c r="O322" s="150"/>
      <c r="P322" s="166"/>
      <c r="Q322" s="166"/>
      <c r="R322" s="166"/>
      <c r="S322" s="166"/>
      <c r="T322" s="166"/>
    </row>
    <row r="323" spans="2:20" ht="13.5" customHeight="1">
      <c r="B323" s="150"/>
      <c r="C323" s="150"/>
      <c r="D323" s="150"/>
      <c r="E323" s="150"/>
      <c r="F323" s="150"/>
      <c r="G323" s="150"/>
      <c r="H323" s="150"/>
      <c r="I323" s="150"/>
      <c r="J323" s="150"/>
      <c r="K323" s="150"/>
      <c r="L323" s="150"/>
      <c r="M323" s="150"/>
      <c r="N323" s="150"/>
      <c r="O323" s="150"/>
      <c r="P323" s="166"/>
      <c r="Q323" s="166"/>
      <c r="R323" s="166"/>
      <c r="S323" s="166"/>
      <c r="T323" s="166"/>
    </row>
    <row r="324" spans="2:20" ht="13.5" customHeight="1">
      <c r="B324" s="150"/>
      <c r="C324" s="150"/>
      <c r="D324" s="150"/>
      <c r="E324" s="150"/>
      <c r="F324" s="150"/>
      <c r="G324" s="150"/>
      <c r="H324" s="150"/>
      <c r="I324" s="150"/>
      <c r="J324" s="150"/>
      <c r="K324" s="150"/>
      <c r="L324" s="150"/>
      <c r="M324" s="150"/>
      <c r="N324" s="150"/>
      <c r="O324" s="150"/>
      <c r="P324" s="166"/>
      <c r="Q324" s="166"/>
      <c r="R324" s="166"/>
      <c r="S324" s="166"/>
      <c r="T324" s="166"/>
    </row>
    <row r="325" spans="2:20" ht="13.5" customHeight="1">
      <c r="B325" s="150"/>
      <c r="C325" s="150"/>
      <c r="D325" s="150"/>
      <c r="E325" s="150"/>
      <c r="F325" s="150"/>
      <c r="G325" s="150"/>
      <c r="H325" s="150"/>
      <c r="I325" s="150"/>
      <c r="J325" s="150"/>
      <c r="K325" s="150"/>
      <c r="L325" s="150"/>
      <c r="M325" s="150"/>
      <c r="N325" s="150"/>
      <c r="O325" s="150"/>
      <c r="P325" s="166"/>
      <c r="Q325" s="166"/>
      <c r="R325" s="166"/>
      <c r="S325" s="166"/>
      <c r="T325" s="166"/>
    </row>
    <row r="326" spans="2:20" ht="13.5" customHeight="1">
      <c r="B326" s="150"/>
      <c r="C326" s="150"/>
      <c r="D326" s="150"/>
      <c r="E326" s="150"/>
      <c r="F326" s="150"/>
      <c r="G326" s="150"/>
      <c r="H326" s="150"/>
      <c r="I326" s="150"/>
      <c r="J326" s="150"/>
      <c r="K326" s="150"/>
      <c r="L326" s="150"/>
      <c r="M326" s="150"/>
      <c r="N326" s="150"/>
      <c r="O326" s="150"/>
      <c r="P326" s="166"/>
      <c r="Q326" s="166"/>
      <c r="R326" s="166"/>
      <c r="S326" s="166"/>
      <c r="T326" s="166"/>
    </row>
    <row r="327" spans="2:20" ht="13.5" customHeight="1">
      <c r="B327" s="150"/>
      <c r="C327" s="150"/>
      <c r="D327" s="150"/>
      <c r="E327" s="150"/>
      <c r="F327" s="150"/>
      <c r="G327" s="150"/>
      <c r="H327" s="150"/>
      <c r="I327" s="150"/>
      <c r="J327" s="150"/>
      <c r="K327" s="150"/>
      <c r="L327" s="150"/>
      <c r="M327" s="150"/>
      <c r="N327" s="150"/>
      <c r="O327" s="150"/>
      <c r="P327" s="166"/>
      <c r="Q327" s="166"/>
      <c r="R327" s="166"/>
      <c r="S327" s="166"/>
      <c r="T327" s="166"/>
    </row>
    <row r="328" spans="2:20" ht="13.5" customHeight="1">
      <c r="B328" s="150"/>
      <c r="C328" s="150"/>
      <c r="D328" s="150"/>
      <c r="E328" s="150"/>
      <c r="F328" s="150"/>
      <c r="G328" s="150"/>
      <c r="H328" s="150"/>
      <c r="I328" s="150"/>
      <c r="J328" s="150"/>
      <c r="K328" s="150"/>
      <c r="L328" s="150"/>
      <c r="M328" s="150"/>
      <c r="N328" s="150"/>
      <c r="O328" s="150"/>
      <c r="P328" s="166"/>
      <c r="Q328" s="166"/>
      <c r="R328" s="166"/>
      <c r="S328" s="166"/>
      <c r="T328" s="166"/>
    </row>
    <row r="329" spans="2:20" ht="13.5" customHeight="1">
      <c r="B329" s="150"/>
      <c r="C329" s="150"/>
      <c r="D329" s="150"/>
      <c r="E329" s="150"/>
      <c r="F329" s="150"/>
      <c r="G329" s="150"/>
      <c r="H329" s="150"/>
      <c r="I329" s="150"/>
      <c r="J329" s="150"/>
      <c r="K329" s="150"/>
      <c r="L329" s="150"/>
      <c r="M329" s="150"/>
      <c r="N329" s="150"/>
      <c r="O329" s="150"/>
      <c r="P329" s="166"/>
      <c r="Q329" s="166"/>
      <c r="R329" s="166"/>
      <c r="S329" s="166"/>
      <c r="T329" s="166"/>
    </row>
    <row r="330" spans="2:20" ht="13.5" customHeight="1">
      <c r="B330" s="150"/>
      <c r="C330" s="150"/>
      <c r="D330" s="150"/>
      <c r="E330" s="150"/>
      <c r="F330" s="150"/>
      <c r="G330" s="150"/>
      <c r="H330" s="150"/>
      <c r="I330" s="150"/>
      <c r="J330" s="150"/>
      <c r="K330" s="150"/>
      <c r="L330" s="150"/>
      <c r="M330" s="150"/>
      <c r="N330" s="150"/>
      <c r="O330" s="150"/>
      <c r="P330" s="166"/>
      <c r="Q330" s="166"/>
      <c r="R330" s="166"/>
      <c r="S330" s="166"/>
      <c r="T330" s="166"/>
    </row>
    <row r="331" spans="2:20" ht="13.5" customHeight="1">
      <c r="B331" s="150"/>
      <c r="C331" s="150"/>
      <c r="D331" s="150"/>
      <c r="E331" s="150"/>
      <c r="F331" s="150"/>
      <c r="G331" s="150"/>
      <c r="H331" s="150"/>
      <c r="I331" s="150"/>
      <c r="J331" s="150"/>
      <c r="K331" s="150"/>
      <c r="L331" s="150"/>
      <c r="M331" s="150"/>
      <c r="N331" s="150"/>
      <c r="O331" s="150"/>
      <c r="P331" s="166"/>
      <c r="Q331" s="166"/>
      <c r="R331" s="166"/>
      <c r="S331" s="166"/>
      <c r="T331" s="166"/>
    </row>
    <row r="332" spans="2:20" ht="13.5" customHeight="1">
      <c r="B332" s="150"/>
      <c r="C332" s="150"/>
      <c r="D332" s="150"/>
      <c r="E332" s="150"/>
      <c r="F332" s="150"/>
      <c r="G332" s="150"/>
      <c r="H332" s="150"/>
      <c r="I332" s="150"/>
      <c r="J332" s="150"/>
      <c r="K332" s="150"/>
      <c r="L332" s="150"/>
      <c r="M332" s="150"/>
      <c r="N332" s="150"/>
      <c r="O332" s="150"/>
      <c r="P332" s="166"/>
      <c r="Q332" s="166"/>
      <c r="R332" s="166"/>
      <c r="S332" s="166"/>
      <c r="T332" s="166"/>
    </row>
    <row r="333" spans="2:20" ht="13.5" customHeight="1">
      <c r="B333" s="150"/>
      <c r="C333" s="150"/>
      <c r="D333" s="150"/>
      <c r="E333" s="150"/>
      <c r="F333" s="150"/>
      <c r="G333" s="150"/>
      <c r="H333" s="150"/>
      <c r="I333" s="150"/>
      <c r="J333" s="150"/>
      <c r="K333" s="150"/>
      <c r="L333" s="150"/>
      <c r="M333" s="150"/>
      <c r="N333" s="150"/>
      <c r="O333" s="150"/>
      <c r="P333" s="166"/>
      <c r="Q333" s="166"/>
      <c r="R333" s="166"/>
      <c r="S333" s="166"/>
      <c r="T333" s="166"/>
    </row>
    <row r="334" spans="2:20" ht="13.5" customHeight="1">
      <c r="B334" s="150"/>
      <c r="C334" s="150"/>
      <c r="D334" s="150"/>
      <c r="E334" s="150"/>
      <c r="F334" s="150"/>
      <c r="G334" s="150"/>
      <c r="H334" s="150"/>
      <c r="I334" s="150"/>
      <c r="J334" s="150"/>
      <c r="K334" s="150"/>
      <c r="L334" s="150"/>
      <c r="M334" s="150"/>
      <c r="N334" s="150"/>
      <c r="O334" s="150"/>
      <c r="P334" s="166"/>
      <c r="Q334" s="166"/>
      <c r="R334" s="166"/>
      <c r="S334" s="166"/>
      <c r="T334" s="166"/>
    </row>
    <row r="335" spans="2:20" ht="13.5" customHeight="1">
      <c r="B335" s="150"/>
      <c r="C335" s="150"/>
      <c r="D335" s="150"/>
      <c r="E335" s="150"/>
      <c r="F335" s="150"/>
      <c r="G335" s="150"/>
      <c r="H335" s="150"/>
      <c r="I335" s="150"/>
      <c r="J335" s="150"/>
      <c r="K335" s="150"/>
      <c r="L335" s="150"/>
      <c r="M335" s="150"/>
      <c r="N335" s="150"/>
      <c r="O335" s="150"/>
      <c r="P335" s="166"/>
      <c r="Q335" s="166"/>
      <c r="R335" s="166"/>
      <c r="S335" s="166"/>
      <c r="T335" s="166"/>
    </row>
    <row r="336" spans="2:20" ht="13.5" customHeight="1">
      <c r="B336" s="150"/>
      <c r="C336" s="150"/>
      <c r="D336" s="150"/>
      <c r="E336" s="150"/>
      <c r="F336" s="150"/>
      <c r="G336" s="150"/>
      <c r="H336" s="150"/>
      <c r="I336" s="150"/>
      <c r="J336" s="150"/>
      <c r="K336" s="150"/>
      <c r="L336" s="150"/>
      <c r="M336" s="150"/>
      <c r="N336" s="150"/>
      <c r="O336" s="150"/>
      <c r="P336" s="166"/>
      <c r="Q336" s="166"/>
      <c r="R336" s="166"/>
      <c r="S336" s="166"/>
      <c r="T336" s="166"/>
    </row>
    <row r="337" spans="2:20" ht="13.5" customHeight="1">
      <c r="B337" s="150"/>
      <c r="C337" s="150"/>
      <c r="D337" s="150"/>
      <c r="E337" s="150"/>
      <c r="F337" s="150"/>
      <c r="G337" s="150"/>
      <c r="H337" s="150"/>
      <c r="I337" s="150"/>
      <c r="J337" s="150"/>
      <c r="K337" s="150"/>
      <c r="L337" s="150"/>
      <c r="M337" s="150"/>
      <c r="N337" s="150"/>
      <c r="O337" s="150"/>
      <c r="P337" s="166"/>
      <c r="Q337" s="166"/>
      <c r="R337" s="166"/>
      <c r="S337" s="166"/>
      <c r="T337" s="166"/>
    </row>
  </sheetData>
  <sheetProtection/>
  <mergeCells count="1">
    <mergeCell ref="B3:P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1" r:id="rId1"/>
  <headerFooter alignWithMargins="0">
    <oddHeader>&amp;L15. melléklet a 2015. évi 3/2015.(II.25.) Önkormányzati költségvetési rendelethez&amp;R2015.02.25</oddHeader>
    <oddFooter>&amp;R&amp;F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2:BD332"/>
  <sheetViews>
    <sheetView view="pageLayout" workbookViewId="0" topLeftCell="A1">
      <selection activeCell="O16" sqref="O16"/>
    </sheetView>
  </sheetViews>
  <sheetFormatPr defaultColWidth="9.140625" defaultRowHeight="13.5" customHeight="1"/>
  <cols>
    <col min="1" max="1" width="4.7109375" style="37" customWidth="1"/>
    <col min="2" max="2" width="23.7109375" style="37" customWidth="1"/>
    <col min="3" max="4" width="12.7109375" style="37" bestFit="1" customWidth="1"/>
    <col min="5" max="5" width="10.140625" style="37" bestFit="1" customWidth="1"/>
    <col min="6" max="6" width="8.28125" style="37" bestFit="1" customWidth="1"/>
    <col min="7" max="9" width="10.140625" style="37" bestFit="1" customWidth="1"/>
    <col min="10" max="10" width="9.8515625" style="37" bestFit="1" customWidth="1"/>
    <col min="11" max="11" width="11.00390625" style="37" bestFit="1" customWidth="1"/>
    <col min="12" max="12" width="10.140625" style="37" bestFit="1" customWidth="1"/>
    <col min="13" max="13" width="11.57421875" style="37" bestFit="1" customWidth="1"/>
    <col min="14" max="14" width="11.140625" style="37" bestFit="1" customWidth="1"/>
    <col min="15" max="15" width="11.140625" style="151" bestFit="1" customWidth="1"/>
    <col min="16" max="19" width="11.140625" style="151" customWidth="1"/>
    <col min="20" max="20" width="12.7109375" style="150" bestFit="1" customWidth="1"/>
    <col min="21" max="27" width="11.7109375" style="150" customWidth="1"/>
    <col min="28" max="29" width="9.7109375" style="150" customWidth="1"/>
    <col min="30" max="30" width="10.57421875" style="150" customWidth="1"/>
    <col min="31" max="31" width="13.00390625" style="150" customWidth="1"/>
    <col min="32" max="32" width="9.28125" style="150" customWidth="1"/>
    <col min="33" max="56" width="9.140625" style="150" customWidth="1"/>
    <col min="57" max="16384" width="9.140625" style="37" customWidth="1"/>
  </cols>
  <sheetData>
    <row r="2" spans="16:17" ht="13.5" customHeight="1">
      <c r="P2" s="151">
        <f>+O2/12</f>
        <v>0</v>
      </c>
      <c r="Q2" s="151" t="e">
        <f>+'5.mell. átadott'!C9+'5.mell. átadott'!#REF!</f>
        <v>#REF!</v>
      </c>
    </row>
    <row r="3" spans="1:19" ht="32.25" customHeight="1" thickBot="1">
      <c r="A3" s="1034" t="s">
        <v>603</v>
      </c>
      <c r="B3" s="1034"/>
      <c r="C3" s="1034"/>
      <c r="D3" s="1034"/>
      <c r="E3" s="1034"/>
      <c r="F3" s="1034"/>
      <c r="G3" s="1034"/>
      <c r="H3" s="1034"/>
      <c r="I3" s="1034"/>
      <c r="J3" s="1034"/>
      <c r="K3" s="1034"/>
      <c r="L3" s="1034"/>
      <c r="M3" s="1034"/>
      <c r="N3" s="1034"/>
      <c r="O3" s="1034"/>
      <c r="P3" s="152"/>
      <c r="Q3" s="152"/>
      <c r="R3" s="152"/>
      <c r="S3" s="152"/>
    </row>
    <row r="4" spans="1:19" ht="26.25" customHeight="1" thickBot="1">
      <c r="A4" s="118" t="s">
        <v>221</v>
      </c>
      <c r="B4" s="119" t="s">
        <v>60</v>
      </c>
      <c r="C4" s="119" t="s">
        <v>222</v>
      </c>
      <c r="D4" s="119" t="s">
        <v>223</v>
      </c>
      <c r="E4" s="119" t="s">
        <v>224</v>
      </c>
      <c r="F4" s="119" t="s">
        <v>225</v>
      </c>
      <c r="G4" s="119" t="s">
        <v>226</v>
      </c>
      <c r="H4" s="119" t="s">
        <v>227</v>
      </c>
      <c r="I4" s="119" t="s">
        <v>228</v>
      </c>
      <c r="J4" s="119" t="s">
        <v>229</v>
      </c>
      <c r="K4" s="119" t="s">
        <v>230</v>
      </c>
      <c r="L4" s="119" t="s">
        <v>231</v>
      </c>
      <c r="M4" s="119" t="s">
        <v>232</v>
      </c>
      <c r="N4" s="119" t="s">
        <v>233</v>
      </c>
      <c r="O4" s="120" t="s">
        <v>234</v>
      </c>
      <c r="P4" s="153"/>
      <c r="Q4" s="153"/>
      <c r="R4" s="153"/>
      <c r="S4" s="153"/>
    </row>
    <row r="5" spans="1:19" ht="13.5" customHeight="1" thickBot="1">
      <c r="A5" s="121" t="s">
        <v>20</v>
      </c>
      <c r="B5" s="122" t="s">
        <v>92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38"/>
      <c r="P5" s="154"/>
      <c r="Q5" s="154"/>
      <c r="R5" s="154"/>
      <c r="S5" s="154"/>
    </row>
    <row r="6" spans="1:19" ht="13.5" customHeight="1">
      <c r="A6" s="124" t="s">
        <v>21</v>
      </c>
      <c r="B6" s="125" t="s">
        <v>255</v>
      </c>
      <c r="C6" s="155">
        <v>25546</v>
      </c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7" t="s">
        <v>256</v>
      </c>
      <c r="P6" s="158"/>
      <c r="Q6" s="158"/>
      <c r="R6" s="158"/>
      <c r="S6" s="158"/>
    </row>
    <row r="7" spans="1:19" ht="13.5" customHeight="1">
      <c r="A7" s="128" t="s">
        <v>22</v>
      </c>
      <c r="B7" s="129" t="s">
        <v>236</v>
      </c>
      <c r="C7" s="159">
        <f>+'15.mell. ÖK finansz.'!D8+'20.mell. könyvtár fin terv'!D9+'19.mell. vsz finterv'!D9+'18.mell. eszesz finterv'!D9+'17.mell. PH ei.felh.'!D11</f>
        <v>11246</v>
      </c>
      <c r="D7" s="159">
        <f>+'15.mell. ÖK finansz.'!E8+'20.mell. könyvtár fin terv'!E9+'19.mell. vsz finterv'!E9+'18.mell. eszesz finterv'!E9+'17.mell. PH ei.felh.'!E11</f>
        <v>11246</v>
      </c>
      <c r="E7" s="159">
        <f>+'15.mell. ÖK finansz.'!F8+'20.mell. könyvtár fin terv'!F9+'19.mell. vsz finterv'!F9+'18.mell. eszesz finterv'!F9+'17.mell. PH ei.felh.'!F11</f>
        <v>11246</v>
      </c>
      <c r="F7" s="159">
        <f>+'15.mell. ÖK finansz.'!G8+'20.mell. könyvtár fin terv'!G9+'19.mell. vsz finterv'!G9+'18.mell. eszesz finterv'!G9+'17.mell. PH ei.felh.'!G11</f>
        <v>11246</v>
      </c>
      <c r="G7" s="159">
        <f>+'15.mell. ÖK finansz.'!H8+'20.mell. könyvtár fin terv'!H9+'19.mell. vsz finterv'!H9+'18.mell. eszesz finterv'!H9+'17.mell. PH ei.felh.'!H11</f>
        <v>11246</v>
      </c>
      <c r="H7" s="159">
        <f>+'15.mell. ÖK finansz.'!I8+'20.mell. könyvtár fin terv'!I9+'19.mell. vsz finterv'!I9+'18.mell. eszesz finterv'!I9+'17.mell. PH ei.felh.'!I11</f>
        <v>11246</v>
      </c>
      <c r="I7" s="159">
        <f>+'15.mell. ÖK finansz.'!J8+'20.mell. könyvtár fin terv'!J9+'19.mell. vsz finterv'!J9+'18.mell. eszesz finterv'!J9+'17.mell. PH ei.felh.'!J11</f>
        <v>11246</v>
      </c>
      <c r="J7" s="159">
        <f>+'15.mell. ÖK finansz.'!K8+'20.mell. könyvtár fin terv'!K9+'19.mell. vsz finterv'!K9+'18.mell. eszesz finterv'!K9+'17.mell. PH ei.felh.'!K11</f>
        <v>11246</v>
      </c>
      <c r="K7" s="159">
        <f>+'15.mell. ÖK finansz.'!L8+'20.mell. könyvtár fin terv'!L9+'19.mell. vsz finterv'!L9+'18.mell. eszesz finterv'!L9+'17.mell. PH ei.felh.'!L11</f>
        <v>11246</v>
      </c>
      <c r="L7" s="159">
        <f>+'15.mell. ÖK finansz.'!M8+'20.mell. könyvtár fin terv'!M9+'19.mell. vsz finterv'!M9+'18.mell. eszesz finterv'!M9+'17.mell. PH ei.felh.'!M11</f>
        <v>11246</v>
      </c>
      <c r="M7" s="159">
        <f>+'15.mell. ÖK finansz.'!N8+'20.mell. könyvtár fin terv'!N9+'19.mell. vsz finterv'!N9+'18.mell. eszesz finterv'!N9+'17.mell. PH ei.felh.'!N11</f>
        <v>11246</v>
      </c>
      <c r="N7" s="159">
        <f>+'15.mell. ÖK finansz.'!O8+'20.mell. könyvtár fin terv'!O9+'19.mell. vsz finterv'!O9+'18.mell. eszesz finterv'!O9+'17.mell. PH ei.felh.'!O11</f>
        <v>11272</v>
      </c>
      <c r="O7" s="160">
        <f>SUM(C7:N7)</f>
        <v>134978</v>
      </c>
      <c r="P7" s="161">
        <f>+'1.mell. pfbevétel'!E5</f>
        <v>134978</v>
      </c>
      <c r="Q7" s="161">
        <f>+P7-O7</f>
        <v>0</v>
      </c>
      <c r="R7" s="161"/>
      <c r="S7" s="161"/>
    </row>
    <row r="8" spans="1:19" ht="22.5" customHeight="1">
      <c r="A8" s="128" t="s">
        <v>23</v>
      </c>
      <c r="B8" s="132" t="s">
        <v>289</v>
      </c>
      <c r="C8" s="159">
        <f>+'15.mell. ÖK finansz.'!D9+'20.mell. könyvtár fin terv'!D10+'19.mell. vsz finterv'!D10+'18.mell. eszesz finterv'!D10+'17.mell. PH ei.felh.'!D12</f>
        <v>22121</v>
      </c>
      <c r="D8" s="162">
        <f>+'15.mell. ÖK finansz.'!E9</f>
        <v>22121</v>
      </c>
      <c r="E8" s="162">
        <f>+'15.mell. ÖK finansz.'!F9</f>
        <v>22121</v>
      </c>
      <c r="F8" s="162">
        <f>+'15.mell. ÖK finansz.'!G9</f>
        <v>22121</v>
      </c>
      <c r="G8" s="162">
        <f>+'15.mell. ÖK finansz.'!H9</f>
        <v>22121</v>
      </c>
      <c r="H8" s="162">
        <f>+'15.mell. ÖK finansz.'!I9</f>
        <v>22121</v>
      </c>
      <c r="I8" s="162">
        <f>+'15.mell. ÖK finansz.'!J9</f>
        <v>22121</v>
      </c>
      <c r="J8" s="162">
        <f>+'15.mell. ÖK finansz.'!K9</f>
        <v>22121</v>
      </c>
      <c r="K8" s="162">
        <f>+'15.mell. ÖK finansz.'!L9</f>
        <v>22121</v>
      </c>
      <c r="L8" s="162">
        <f>+'15.mell. ÖK finansz.'!M9</f>
        <v>22121</v>
      </c>
      <c r="M8" s="162">
        <f>+'15.mell. ÖK finansz.'!N9</f>
        <v>22121</v>
      </c>
      <c r="N8" s="162">
        <f>+'15.mell. ÖK finansz.'!O9</f>
        <v>22123</v>
      </c>
      <c r="O8" s="163">
        <f>SUM(C8:N8)</f>
        <v>265454</v>
      </c>
      <c r="P8" s="161">
        <f>+'1.mell. pfbevétel'!E17</f>
        <v>265453.629</v>
      </c>
      <c r="Q8" s="161">
        <f aca="true" t="shared" si="0" ref="Q8:Q28">+P8-O8</f>
        <v>-0.3709999999846332</v>
      </c>
      <c r="R8" s="161"/>
      <c r="S8" s="161"/>
    </row>
    <row r="9" spans="1:19" ht="13.5" customHeight="1">
      <c r="A9" s="128" t="s">
        <v>24</v>
      </c>
      <c r="B9" s="129" t="s">
        <v>238</v>
      </c>
      <c r="C9" s="159">
        <f>+'15.mell. ÖK finansz.'!D10+'20.mell. könyvtár fin terv'!D11+'19.mell. vsz finterv'!D11+'18.mell. eszesz finterv'!D11+'17.mell. PH ei.felh.'!D13</f>
        <v>5680</v>
      </c>
      <c r="D9" s="159">
        <f>+'15.mell. ÖK finansz.'!E10+'20.mell. könyvtár fin terv'!E11+'19.mell. vsz finterv'!E11+'18.mell. eszesz finterv'!E11+'17.mell. PH ei.felh.'!E13</f>
        <v>5680</v>
      </c>
      <c r="E9" s="159">
        <f>+'15.mell. ÖK finansz.'!F10+'20.mell. könyvtár fin terv'!F11+'19.mell. vsz finterv'!F11+'18.mell. eszesz finterv'!F11+'17.mell. PH ei.felh.'!F13</f>
        <v>50722</v>
      </c>
      <c r="F9" s="159">
        <f>+'15.mell. ÖK finansz.'!G10+'20.mell. könyvtár fin terv'!G11+'19.mell. vsz finterv'!G11+'18.mell. eszesz finterv'!G11+'17.mell. PH ei.felh.'!G13</f>
        <v>5680</v>
      </c>
      <c r="G9" s="159">
        <f>+'15.mell. ÖK finansz.'!H10+'20.mell. könyvtár fin terv'!H11+'19.mell. vsz finterv'!H11+'18.mell. eszesz finterv'!H11+'17.mell. PH ei.felh.'!H13</f>
        <v>5680</v>
      </c>
      <c r="H9" s="159">
        <f>+'15.mell. ÖK finansz.'!I10+'20.mell. könyvtár fin terv'!I11+'19.mell. vsz finterv'!I11+'18.mell. eszesz finterv'!I11+'17.mell. PH ei.felh.'!I13</f>
        <v>5680</v>
      </c>
      <c r="I9" s="159">
        <f>+'15.mell. ÖK finansz.'!J10+'20.mell. könyvtár fin terv'!J11+'19.mell. vsz finterv'!J11+'18.mell. eszesz finterv'!J11+'17.mell. PH ei.felh.'!J13</f>
        <v>5680</v>
      </c>
      <c r="J9" s="159">
        <f>+'15.mell. ÖK finansz.'!K10+'20.mell. könyvtár fin terv'!K11+'19.mell. vsz finterv'!K11+'18.mell. eszesz finterv'!K11+'17.mell. PH ei.felh.'!K13</f>
        <v>5680</v>
      </c>
      <c r="K9" s="159">
        <f>+'15.mell. ÖK finansz.'!L10+'20.mell. könyvtár fin terv'!L11+'19.mell. vsz finterv'!L11+'18.mell. eszesz finterv'!L11+'17.mell. PH ei.felh.'!L13</f>
        <v>50722</v>
      </c>
      <c r="L9" s="159">
        <f>+'15.mell. ÖK finansz.'!M10+'20.mell. könyvtár fin terv'!M11+'19.mell. vsz finterv'!M11+'18.mell. eszesz finterv'!M11+'17.mell. PH ei.felh.'!M13</f>
        <v>5680</v>
      </c>
      <c r="M9" s="159">
        <f>+'15.mell. ÖK finansz.'!N10+'20.mell. könyvtár fin terv'!N11+'19.mell. vsz finterv'!N11+'18.mell. eszesz finterv'!N11+'17.mell. PH ei.felh.'!N13</f>
        <v>5680</v>
      </c>
      <c r="N9" s="159">
        <f>+'15.mell. ÖK finansz.'!O10+'20.mell. könyvtár fin terv'!O11+'19.mell. vsz finterv'!O11+'18.mell. eszesz finterv'!O11+'17.mell. PH ei.felh.'!O13+600</f>
        <v>6200</v>
      </c>
      <c r="O9" s="160">
        <f>SUM(C9:N9)</f>
        <v>158764</v>
      </c>
      <c r="P9" s="161">
        <f>+'1.mell. pfbevétel'!E6+'1.mell. pfbevétel'!E7+'1.mell. pfbevétel'!E8+'1.mell. pfbevétel'!E9+'1.mell. pfbevétel'!E10+'1.mell. pfbevétel'!E13</f>
        <v>158764</v>
      </c>
      <c r="Q9" s="161">
        <f t="shared" si="0"/>
        <v>0</v>
      </c>
      <c r="R9" s="161"/>
      <c r="S9" s="161"/>
    </row>
    <row r="10" spans="1:19" ht="13.5" customHeight="1">
      <c r="A10" s="128" t="s">
        <v>25</v>
      </c>
      <c r="B10" s="129" t="s">
        <v>239</v>
      </c>
      <c r="C10" s="159">
        <f>+'15.mell. ÖK finansz.'!D11+'20.mell. könyvtár fin terv'!D12+'19.mell. vsz finterv'!D12+'18.mell. eszesz finterv'!D12+'17.mell. PH ei.felh.'!D14</f>
        <v>0</v>
      </c>
      <c r="D10" s="159">
        <f>+'15.mell. ÖK finansz.'!E11+'20.mell. könyvtár fin terv'!E12+'19.mell. vsz finterv'!E12+'18.mell. eszesz finterv'!E12+'17.mell. PH ei.felh.'!E14</f>
        <v>0</v>
      </c>
      <c r="E10" s="159">
        <f>+'15.mell. ÖK finansz.'!F11+'20.mell. könyvtár fin terv'!F12+'19.mell. vsz finterv'!F12+'18.mell. eszesz finterv'!F12+'17.mell. PH ei.felh.'!F14</f>
        <v>10000</v>
      </c>
      <c r="F10" s="159">
        <f>+'15.mell. ÖK finansz.'!G11+'20.mell. könyvtár fin terv'!G12+'19.mell. vsz finterv'!G12+'18.mell. eszesz finterv'!G12+'17.mell. PH ei.felh.'!G14</f>
        <v>0</v>
      </c>
      <c r="G10" s="159">
        <f>+'15.mell. ÖK finansz.'!H11+'20.mell. könyvtár fin terv'!H12+'19.mell. vsz finterv'!H12+'18.mell. eszesz finterv'!H12+'17.mell. PH ei.felh.'!H14</f>
        <v>71380</v>
      </c>
      <c r="H10" s="159">
        <f>+'15.mell. ÖK finansz.'!I11+'20.mell. könyvtár fin terv'!I12+'19.mell. vsz finterv'!I12+'18.mell. eszesz finterv'!I12+'17.mell. PH ei.felh.'!I14</f>
        <v>5000</v>
      </c>
      <c r="I10" s="159">
        <f>+'15.mell. ÖK finansz.'!J11+'20.mell. könyvtár fin terv'!J12+'19.mell. vsz finterv'!J12+'18.mell. eszesz finterv'!J12+'17.mell. PH ei.felh.'!J14</f>
        <v>5000</v>
      </c>
      <c r="J10" s="159">
        <f>+'15.mell. ÖK finansz.'!K11+'20.mell. könyvtár fin terv'!K12+'19.mell. vsz finterv'!K12+'18.mell. eszesz finterv'!K12+'17.mell. PH ei.felh.'!K14</f>
        <v>5000</v>
      </c>
      <c r="K10" s="159">
        <f>+'15.mell. ÖK finansz.'!L11+'20.mell. könyvtár fin terv'!L12+'19.mell. vsz finterv'!L12+'18.mell. eszesz finterv'!L12+'17.mell. PH ei.felh.'!L14</f>
        <v>5000</v>
      </c>
      <c r="L10" s="159">
        <f>+'15.mell. ÖK finansz.'!M11+'20.mell. könyvtár fin terv'!M12+'19.mell. vsz finterv'!M12+'18.mell. eszesz finterv'!M12+'17.mell. PH ei.felh.'!M14</f>
        <v>0</v>
      </c>
      <c r="M10" s="159">
        <f>+'15.mell. ÖK finansz.'!N11+'20.mell. könyvtár fin terv'!N12+'19.mell. vsz finterv'!N12+'18.mell. eszesz finterv'!N12+'17.mell. PH ei.felh.'!N14</f>
        <v>0</v>
      </c>
      <c r="N10" s="159">
        <f>+'15.mell. ÖK finansz.'!O11+'20.mell. könyvtár fin terv'!O12+'19.mell. vsz finterv'!O12+'18.mell. eszesz finterv'!O12+'17.mell. PH ei.felh.'!O14</f>
        <v>0</v>
      </c>
      <c r="O10" s="160">
        <f aca="true" t="shared" si="1" ref="O10:O27">SUM(C10:N10)</f>
        <v>101380</v>
      </c>
      <c r="P10" s="161">
        <f>+'1.mell. pfbevétel'!E11</f>
        <v>30000</v>
      </c>
      <c r="Q10" s="161">
        <f t="shared" si="0"/>
        <v>-71380</v>
      </c>
      <c r="R10" s="161"/>
      <c r="S10" s="161"/>
    </row>
    <row r="11" spans="1:26" ht="13.5" customHeight="1">
      <c r="A11" s="128" t="s">
        <v>26</v>
      </c>
      <c r="B11" s="129" t="s">
        <v>240</v>
      </c>
      <c r="C11" s="159">
        <f>+'15.mell. ÖK finansz.'!D12+'20.mell. könyvtár fin terv'!D13+'19.mell. vsz finterv'!D13+'18.mell. eszesz finterv'!D13+'17.mell. PH ei.felh.'!D15</f>
        <v>12203</v>
      </c>
      <c r="D11" s="159">
        <f>+'15.mell. ÖK finansz.'!E12+'20.mell. könyvtár fin terv'!E13+'19.mell. vsz finterv'!E13+'18.mell. eszesz finterv'!E13+'17.mell. PH ei.felh.'!E15</f>
        <v>15697</v>
      </c>
      <c r="E11" s="159">
        <f>+'15.mell. ÖK finansz.'!F12+'20.mell. könyvtár fin terv'!F13+'19.mell. vsz finterv'!F13+'18.mell. eszesz finterv'!F13+'17.mell. PH ei.felh.'!F15</f>
        <v>12197</v>
      </c>
      <c r="F11" s="159">
        <f>+'15.mell. ÖK finansz.'!G12+'20.mell. könyvtár fin terv'!G13+'19.mell. vsz finterv'!G13+'18.mell. eszesz finterv'!G13+'17.mell. PH ei.felh.'!G15</f>
        <v>5818</v>
      </c>
      <c r="G11" s="159">
        <f>+'15.mell. ÖK finansz.'!H12+'20.mell. könyvtár fin terv'!H13+'19.mell. vsz finterv'!H13+'18.mell. eszesz finterv'!H13+'17.mell. PH ei.felh.'!H15</f>
        <v>4318</v>
      </c>
      <c r="H11" s="159">
        <f>+'15.mell. ÖK finansz.'!I12+'20.mell. könyvtár fin terv'!I13+'19.mell. vsz finterv'!I13+'18.mell. eszesz finterv'!I13+'17.mell. PH ei.felh.'!I15</f>
        <v>4318</v>
      </c>
      <c r="I11" s="159">
        <f>+'15.mell. ÖK finansz.'!J12+'20.mell. könyvtár fin terv'!J13+'19.mell. vsz finterv'!J13+'18.mell. eszesz finterv'!J13+'17.mell. PH ei.felh.'!J15</f>
        <v>5818</v>
      </c>
      <c r="J11" s="159">
        <f>+'15.mell. ÖK finansz.'!K12+'20.mell. könyvtár fin terv'!K13+'19.mell. vsz finterv'!K13+'18.mell. eszesz finterv'!K13+'17.mell. PH ei.felh.'!K15</f>
        <v>4318</v>
      </c>
      <c r="K11" s="159">
        <f>+'15.mell. ÖK finansz.'!L12+'20.mell. könyvtár fin terv'!L13+'19.mell. vsz finterv'!L13+'18.mell. eszesz finterv'!L13+'17.mell. PH ei.felh.'!L15</f>
        <v>4318</v>
      </c>
      <c r="L11" s="159">
        <f>+'15.mell. ÖK finansz.'!M12+'20.mell. könyvtár fin terv'!M13+'19.mell. vsz finterv'!M13+'18.mell. eszesz finterv'!M13+'17.mell. PH ei.felh.'!M15</f>
        <v>5818</v>
      </c>
      <c r="M11" s="159">
        <f>+'15.mell. ÖK finansz.'!N12+'20.mell. könyvtár fin terv'!N13+'19.mell. vsz finterv'!N13+'18.mell. eszesz finterv'!N13+'17.mell. PH ei.felh.'!N15</f>
        <v>4318</v>
      </c>
      <c r="N11" s="159">
        <f>+'15.mell. ÖK finansz.'!O12+'20.mell. könyvtár fin terv'!O13+'19.mell. vsz finterv'!O13+'18.mell. eszesz finterv'!O13+'17.mell. PH ei.felh.'!O15</f>
        <v>4322</v>
      </c>
      <c r="O11" s="160">
        <f t="shared" si="1"/>
        <v>83463</v>
      </c>
      <c r="P11" s="161">
        <f>+'1.mell. pfbevétel'!E20</f>
        <v>154843</v>
      </c>
      <c r="Q11" s="161">
        <f t="shared" si="0"/>
        <v>71380</v>
      </c>
      <c r="R11" s="161"/>
      <c r="S11" s="161"/>
      <c r="T11" s="64"/>
      <c r="X11" s="64"/>
      <c r="Z11" s="64"/>
    </row>
    <row r="12" spans="1:19" ht="13.5" customHeight="1">
      <c r="A12" s="128" t="s">
        <v>27</v>
      </c>
      <c r="B12" s="129" t="s">
        <v>241</v>
      </c>
      <c r="C12" s="159">
        <f>+'15.mell. ÖK finansz.'!D13+'20.mell. könyvtár fin terv'!D14+'19.mell. vsz finterv'!D14+'18.mell. eszesz finterv'!D14+'17.mell. PH ei.felh.'!D16</f>
        <v>13</v>
      </c>
      <c r="D12" s="159">
        <f>+'15.mell. ÖK finansz.'!E13+'20.mell. könyvtár fin terv'!E14+'19.mell. vsz finterv'!E14+'18.mell. eszesz finterv'!E14+'17.mell. PH ei.felh.'!E16</f>
        <v>13</v>
      </c>
      <c r="E12" s="159">
        <f>+'15.mell. ÖK finansz.'!F13+'20.mell. könyvtár fin terv'!F14+'19.mell. vsz finterv'!F14+'18.mell. eszesz finterv'!F14+'17.mell. PH ei.felh.'!F16</f>
        <v>13</v>
      </c>
      <c r="F12" s="159">
        <f>+'15.mell. ÖK finansz.'!G13+'20.mell. könyvtár fin terv'!G14+'19.mell. vsz finterv'!G14+'18.mell. eszesz finterv'!G14+'17.mell. PH ei.felh.'!G16</f>
        <v>13</v>
      </c>
      <c r="G12" s="159">
        <f>+'15.mell. ÖK finansz.'!H13+'20.mell. könyvtár fin terv'!H14+'19.mell. vsz finterv'!H14+'18.mell. eszesz finterv'!H14+'17.mell. PH ei.felh.'!H16</f>
        <v>13</v>
      </c>
      <c r="H12" s="159">
        <f>+'15.mell. ÖK finansz.'!I13+'20.mell. könyvtár fin terv'!I14+'19.mell. vsz finterv'!I14+'18.mell. eszesz finterv'!I14+'17.mell. PH ei.felh.'!I16</f>
        <v>13</v>
      </c>
      <c r="I12" s="159">
        <f>+'15.mell. ÖK finansz.'!J13+'20.mell. könyvtár fin terv'!J14+'19.mell. vsz finterv'!J14+'18.mell. eszesz finterv'!J14+'17.mell. PH ei.felh.'!J16</f>
        <v>13</v>
      </c>
      <c r="J12" s="159">
        <f>+'15.mell. ÖK finansz.'!K13+'20.mell. könyvtár fin terv'!K14+'19.mell. vsz finterv'!K14+'18.mell. eszesz finterv'!K14+'17.mell. PH ei.felh.'!K16</f>
        <v>13</v>
      </c>
      <c r="K12" s="159">
        <f>+'15.mell. ÖK finansz.'!L13+'20.mell. könyvtár fin terv'!L14+'19.mell. vsz finterv'!L14+'18.mell. eszesz finterv'!L14+'17.mell. PH ei.felh.'!L16</f>
        <v>13</v>
      </c>
      <c r="L12" s="159">
        <f>+'15.mell. ÖK finansz.'!M13+'20.mell. könyvtár fin terv'!M14+'19.mell. vsz finterv'!M14+'18.mell. eszesz finterv'!M14+'17.mell. PH ei.felh.'!M16</f>
        <v>13</v>
      </c>
      <c r="M12" s="159">
        <f>+'15.mell. ÖK finansz.'!N13+'20.mell. könyvtár fin terv'!N14+'19.mell. vsz finterv'!N14+'18.mell. eszesz finterv'!N14+'17.mell. PH ei.felh.'!N16</f>
        <v>13</v>
      </c>
      <c r="N12" s="159">
        <f>+'15.mell. ÖK finansz.'!O13+'20.mell. könyvtár fin terv'!O14+'19.mell. vsz finterv'!O14+'18.mell. eszesz finterv'!O14+'17.mell. PH ei.felh.'!O16</f>
        <v>7</v>
      </c>
      <c r="O12" s="160">
        <f t="shared" si="1"/>
        <v>150</v>
      </c>
      <c r="P12" s="161">
        <f>+'1.mell. pfbevétel'!E34</f>
        <v>150</v>
      </c>
      <c r="Q12" s="161">
        <f t="shared" si="0"/>
        <v>0</v>
      </c>
      <c r="R12" s="161"/>
      <c r="S12" s="161"/>
    </row>
    <row r="13" spans="1:19" ht="21" customHeight="1">
      <c r="A13" s="128" t="s">
        <v>28</v>
      </c>
      <c r="B13" s="134" t="s">
        <v>242</v>
      </c>
      <c r="C13" s="159">
        <f>+'15.mell. ÖK finansz.'!D14+'20.mell. könyvtár fin terv'!D15+'19.mell. vsz finterv'!D15+'18.mell. eszesz finterv'!D15+'17.mell. PH ei.felh.'!D17</f>
        <v>0</v>
      </c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60">
        <f t="shared" si="1"/>
        <v>0</v>
      </c>
      <c r="P13" s="161"/>
      <c r="Q13" s="161">
        <f t="shared" si="0"/>
        <v>0</v>
      </c>
      <c r="R13" s="161"/>
      <c r="S13" s="161"/>
    </row>
    <row r="14" spans="1:19" ht="13.5" customHeight="1" thickBot="1">
      <c r="A14" s="128" t="s">
        <v>29</v>
      </c>
      <c r="B14" s="129" t="s">
        <v>257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60">
        <f t="shared" si="1"/>
        <v>0</v>
      </c>
      <c r="P14" s="161"/>
      <c r="Q14" s="161">
        <f t="shared" si="0"/>
        <v>0</v>
      </c>
      <c r="R14" s="161"/>
      <c r="S14" s="161"/>
    </row>
    <row r="15" spans="1:56" s="151" customFormat="1" ht="13.5" customHeight="1" thickBot="1">
      <c r="A15" s="121" t="s">
        <v>30</v>
      </c>
      <c r="B15" s="136" t="s">
        <v>243</v>
      </c>
      <c r="C15" s="164">
        <f>SUM(C7:C14)</f>
        <v>51263</v>
      </c>
      <c r="D15" s="164">
        <f aca="true" t="shared" si="2" ref="D15:N15">SUM(D7:D14)</f>
        <v>54757</v>
      </c>
      <c r="E15" s="164">
        <f t="shared" si="2"/>
        <v>106299</v>
      </c>
      <c r="F15" s="164">
        <f t="shared" si="2"/>
        <v>44878</v>
      </c>
      <c r="G15" s="164">
        <f t="shared" si="2"/>
        <v>114758</v>
      </c>
      <c r="H15" s="164">
        <f t="shared" si="2"/>
        <v>48378</v>
      </c>
      <c r="I15" s="164">
        <f t="shared" si="2"/>
        <v>49878</v>
      </c>
      <c r="J15" s="164">
        <f t="shared" si="2"/>
        <v>48378</v>
      </c>
      <c r="K15" s="164">
        <f t="shared" si="2"/>
        <v>93420</v>
      </c>
      <c r="L15" s="164">
        <f t="shared" si="2"/>
        <v>44878</v>
      </c>
      <c r="M15" s="164">
        <f t="shared" si="2"/>
        <v>43378</v>
      </c>
      <c r="N15" s="164">
        <f t="shared" si="2"/>
        <v>43924</v>
      </c>
      <c r="O15" s="164">
        <f>SUM(O7:O14)</f>
        <v>744189</v>
      </c>
      <c r="P15" s="151">
        <f>SUM(P7:P14)</f>
        <v>744188.629</v>
      </c>
      <c r="Q15" s="161">
        <f t="shared" si="0"/>
        <v>-0.37100000004284084</v>
      </c>
      <c r="R15" s="165"/>
      <c r="S15" s="165"/>
      <c r="T15" s="166"/>
      <c r="U15" s="150"/>
      <c r="V15" s="150"/>
      <c r="W15" s="150"/>
      <c r="X15" s="166"/>
      <c r="Y15" s="150"/>
      <c r="Z15" s="166"/>
      <c r="AA15" s="150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</row>
    <row r="16" spans="1:56" s="151" customFormat="1" ht="13.5" customHeight="1" thickBot="1">
      <c r="A16" s="121" t="s">
        <v>31</v>
      </c>
      <c r="B16" s="122" t="s">
        <v>113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38"/>
      <c r="P16" s="165">
        <f>+'1.mell. pfbevétel'!E37</f>
        <v>744188.629</v>
      </c>
      <c r="Q16" s="161">
        <f t="shared" si="0"/>
        <v>744188.629</v>
      </c>
      <c r="R16" s="154"/>
      <c r="S16" s="167"/>
      <c r="T16" s="166"/>
      <c r="U16" s="150"/>
      <c r="V16" s="150"/>
      <c r="W16" s="150"/>
      <c r="X16" s="166"/>
      <c r="Y16" s="150"/>
      <c r="Z16" s="166"/>
      <c r="AA16" s="150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</row>
    <row r="17" spans="1:19" ht="13.5" customHeight="1">
      <c r="A17" s="139" t="s">
        <v>32</v>
      </c>
      <c r="B17" s="140" t="s">
        <v>180</v>
      </c>
      <c r="C17" s="162">
        <f>+'15.mell. ÖK finansz.'!D18+'20.mell. könyvtár fin terv'!D19+'19.mell. vsz finterv'!D19+'18.mell. eszesz finterv'!D19+'17.mell. PH ei.felh.'!D21</f>
        <v>19412</v>
      </c>
      <c r="D17" s="162">
        <f>+'15.mell. ÖK finansz.'!E18+'20.mell. könyvtár fin terv'!E19+'19.mell. vsz finterv'!E19+'18.mell. eszesz finterv'!E19+'17.mell. PH ei.felh.'!E21</f>
        <v>19502</v>
      </c>
      <c r="E17" s="162">
        <f>+'15.mell. ÖK finansz.'!F18+'20.mell. könyvtár fin terv'!F19+'19.mell. vsz finterv'!F19+'18.mell. eszesz finterv'!F19+'17.mell. PH ei.felh.'!F21</f>
        <v>19535</v>
      </c>
      <c r="F17" s="162">
        <f>+'15.mell. ÖK finansz.'!G18+'20.mell. könyvtár fin terv'!G19+'19.mell. vsz finterv'!G19+'18.mell. eszesz finterv'!G19+'17.mell. PH ei.felh.'!G21</f>
        <v>19548</v>
      </c>
      <c r="G17" s="162">
        <f>+'15.mell. ÖK finansz.'!H18+'20.mell. könyvtár fin terv'!H19+'19.mell. vsz finterv'!H19+'18.mell. eszesz finterv'!H19+'17.mell. PH ei.felh.'!H21</f>
        <v>19588</v>
      </c>
      <c r="H17" s="162">
        <f>+'15.mell. ÖK finansz.'!I18+'20.mell. könyvtár fin terv'!I19+'19.mell. vsz finterv'!I19+'18.mell. eszesz finterv'!I19+'17.mell. PH ei.felh.'!I21</f>
        <v>19626</v>
      </c>
      <c r="I17" s="162">
        <f>+'15.mell. ÖK finansz.'!J18+'20.mell. könyvtár fin terv'!J19+'19.mell. vsz finterv'!J19+'18.mell. eszesz finterv'!J19+'17.mell. PH ei.felh.'!J21</f>
        <v>19639</v>
      </c>
      <c r="J17" s="162">
        <f>+'15.mell. ÖK finansz.'!K18+'20.mell. könyvtár fin terv'!K19+'19.mell. vsz finterv'!K19+'18.mell. eszesz finterv'!K19+'17.mell. PH ei.felh.'!K21</f>
        <v>19666</v>
      </c>
      <c r="K17" s="162">
        <f>+'15.mell. ÖK finansz.'!L18+'20.mell. könyvtár fin terv'!L19+'19.mell. vsz finterv'!L19+'18.mell. eszesz finterv'!L19+'17.mell. PH ei.felh.'!L21</f>
        <v>19677</v>
      </c>
      <c r="L17" s="162">
        <f>+'15.mell. ÖK finansz.'!M18+'20.mell. könyvtár fin terv'!M19+'19.mell. vsz finterv'!M19+'18.mell. eszesz finterv'!M19+'17.mell. PH ei.felh.'!M21</f>
        <v>19689</v>
      </c>
      <c r="M17" s="162">
        <f>+'15.mell. ÖK finansz.'!N18+'20.mell. könyvtár fin terv'!N19+'19.mell. vsz finterv'!N19+'18.mell. eszesz finterv'!N19+'17.mell. PH ei.felh.'!N21</f>
        <v>19697</v>
      </c>
      <c r="N17" s="162">
        <f>+'15.mell. ÖK finansz.'!O18+'20.mell. könyvtár fin terv'!O19+'19.mell. vsz finterv'!O19+'18.mell. eszesz finterv'!O19+'17.mell. PH ei.felh.'!O21</f>
        <v>19785</v>
      </c>
      <c r="O17" s="163">
        <f>SUM(C17:N17)</f>
        <v>235364</v>
      </c>
      <c r="P17" s="161">
        <f>+'4.mell. kiadás'!D30</f>
        <v>235364</v>
      </c>
      <c r="Q17" s="161">
        <f t="shared" si="0"/>
        <v>0</v>
      </c>
      <c r="R17" s="161"/>
      <c r="S17" s="161"/>
    </row>
    <row r="18" spans="1:19" ht="24.75" customHeight="1">
      <c r="A18" s="128" t="s">
        <v>33</v>
      </c>
      <c r="B18" s="134" t="s">
        <v>244</v>
      </c>
      <c r="C18" s="162">
        <f>+'15.mell. ÖK finansz.'!D19+'20.mell. könyvtár fin terv'!D20+'19.mell. vsz finterv'!D20+'18.mell. eszesz finterv'!D20+'17.mell. PH ei.felh.'!D22</f>
        <v>5256.85</v>
      </c>
      <c r="D18" s="162">
        <f>+'15.mell. ÖK finansz.'!E19+'20.mell. könyvtár fin terv'!E20+'19.mell. vsz finterv'!E20+'18.mell. eszesz finterv'!E20+'17.mell. PH ei.felh.'!E22</f>
        <v>5281.15</v>
      </c>
      <c r="E18" s="162">
        <f>+'15.mell. ÖK finansz.'!F19+'20.mell. könyvtár fin terv'!F20+'19.mell. vsz finterv'!F20+'18.mell. eszesz finterv'!F20+'17.mell. PH ei.felh.'!F22</f>
        <v>5290.0599999999995</v>
      </c>
      <c r="F18" s="162">
        <f>+'15.mell. ÖK finansz.'!G19+'20.mell. könyvtár fin terv'!G20+'19.mell. vsz finterv'!G20+'18.mell. eszesz finterv'!G20+'17.mell. PH ei.felh.'!G22</f>
        <v>5293.57</v>
      </c>
      <c r="G18" s="162">
        <f>+'15.mell. ÖK finansz.'!H19+'20.mell. könyvtár fin terv'!H20+'19.mell. vsz finterv'!H20+'18.mell. eszesz finterv'!H20+'17.mell. PH ei.felh.'!H22</f>
        <v>5304.370000000001</v>
      </c>
      <c r="H18" s="162">
        <f>+'15.mell. ÖK finansz.'!I19+'20.mell. könyvtár fin terv'!I20+'19.mell. vsz finterv'!I20+'18.mell. eszesz finterv'!I20+'17.mell. PH ei.felh.'!I22</f>
        <v>5334.63</v>
      </c>
      <c r="I18" s="162">
        <f>+'15.mell. ÖK finansz.'!J19+'20.mell. könyvtár fin terv'!J20+'19.mell. vsz finterv'!J20+'18.mell. eszesz finterv'!J20+'17.mell. PH ei.felh.'!J22</f>
        <v>5338.14</v>
      </c>
      <c r="J18" s="162">
        <f>+'15.mell. ÖK finansz.'!K19+'20.mell. könyvtár fin terv'!K20+'19.mell. vsz finterv'!K20+'18.mell. eszesz finterv'!K20+'17.mell. PH ei.felh.'!K22</f>
        <v>5345.43</v>
      </c>
      <c r="K18" s="162">
        <f>+'15.mell. ÖK finansz.'!L19+'20.mell. könyvtár fin terv'!L20+'19.mell. vsz finterv'!L20+'18.mell. eszesz finterv'!L20+'17.mell. PH ei.felh.'!L22</f>
        <v>5348.4</v>
      </c>
      <c r="L18" s="162">
        <f>+'15.mell. ÖK finansz.'!M19+'20.mell. könyvtár fin terv'!M20+'19.mell. vsz finterv'!M20+'18.mell. eszesz finterv'!M20+'17.mell. PH ei.felh.'!M22</f>
        <v>5351.64</v>
      </c>
      <c r="M18" s="162">
        <f>+'15.mell. ÖK finansz.'!N19+'20.mell. könyvtár fin terv'!N20+'19.mell. vsz finterv'!N20+'18.mell. eszesz finterv'!N20+'17.mell. PH ei.felh.'!N22</f>
        <v>5353.8</v>
      </c>
      <c r="N18" s="162">
        <f>+'15.mell. ÖK finansz.'!O19+'20.mell. könyvtár fin terv'!O20+'19.mell. vsz finterv'!O20+'18.mell. eszesz finterv'!O20+'17.mell. PH ei.felh.'!O22</f>
        <v>5387.05</v>
      </c>
      <c r="O18" s="160">
        <f t="shared" si="1"/>
        <v>63885.09000000001</v>
      </c>
      <c r="P18" s="161">
        <f>+'4.mell. kiadás'!E30</f>
        <v>63885</v>
      </c>
      <c r="Q18" s="161">
        <f t="shared" si="0"/>
        <v>-0.09000000001105946</v>
      </c>
      <c r="R18" s="161"/>
      <c r="S18" s="161"/>
    </row>
    <row r="19" spans="1:19" ht="13.5" customHeight="1">
      <c r="A19" s="128" t="s">
        <v>34</v>
      </c>
      <c r="B19" s="129" t="s">
        <v>202</v>
      </c>
      <c r="C19" s="162">
        <f>+'15.mell. ÖK finansz.'!D20+'20.mell. könyvtár fin terv'!D21+'19.mell. vsz finterv'!D21+'18.mell. eszesz finterv'!D21+'17.mell. PH ei.felh.'!D23</f>
        <v>20318</v>
      </c>
      <c r="D19" s="162">
        <f>+'15.mell. ÖK finansz.'!E20+'20.mell. könyvtár fin terv'!E21+'19.mell. vsz finterv'!E21+'18.mell. eszesz finterv'!E21+'17.mell. PH ei.felh.'!E23</f>
        <v>20318</v>
      </c>
      <c r="E19" s="162">
        <f>+'15.mell. ÖK finansz.'!F20+'20.mell. könyvtár fin terv'!F21+'19.mell. vsz finterv'!F21+'18.mell. eszesz finterv'!F21+'17.mell. PH ei.felh.'!F23</f>
        <v>20318</v>
      </c>
      <c r="F19" s="162">
        <f>+'15.mell. ÖK finansz.'!G20+'20.mell. könyvtár fin terv'!G21+'19.mell. vsz finterv'!G21+'18.mell. eszesz finterv'!G21+'17.mell. PH ei.felh.'!G23</f>
        <v>20318</v>
      </c>
      <c r="G19" s="162">
        <f>+'15.mell. ÖK finansz.'!H20+'20.mell. könyvtár fin terv'!H21+'19.mell. vsz finterv'!H21+'18.mell. eszesz finterv'!H21+'17.mell. PH ei.felh.'!H23</f>
        <v>20318</v>
      </c>
      <c r="H19" s="162">
        <f>+'15.mell. ÖK finansz.'!I20+'20.mell. könyvtár fin terv'!I21+'19.mell. vsz finterv'!I21+'18.mell. eszesz finterv'!I21+'17.mell. PH ei.felh.'!I23</f>
        <v>20318</v>
      </c>
      <c r="I19" s="162">
        <f>+'15.mell. ÖK finansz.'!J20+'20.mell. könyvtár fin terv'!J21+'19.mell. vsz finterv'!J21+'18.mell. eszesz finterv'!J21+'17.mell. PH ei.felh.'!J23</f>
        <v>20318</v>
      </c>
      <c r="J19" s="162">
        <f>+'15.mell. ÖK finansz.'!K20+'20.mell. könyvtár fin terv'!K21+'19.mell. vsz finterv'!K21+'18.mell. eszesz finterv'!K21+'17.mell. PH ei.felh.'!K23</f>
        <v>20318</v>
      </c>
      <c r="K19" s="162">
        <f>+'15.mell. ÖK finansz.'!L20+'20.mell. könyvtár fin terv'!L21+'19.mell. vsz finterv'!L21+'18.mell. eszesz finterv'!L21+'17.mell. PH ei.felh.'!L23</f>
        <v>20318</v>
      </c>
      <c r="L19" s="162">
        <f>+'15.mell. ÖK finansz.'!M20+'20.mell. könyvtár fin terv'!M21+'19.mell. vsz finterv'!M21+'18.mell. eszesz finterv'!M21+'17.mell. PH ei.felh.'!M23</f>
        <v>20318</v>
      </c>
      <c r="M19" s="162">
        <f>+'15.mell. ÖK finansz.'!N20+'20.mell. könyvtár fin terv'!N21+'19.mell. vsz finterv'!N21+'18.mell. eszesz finterv'!N21+'17.mell. PH ei.felh.'!N23</f>
        <v>20318</v>
      </c>
      <c r="N19" s="162">
        <f>+'15.mell. ÖK finansz.'!O20+'20.mell. könyvtár fin terv'!O21+'19.mell. vsz finterv'!O21+'18.mell. eszesz finterv'!O21+'17.mell. PH ei.felh.'!O23</f>
        <v>20330</v>
      </c>
      <c r="O19" s="160">
        <f t="shared" si="1"/>
        <v>243828</v>
      </c>
      <c r="P19" s="161">
        <f>+'4.mell. kiadás'!F30</f>
        <v>243828</v>
      </c>
      <c r="Q19" s="161">
        <f t="shared" si="0"/>
        <v>0</v>
      </c>
      <c r="R19" s="161"/>
      <c r="S19" s="161"/>
    </row>
    <row r="20" spans="1:19" ht="13.5" customHeight="1">
      <c r="A20" s="128" t="s">
        <v>35</v>
      </c>
      <c r="B20" s="129" t="s">
        <v>245</v>
      </c>
      <c r="C20" s="162">
        <f>+'15.mell. ÖK finansz.'!D21+'20.mell. könyvtár fin terv'!D22+'19.mell. vsz finterv'!D22+'18.mell. eszesz finterv'!D22+'17.mell. PH ei.felh.'!D24</f>
        <v>0</v>
      </c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60">
        <f t="shared" si="1"/>
        <v>0</v>
      </c>
      <c r="P20" s="161"/>
      <c r="Q20" s="161">
        <f t="shared" si="0"/>
        <v>0</v>
      </c>
      <c r="R20" s="161"/>
      <c r="S20" s="161"/>
    </row>
    <row r="21" spans="1:19" ht="13.5" customHeight="1">
      <c r="A21" s="128" t="s">
        <v>36</v>
      </c>
      <c r="B21" s="129" t="s">
        <v>246</v>
      </c>
      <c r="C21" s="162">
        <f>+'15.mell. ÖK finansz.'!D22+'20.mell. könyvtár fin terv'!D23+'19.mell. vsz finterv'!D23+'18.mell. eszesz finterv'!D23+'17.mell. PH ei.felh.'!D25</f>
        <v>0</v>
      </c>
      <c r="D21" s="162">
        <f>+'15.mell. ÖK finansz.'!E22+'20.mell. könyvtár fin terv'!E23+'19.mell. vsz finterv'!E23+'18.mell. eszesz finterv'!E23+'17.mell. PH ei.felh.'!E25</f>
        <v>0</v>
      </c>
      <c r="E21" s="162">
        <f>+'15.mell. ÖK finansz.'!F22+'20.mell. könyvtár fin terv'!F23+'19.mell. vsz finterv'!F23+'18.mell. eszesz finterv'!F23+'17.mell. PH ei.felh.'!F25</f>
        <v>0</v>
      </c>
      <c r="F21" s="162">
        <f>+'15.mell. ÖK finansz.'!G22+'20.mell. könyvtár fin terv'!G23+'19.mell. vsz finterv'!G23+'18.mell. eszesz finterv'!G23+'17.mell. PH ei.felh.'!G25</f>
        <v>0</v>
      </c>
      <c r="G21" s="162">
        <f>+'15.mell. ÖK finansz.'!H22+'20.mell. könyvtár fin terv'!H23+'19.mell. vsz finterv'!H23+'18.mell. eszesz finterv'!H23+'17.mell. PH ei.felh.'!H25</f>
        <v>0</v>
      </c>
      <c r="H21" s="162">
        <f>+'15.mell. ÖK finansz.'!I22+'20.mell. könyvtár fin terv'!I23+'19.mell. vsz finterv'!I23+'18.mell. eszesz finterv'!I23+'17.mell. PH ei.felh.'!I25</f>
        <v>0</v>
      </c>
      <c r="I21" s="162">
        <f>+'15.mell. ÖK finansz.'!J22+'20.mell. könyvtár fin terv'!J23+'19.mell. vsz finterv'!J23+'18.mell. eszesz finterv'!J23+'17.mell. PH ei.felh.'!J25</f>
        <v>0</v>
      </c>
      <c r="J21" s="162">
        <f>+'15.mell. ÖK finansz.'!K22+'20.mell. könyvtár fin terv'!K23+'19.mell. vsz finterv'!K23+'18.mell. eszesz finterv'!K23+'17.mell. PH ei.felh.'!K25</f>
        <v>0</v>
      </c>
      <c r="K21" s="162">
        <f>+'15.mell. ÖK finansz.'!L22+'20.mell. könyvtár fin terv'!L23+'19.mell. vsz finterv'!L23+'18.mell. eszesz finterv'!L23+'17.mell. PH ei.felh.'!L25</f>
        <v>0</v>
      </c>
      <c r="L21" s="162">
        <f>+'15.mell. ÖK finansz.'!M22+'20.mell. könyvtár fin terv'!M23+'19.mell. vsz finterv'!M23+'18.mell. eszesz finterv'!M23+'17.mell. PH ei.felh.'!M25</f>
        <v>0</v>
      </c>
      <c r="M21" s="162">
        <f>+'15.mell. ÖK finansz.'!N22+'20.mell. könyvtár fin terv'!N23+'19.mell. vsz finterv'!N23+'18.mell. eszesz finterv'!N23+'17.mell. PH ei.felh.'!N25</f>
        <v>0</v>
      </c>
      <c r="N21" s="162">
        <f>+'15.mell. ÖK finansz.'!O22+'20.mell. könyvtár fin terv'!O23+'19.mell. vsz finterv'!O23+'18.mell. eszesz finterv'!O23+'17.mell. PH ei.felh.'!O25</f>
        <v>0</v>
      </c>
      <c r="O21" s="160">
        <f t="shared" si="1"/>
        <v>0</v>
      </c>
      <c r="P21" s="161"/>
      <c r="Q21" s="161">
        <f t="shared" si="0"/>
        <v>0</v>
      </c>
      <c r="R21" s="161"/>
      <c r="S21" s="161"/>
    </row>
    <row r="22" spans="1:19" ht="13.5" customHeight="1">
      <c r="A22" s="128" t="s">
        <v>37</v>
      </c>
      <c r="B22" s="129" t="s">
        <v>247</v>
      </c>
      <c r="C22" s="162">
        <f>+'15.mell. ÖK finansz.'!D23+'20.mell. könyvtár fin terv'!D24+'19.mell. vsz finterv'!D24+'18.mell. eszesz finterv'!D24+'17.mell. PH ei.felh.'!D26</f>
        <v>2825</v>
      </c>
      <c r="D22" s="162">
        <f>+'15.mell. ÖK finansz.'!E23+'20.mell. könyvtár fin terv'!E24+'19.mell. vsz finterv'!E24+'18.mell. eszesz finterv'!E24+'17.mell. PH ei.felh.'!E26</f>
        <v>2825</v>
      </c>
      <c r="E22" s="162">
        <f>+'15.mell. ÖK finansz.'!F23+'20.mell. könyvtár fin terv'!F24+'19.mell. vsz finterv'!F24+'18.mell. eszesz finterv'!F24+'17.mell. PH ei.felh.'!F26</f>
        <v>3550</v>
      </c>
      <c r="F22" s="162">
        <f>+'15.mell. ÖK finansz.'!G23+'20.mell. könyvtár fin terv'!G24+'19.mell. vsz finterv'!G24+'18.mell. eszesz finterv'!G24+'17.mell. PH ei.felh.'!G26</f>
        <v>2825</v>
      </c>
      <c r="G22" s="162">
        <f>+'15.mell. ÖK finansz.'!H23+'20.mell. könyvtár fin terv'!H24+'19.mell. vsz finterv'!H24+'18.mell. eszesz finterv'!H24+'17.mell. PH ei.felh.'!H26</f>
        <v>2825</v>
      </c>
      <c r="H22" s="162">
        <f>+'15.mell. ÖK finansz.'!I23+'20.mell. könyvtár fin terv'!I24+'19.mell. vsz finterv'!I24+'18.mell. eszesz finterv'!I24+'17.mell. PH ei.felh.'!I26</f>
        <v>8050</v>
      </c>
      <c r="I22" s="162">
        <f>+'15.mell. ÖK finansz.'!J23+'20.mell. könyvtár fin terv'!J24+'19.mell. vsz finterv'!J24+'18.mell. eszesz finterv'!J24+'17.mell. PH ei.felh.'!J26</f>
        <v>2825</v>
      </c>
      <c r="J22" s="162">
        <f>+'15.mell. ÖK finansz.'!K23+'20.mell. könyvtár fin terv'!K24+'19.mell. vsz finterv'!K24+'18.mell. eszesz finterv'!K24+'17.mell. PH ei.felh.'!K26</f>
        <v>2825</v>
      </c>
      <c r="K22" s="162">
        <f>+'15.mell. ÖK finansz.'!L23+'20.mell. könyvtár fin terv'!L24+'19.mell. vsz finterv'!L24+'18.mell. eszesz finterv'!L24+'17.mell. PH ei.felh.'!L26</f>
        <v>3550</v>
      </c>
      <c r="L22" s="162">
        <f>+'15.mell. ÖK finansz.'!M23+'20.mell. könyvtár fin terv'!M24+'19.mell. vsz finterv'!M24+'18.mell. eszesz finterv'!M24+'17.mell. PH ei.felh.'!M26</f>
        <v>2825</v>
      </c>
      <c r="M22" s="162">
        <f>+'15.mell. ÖK finansz.'!N23+'20.mell. könyvtár fin terv'!N24+'19.mell. vsz finterv'!N24+'18.mell. eszesz finterv'!N24+'17.mell. PH ei.felh.'!N26</f>
        <v>2825</v>
      </c>
      <c r="N22" s="162">
        <f>+'15.mell. ÖK finansz.'!O23+'20.mell. könyvtár fin terv'!O24+'19.mell. vsz finterv'!O24+'18.mell. eszesz finterv'!O24+'17.mell. PH ei.felh.'!O26</f>
        <v>8044</v>
      </c>
      <c r="O22" s="160">
        <f t="shared" si="1"/>
        <v>45794</v>
      </c>
      <c r="P22" s="161">
        <f>+'2.mell. pfkiadás'!E15</f>
        <v>120174</v>
      </c>
      <c r="Q22" s="161">
        <f t="shared" si="0"/>
        <v>74380</v>
      </c>
      <c r="R22" s="161"/>
      <c r="S22" s="161"/>
    </row>
    <row r="23" spans="1:19" ht="21" customHeight="1">
      <c r="A23" s="128" t="s">
        <v>39</v>
      </c>
      <c r="B23" s="134" t="s">
        <v>248</v>
      </c>
      <c r="C23" s="162">
        <f>+'15.mell. ÖK finansz.'!D24+'20.mell. könyvtár fin terv'!D25+'19.mell. vsz finterv'!D25+'18.mell. eszesz finterv'!D25+'17.mell. PH ei.felh.'!D27</f>
        <v>4036</v>
      </c>
      <c r="D23" s="162">
        <f>+'15.mell. ÖK finansz.'!E24+'20.mell. könyvtár fin terv'!E25+'19.mell. vsz finterv'!E25+'18.mell. eszesz finterv'!E25+'17.mell. PH ei.felh.'!E27</f>
        <v>4036</v>
      </c>
      <c r="E23" s="162">
        <f>+'15.mell. ÖK finansz.'!F24+'20.mell. könyvtár fin terv'!F25+'19.mell. vsz finterv'!F25+'18.mell. eszesz finterv'!F25+'17.mell. PH ei.felh.'!F27</f>
        <v>4036</v>
      </c>
      <c r="F23" s="162">
        <f>+'15.mell. ÖK finansz.'!G24+'20.mell. könyvtár fin terv'!G25+'19.mell. vsz finterv'!G25+'18.mell. eszesz finterv'!G25+'17.mell. PH ei.felh.'!G27</f>
        <v>4036</v>
      </c>
      <c r="G23" s="162">
        <f>+'15.mell. ÖK finansz.'!H24+'20.mell. könyvtár fin terv'!H25+'19.mell. vsz finterv'!H25+'18.mell. eszesz finterv'!H25+'17.mell. PH ei.felh.'!H27</f>
        <v>4036</v>
      </c>
      <c r="H23" s="162">
        <f>+'15.mell. ÖK finansz.'!I24+'20.mell. könyvtár fin terv'!I25+'19.mell. vsz finterv'!I25+'18.mell. eszesz finterv'!I25+'17.mell. PH ei.felh.'!I27</f>
        <v>4036</v>
      </c>
      <c r="I23" s="162">
        <f>+'15.mell. ÖK finansz.'!J24+'20.mell. könyvtár fin terv'!J25+'19.mell. vsz finterv'!J25+'18.mell. eszesz finterv'!J25+'17.mell. PH ei.felh.'!J27</f>
        <v>4036</v>
      </c>
      <c r="J23" s="162">
        <f>+'15.mell. ÖK finansz.'!K24+'20.mell. könyvtár fin terv'!K25+'19.mell. vsz finterv'!K25+'18.mell. eszesz finterv'!K25+'17.mell. PH ei.felh.'!K27</f>
        <v>4036</v>
      </c>
      <c r="K23" s="162">
        <f>+'15.mell. ÖK finansz.'!L24+'20.mell. könyvtár fin terv'!L25+'19.mell. vsz finterv'!L25+'18.mell. eszesz finterv'!L25+'17.mell. PH ei.felh.'!L27</f>
        <v>4036</v>
      </c>
      <c r="L23" s="162">
        <f>+'15.mell. ÖK finansz.'!M24+'20.mell. könyvtár fin terv'!M25+'19.mell. vsz finterv'!M25+'18.mell. eszesz finterv'!M25+'17.mell. PH ei.felh.'!M27</f>
        <v>4036</v>
      </c>
      <c r="M23" s="162">
        <f>+'15.mell. ÖK finansz.'!N24+'20.mell. könyvtár fin terv'!N25+'19.mell. vsz finterv'!N25+'18.mell. eszesz finterv'!N25+'17.mell. PH ei.felh.'!N27</f>
        <v>4036</v>
      </c>
      <c r="N23" s="162">
        <f>+'15.mell. ÖK finansz.'!O24+'20.mell. könyvtár fin terv'!O25+'19.mell. vsz finterv'!O25+'18.mell. eszesz finterv'!O25+'17.mell. PH ei.felh.'!O27</f>
        <v>4042</v>
      </c>
      <c r="O23" s="160">
        <f t="shared" si="1"/>
        <v>48438</v>
      </c>
      <c r="P23" s="161">
        <f>+'2.mell. pfkiadás'!E11</f>
        <v>48438</v>
      </c>
      <c r="Q23" s="161">
        <f t="shared" si="0"/>
        <v>0</v>
      </c>
      <c r="R23" s="161"/>
      <c r="S23" s="161"/>
    </row>
    <row r="24" spans="1:19" ht="13.5" customHeight="1">
      <c r="A24" s="128" t="s">
        <v>41</v>
      </c>
      <c r="B24" s="129" t="s">
        <v>357</v>
      </c>
      <c r="C24" s="162">
        <f>+'15.mell. ÖK finansz.'!D25+'20.mell. könyvtár fin terv'!D26+'19.mell. vsz finterv'!D26+'18.mell. eszesz finterv'!D26+'17.mell. PH ei.felh.'!D28</f>
        <v>0</v>
      </c>
      <c r="D24" s="162">
        <f>+'15.mell. ÖK finansz.'!E25+'20.mell. könyvtár fin terv'!E26+'19.mell. vsz finterv'!E26+'18.mell. eszesz finterv'!E26+'17.mell. PH ei.felh.'!E28</f>
        <v>0</v>
      </c>
      <c r="E24" s="162">
        <f>+'15.mell. ÖK finansz.'!F25+'20.mell. könyvtár fin terv'!F26+'19.mell. vsz finterv'!F26+'18.mell. eszesz finterv'!F26+'17.mell. PH ei.felh.'!F28</f>
        <v>1000</v>
      </c>
      <c r="F24" s="162">
        <f>+'15.mell. ÖK finansz.'!G25+'20.mell. könyvtár fin terv'!G26+'19.mell. vsz finterv'!G26+'18.mell. eszesz finterv'!G26+'17.mell. PH ei.felh.'!G28</f>
        <v>2000</v>
      </c>
      <c r="G24" s="162">
        <f>+'15.mell. ÖK finansz.'!H25+'20.mell. könyvtár fin terv'!H26+'19.mell. vsz finterv'!H26+'18.mell. eszesz finterv'!H26+'17.mell. PH ei.felh.'!H28</f>
        <v>0</v>
      </c>
      <c r="H24" s="162">
        <f>+'15.mell. ÖK finansz.'!I25+'20.mell. könyvtár fin terv'!I26+'19.mell. vsz finterv'!I26+'18.mell. eszesz finterv'!I26+'17.mell. PH ei.felh.'!I28</f>
        <v>0</v>
      </c>
      <c r="I24" s="162">
        <f>+'15.mell. ÖK finansz.'!J25+'20.mell. könyvtár fin terv'!J26+'19.mell. vsz finterv'!J26+'18.mell. eszesz finterv'!J26+'17.mell. PH ei.felh.'!J28</f>
        <v>1000</v>
      </c>
      <c r="J24" s="162">
        <f>+'15.mell. ÖK finansz.'!K25+'20.mell. könyvtár fin terv'!K26+'19.mell. vsz finterv'!K26+'18.mell. eszesz finterv'!K26+'17.mell. PH ei.felh.'!K28</f>
        <v>0</v>
      </c>
      <c r="K24" s="162">
        <f>+'15.mell. ÖK finansz.'!L25+'20.mell. könyvtár fin terv'!L26+'19.mell. vsz finterv'!L26+'18.mell. eszesz finterv'!L26+'17.mell. PH ei.felh.'!L28</f>
        <v>0</v>
      </c>
      <c r="L24" s="162">
        <f>+'15.mell. ÖK finansz.'!M25+'20.mell. könyvtár fin terv'!M26+'19.mell. vsz finterv'!M26+'18.mell. eszesz finterv'!M26+'17.mell. PH ei.felh.'!M28</f>
        <v>0</v>
      </c>
      <c r="M24" s="162">
        <f>+'15.mell. ÖK finansz.'!N25+'20.mell. könyvtár fin terv'!N26+'19.mell. vsz finterv'!N26+'18.mell. eszesz finterv'!N26+'17.mell. PH ei.felh.'!N28</f>
        <v>0</v>
      </c>
      <c r="N24" s="162">
        <f>+'15.mell. ÖK finansz.'!O25+'20.mell. könyvtár fin terv'!O26+'19.mell. vsz finterv'!O26+'18.mell. eszesz finterv'!O26+'17.mell. PH ei.felh.'!O28</f>
        <v>0</v>
      </c>
      <c r="O24" s="160">
        <f t="shared" si="1"/>
        <v>4000</v>
      </c>
      <c r="P24" s="161">
        <f>+'2.mell. pfkiadás'!E17</f>
        <v>74380</v>
      </c>
      <c r="Q24" s="161">
        <f t="shared" si="0"/>
        <v>70380</v>
      </c>
      <c r="R24" s="161"/>
      <c r="S24" s="161"/>
    </row>
    <row r="25" spans="1:19" ht="13.5" customHeight="1">
      <c r="A25" s="128" t="s">
        <v>42</v>
      </c>
      <c r="B25" s="129" t="s">
        <v>250</v>
      </c>
      <c r="C25" s="162">
        <f>+'15.mell. ÖK finansz.'!D26+'20.mell. könyvtár fin terv'!D27+'19.mell. vsz finterv'!D27+'18.mell. eszesz finterv'!D27+'17.mell. PH ei.felh.'!D29</f>
        <v>0</v>
      </c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60">
        <f t="shared" si="1"/>
        <v>0</v>
      </c>
      <c r="P25" s="161"/>
      <c r="Q25" s="161">
        <f t="shared" si="0"/>
        <v>0</v>
      </c>
      <c r="R25" s="161"/>
      <c r="S25" s="161"/>
    </row>
    <row r="26" spans="1:19" ht="13.5" customHeight="1">
      <c r="A26" s="128" t="s">
        <v>43</v>
      </c>
      <c r="B26" s="129" t="s">
        <v>251</v>
      </c>
      <c r="C26" s="162">
        <f>+'15.mell. ÖK finansz.'!D27+'20.mell. könyvtár fin terv'!D28+'19.mell. vsz finterv'!D28+'18.mell. eszesz finterv'!D28+'17.mell. PH ei.felh.'!D30</f>
        <v>583</v>
      </c>
      <c r="D26" s="162">
        <f>+'15.mell. ÖK finansz.'!E27+'20.mell. könyvtár fin terv'!E28+'19.mell. vsz finterv'!E28+'18.mell. eszesz finterv'!E28+'17.mell. PH ei.felh.'!E30</f>
        <v>2583</v>
      </c>
      <c r="E26" s="162">
        <f>+'15.mell. ÖK finansz.'!F27+'20.mell. könyvtár fin terv'!F28+'19.mell. vsz finterv'!F28+'18.mell. eszesz finterv'!F28+'17.mell. PH ei.felh.'!F30</f>
        <v>583</v>
      </c>
      <c r="F26" s="162">
        <f>+'15.mell. ÖK finansz.'!G27+'20.mell. könyvtár fin terv'!G28+'19.mell. vsz finterv'!G28+'18.mell. eszesz finterv'!G28+'17.mell. PH ei.felh.'!G30</f>
        <v>583</v>
      </c>
      <c r="G26" s="162">
        <f>+'15.mell. ÖK finansz.'!H27+'20.mell. könyvtár fin terv'!H28+'19.mell. vsz finterv'!H28+'18.mell. eszesz finterv'!H28+'17.mell. PH ei.felh.'!H30</f>
        <v>72263</v>
      </c>
      <c r="H26" s="162">
        <f>+'15.mell. ÖK finansz.'!I27+'20.mell. könyvtár fin terv'!I28+'19.mell. vsz finterv'!I28+'18.mell. eszesz finterv'!I28+'17.mell. PH ei.felh.'!I30</f>
        <v>583</v>
      </c>
      <c r="I26" s="162">
        <f>+'15.mell. ÖK finansz.'!J27+'20.mell. könyvtár fin terv'!J28+'19.mell. vsz finterv'!J28+'18.mell. eszesz finterv'!J28+'17.mell. PH ei.felh.'!J30</f>
        <v>583</v>
      </c>
      <c r="J26" s="162">
        <f>+'15.mell. ÖK finansz.'!K27+'20.mell. könyvtár fin terv'!K28+'19.mell. vsz finterv'!K28+'18.mell. eszesz finterv'!K28+'17.mell. PH ei.felh.'!K30</f>
        <v>2383</v>
      </c>
      <c r="K26" s="162">
        <f>+'15.mell. ÖK finansz.'!L27+'20.mell. könyvtár fin terv'!L28+'19.mell. vsz finterv'!L28+'18.mell. eszesz finterv'!L28+'17.mell. PH ei.felh.'!L30</f>
        <v>20583</v>
      </c>
      <c r="L26" s="162">
        <f>+'15.mell. ÖK finansz.'!M27+'20.mell. könyvtár fin terv'!M28+'19.mell. vsz finterv'!M28+'18.mell. eszesz finterv'!M28+'17.mell. PH ei.felh.'!M30</f>
        <v>583</v>
      </c>
      <c r="M26" s="162">
        <f>+'15.mell. ÖK finansz.'!N27+'20.mell. könyvtár fin terv'!N28+'19.mell. vsz finterv'!N28+'18.mell. eszesz finterv'!N28+'17.mell. PH ei.felh.'!N30</f>
        <v>583</v>
      </c>
      <c r="N26" s="162">
        <f>+'15.mell. ÖK finansz.'!O27+'20.mell. könyvtár fin terv'!O28+'19.mell. vsz finterv'!O28+'18.mell. eszesz finterv'!O28+'17.mell. PH ei.felh.'!O30</f>
        <v>987</v>
      </c>
      <c r="O26" s="160">
        <f t="shared" si="1"/>
        <v>102880</v>
      </c>
      <c r="P26" s="161">
        <f>+'2.mell. pfkiadás'!E19+'2.mell. pfkiadás'!E23</f>
        <v>32500</v>
      </c>
      <c r="Q26" s="161">
        <f t="shared" si="0"/>
        <v>-70380</v>
      </c>
      <c r="R26" s="161"/>
      <c r="S26" s="161"/>
    </row>
    <row r="27" spans="1:56" s="151" customFormat="1" ht="13.5" customHeight="1" thickBot="1">
      <c r="A27" s="128" t="s">
        <v>44</v>
      </c>
      <c r="B27" s="129" t="s">
        <v>252</v>
      </c>
      <c r="C27" s="162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60">
        <f t="shared" si="1"/>
        <v>0</v>
      </c>
      <c r="P27" s="161"/>
      <c r="Q27" s="161">
        <f t="shared" si="0"/>
        <v>0</v>
      </c>
      <c r="R27" s="161"/>
      <c r="S27" s="161"/>
      <c r="T27" s="166"/>
      <c r="U27" s="150"/>
      <c r="V27" s="166"/>
      <c r="W27" s="150"/>
      <c r="X27" s="166"/>
      <c r="Y27" s="150"/>
      <c r="Z27" s="166"/>
      <c r="AA27" s="150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</row>
    <row r="28" spans="1:56" s="151" customFormat="1" ht="13.5" customHeight="1" thickBot="1">
      <c r="A28" s="142" t="s">
        <v>45</v>
      </c>
      <c r="B28" s="136" t="s">
        <v>253</v>
      </c>
      <c r="C28" s="164">
        <f>SUM(C17:C27)</f>
        <v>52430.85</v>
      </c>
      <c r="D28" s="164">
        <f aca="true" t="shared" si="3" ref="D28:N28">SUM(D17:D27)</f>
        <v>54545.15</v>
      </c>
      <c r="E28" s="164">
        <f t="shared" si="3"/>
        <v>54312.06</v>
      </c>
      <c r="F28" s="164">
        <f t="shared" si="3"/>
        <v>54603.57</v>
      </c>
      <c r="G28" s="164">
        <f t="shared" si="3"/>
        <v>124334.37</v>
      </c>
      <c r="H28" s="164">
        <f t="shared" si="3"/>
        <v>57947.630000000005</v>
      </c>
      <c r="I28" s="164">
        <f t="shared" si="3"/>
        <v>53739.14</v>
      </c>
      <c r="J28" s="164">
        <f t="shared" si="3"/>
        <v>54573.43</v>
      </c>
      <c r="K28" s="164">
        <f t="shared" si="3"/>
        <v>73512.4</v>
      </c>
      <c r="L28" s="164">
        <f t="shared" si="3"/>
        <v>52802.64</v>
      </c>
      <c r="M28" s="164">
        <f t="shared" si="3"/>
        <v>52812.8</v>
      </c>
      <c r="N28" s="164">
        <f t="shared" si="3"/>
        <v>58575.05</v>
      </c>
      <c r="O28" s="168">
        <f>SUM(C28:N28)</f>
        <v>744189.0900000001</v>
      </c>
      <c r="P28" s="165">
        <f>SUM(P17:P27)</f>
        <v>818569</v>
      </c>
      <c r="Q28" s="161">
        <f t="shared" si="0"/>
        <v>74379.90999999992</v>
      </c>
      <c r="R28" s="165">
        <f>+Q28-P28</f>
        <v>-744189.0900000001</v>
      </c>
      <c r="S28" s="165"/>
      <c r="T28" s="166">
        <f>SUM(O17:O27)</f>
        <v>744189.0900000001</v>
      </c>
      <c r="U28" s="150"/>
      <c r="V28" s="150"/>
      <c r="W28" s="150"/>
      <c r="X28" s="166"/>
      <c r="Y28" s="166"/>
      <c r="Z28" s="166"/>
      <c r="AA28" s="150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</row>
    <row r="29" spans="1:56" s="173" customFormat="1" ht="28.5" customHeight="1" thickBot="1">
      <c r="A29" s="142" t="s">
        <v>46</v>
      </c>
      <c r="B29" s="144" t="s">
        <v>258</v>
      </c>
      <c r="C29" s="169">
        <f>+C6+C15-C28</f>
        <v>24378.15</v>
      </c>
      <c r="D29" s="169">
        <f>+C29+D15-D28</f>
        <v>24589.999999999993</v>
      </c>
      <c r="E29" s="169">
        <f aca="true" t="shared" si="4" ref="E29:N29">+D29+E15-E28</f>
        <v>76576.94</v>
      </c>
      <c r="F29" s="169">
        <f t="shared" si="4"/>
        <v>66851.37</v>
      </c>
      <c r="G29" s="169">
        <f t="shared" si="4"/>
        <v>57275</v>
      </c>
      <c r="H29" s="169">
        <f t="shared" si="4"/>
        <v>47705.369999999995</v>
      </c>
      <c r="I29" s="169">
        <f t="shared" si="4"/>
        <v>43844.229999999996</v>
      </c>
      <c r="J29" s="169">
        <f t="shared" si="4"/>
        <v>37648.799999999996</v>
      </c>
      <c r="K29" s="169">
        <f t="shared" si="4"/>
        <v>57556.399999999994</v>
      </c>
      <c r="L29" s="169">
        <f t="shared" si="4"/>
        <v>49631.759999999995</v>
      </c>
      <c r="M29" s="169">
        <f t="shared" si="4"/>
        <v>40196.95999999999</v>
      </c>
      <c r="N29" s="169">
        <f t="shared" si="4"/>
        <v>25545.90999999999</v>
      </c>
      <c r="O29" s="170" t="s">
        <v>256</v>
      </c>
      <c r="P29" s="171">
        <f>+'2.mell. pfkiadás'!E26</f>
        <v>744189</v>
      </c>
      <c r="Q29" s="171">
        <f>+P15-P29</f>
        <v>-0.37100000004284084</v>
      </c>
      <c r="R29" s="171"/>
      <c r="S29" s="171">
        <f>+S28-O28</f>
        <v>-744189.0900000001</v>
      </c>
      <c r="T29" s="172"/>
      <c r="U29" s="150"/>
      <c r="V29" s="150"/>
      <c r="W29" s="150"/>
      <c r="X29" s="172">
        <f>SUM(O17:O26)</f>
        <v>744189.0900000001</v>
      </c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</row>
    <row r="30" spans="2:56" s="173" customFormat="1" ht="28.5" customHeight="1">
      <c r="B30" s="151"/>
      <c r="P30" s="173">
        <f>+P29-P28</f>
        <v>-74380</v>
      </c>
      <c r="Q30" s="173">
        <f>+'1.mell. pfbevétel'!E43</f>
        <v>0</v>
      </c>
      <c r="R30" s="173">
        <f>SUM(C29:N29)</f>
        <v>551800.8899999999</v>
      </c>
      <c r="T30" s="172"/>
      <c r="U30" s="150"/>
      <c r="V30" s="150"/>
      <c r="W30" s="150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</row>
    <row r="31" spans="2:21" ht="13.5" customHeight="1">
      <c r="B31" s="37" t="s">
        <v>54</v>
      </c>
      <c r="C31" s="37">
        <v>13399</v>
      </c>
      <c r="D31" s="37">
        <f>+C31</f>
        <v>13399</v>
      </c>
      <c r="E31" s="37">
        <f aca="true" t="shared" si="5" ref="E31:M31">+D31</f>
        <v>13399</v>
      </c>
      <c r="F31" s="37">
        <f t="shared" si="5"/>
        <v>13399</v>
      </c>
      <c r="G31" s="37">
        <f t="shared" si="5"/>
        <v>13399</v>
      </c>
      <c r="H31" s="37">
        <f t="shared" si="5"/>
        <v>13399</v>
      </c>
      <c r="I31" s="37">
        <f t="shared" si="5"/>
        <v>13399</v>
      </c>
      <c r="J31" s="37">
        <f t="shared" si="5"/>
        <v>13399</v>
      </c>
      <c r="K31" s="37">
        <f t="shared" si="5"/>
        <v>13399</v>
      </c>
      <c r="L31" s="37">
        <f t="shared" si="5"/>
        <v>13399</v>
      </c>
      <c r="M31" s="37">
        <f t="shared" si="5"/>
        <v>13399</v>
      </c>
      <c r="N31" s="37">
        <f>+M31-4</f>
        <v>13395</v>
      </c>
      <c r="O31" s="151">
        <f>SUM(C31:N31)</f>
        <v>160784</v>
      </c>
      <c r="T31" s="150">
        <v>160784</v>
      </c>
      <c r="U31" s="150">
        <f>+T31-O31</f>
        <v>0</v>
      </c>
    </row>
    <row r="32" spans="2:21" ht="13.5" customHeight="1">
      <c r="B32" s="37" t="s">
        <v>259</v>
      </c>
      <c r="E32" s="37">
        <v>150</v>
      </c>
      <c r="H32" s="37">
        <v>150</v>
      </c>
      <c r="K32" s="37">
        <v>150</v>
      </c>
      <c r="N32" s="37">
        <v>150</v>
      </c>
      <c r="O32" s="151">
        <f aca="true" t="shared" si="6" ref="O32:O37">SUM(C32:N32)</f>
        <v>600</v>
      </c>
      <c r="T32" s="150">
        <v>600</v>
      </c>
      <c r="U32" s="150">
        <f aca="true" t="shared" si="7" ref="U32:U37">+T32-O32</f>
        <v>0</v>
      </c>
    </row>
    <row r="33" spans="2:22" ht="13.5" customHeight="1">
      <c r="B33" s="37" t="s">
        <v>259</v>
      </c>
      <c r="C33" s="37">
        <v>250</v>
      </c>
      <c r="D33" s="37">
        <f>+C33</f>
        <v>250</v>
      </c>
      <c r="E33" s="37">
        <f aca="true" t="shared" si="8" ref="E33:N33">+D33</f>
        <v>250</v>
      </c>
      <c r="F33" s="37">
        <f t="shared" si="8"/>
        <v>250</v>
      </c>
      <c r="G33" s="37">
        <f t="shared" si="8"/>
        <v>250</v>
      </c>
      <c r="H33" s="37">
        <f t="shared" si="8"/>
        <v>250</v>
      </c>
      <c r="I33" s="37">
        <f t="shared" si="8"/>
        <v>250</v>
      </c>
      <c r="J33" s="37">
        <f t="shared" si="8"/>
        <v>250</v>
      </c>
      <c r="K33" s="37">
        <f t="shared" si="8"/>
        <v>250</v>
      </c>
      <c r="L33" s="37">
        <f t="shared" si="8"/>
        <v>250</v>
      </c>
      <c r="M33" s="37">
        <f t="shared" si="8"/>
        <v>250</v>
      </c>
      <c r="N33" s="37">
        <f t="shared" si="8"/>
        <v>250</v>
      </c>
      <c r="O33" s="151">
        <f t="shared" si="6"/>
        <v>3000</v>
      </c>
      <c r="T33" s="150">
        <v>3000</v>
      </c>
      <c r="U33" s="150">
        <f t="shared" si="7"/>
        <v>0</v>
      </c>
      <c r="V33" s="150">
        <f>+T33/12</f>
        <v>250</v>
      </c>
    </row>
    <row r="34" spans="2:22" ht="13.5" customHeight="1">
      <c r="B34" s="37" t="s">
        <v>260</v>
      </c>
      <c r="E34" s="37">
        <v>3500</v>
      </c>
      <c r="I34" s="37">
        <v>1500</v>
      </c>
      <c r="L34" s="37">
        <v>1500</v>
      </c>
      <c r="N34" s="37">
        <v>1500</v>
      </c>
      <c r="O34" s="151">
        <f t="shared" si="6"/>
        <v>8000</v>
      </c>
      <c r="T34" s="150">
        <v>8000</v>
      </c>
      <c r="U34" s="150">
        <f t="shared" si="7"/>
        <v>0</v>
      </c>
      <c r="V34" s="150">
        <f>+T34/12</f>
        <v>666.6666666666666</v>
      </c>
    </row>
    <row r="35" spans="2:21" ht="13.5" customHeight="1">
      <c r="B35" s="37" t="s">
        <v>261</v>
      </c>
      <c r="F35" s="37">
        <v>760</v>
      </c>
      <c r="O35" s="151">
        <f t="shared" si="6"/>
        <v>760</v>
      </c>
      <c r="T35" s="150">
        <v>760</v>
      </c>
      <c r="U35" s="150">
        <f t="shared" si="7"/>
        <v>0</v>
      </c>
    </row>
    <row r="36" spans="1:21" ht="13.5" customHeight="1">
      <c r="A36" s="150"/>
      <c r="B36" s="150" t="s">
        <v>262</v>
      </c>
      <c r="C36" s="150"/>
      <c r="D36" s="150"/>
      <c r="E36" s="150"/>
      <c r="F36" s="150"/>
      <c r="G36" s="150">
        <v>14622</v>
      </c>
      <c r="H36" s="150"/>
      <c r="I36" s="150"/>
      <c r="J36" s="150"/>
      <c r="K36" s="150"/>
      <c r="L36" s="150"/>
      <c r="M36" s="150"/>
      <c r="N36" s="150"/>
      <c r="O36" s="151">
        <f t="shared" si="6"/>
        <v>14622</v>
      </c>
      <c r="T36" s="150">
        <v>14622</v>
      </c>
      <c r="U36" s="150">
        <f t="shared" si="7"/>
        <v>0</v>
      </c>
    </row>
    <row r="37" spans="1:21" ht="13.5" customHeight="1">
      <c r="A37" s="150"/>
      <c r="B37" s="150" t="s">
        <v>263</v>
      </c>
      <c r="C37" s="150"/>
      <c r="D37" s="150"/>
      <c r="E37" s="150"/>
      <c r="F37" s="150"/>
      <c r="G37" s="150"/>
      <c r="H37" s="150">
        <v>3361</v>
      </c>
      <c r="I37" s="150"/>
      <c r="J37" s="150"/>
      <c r="K37" s="150"/>
      <c r="L37" s="150"/>
      <c r="M37" s="150"/>
      <c r="N37" s="150">
        <v>1144</v>
      </c>
      <c r="O37" s="151">
        <f t="shared" si="6"/>
        <v>4505</v>
      </c>
      <c r="T37" s="150">
        <f>3361+1144</f>
        <v>4505</v>
      </c>
      <c r="U37" s="150">
        <f t="shared" si="7"/>
        <v>0</v>
      </c>
    </row>
    <row r="38" spans="1:20" ht="13.5" customHeight="1">
      <c r="A38" s="150"/>
      <c r="B38" s="150"/>
      <c r="C38" s="150">
        <f>SUM(C31:C37)</f>
        <v>13649</v>
      </c>
      <c r="D38" s="150">
        <f aca="true" t="shared" si="9" ref="D38:T38">SUM(D31:D37)</f>
        <v>13649</v>
      </c>
      <c r="E38" s="150">
        <f t="shared" si="9"/>
        <v>17299</v>
      </c>
      <c r="F38" s="150">
        <f t="shared" si="9"/>
        <v>14409</v>
      </c>
      <c r="G38" s="150">
        <f t="shared" si="9"/>
        <v>28271</v>
      </c>
      <c r="H38" s="150">
        <f t="shared" si="9"/>
        <v>17160</v>
      </c>
      <c r="I38" s="150">
        <f t="shared" si="9"/>
        <v>15149</v>
      </c>
      <c r="J38" s="150">
        <f t="shared" si="9"/>
        <v>13649</v>
      </c>
      <c r="K38" s="150">
        <f t="shared" si="9"/>
        <v>13799</v>
      </c>
      <c r="L38" s="150">
        <f t="shared" si="9"/>
        <v>15149</v>
      </c>
      <c r="M38" s="150">
        <f t="shared" si="9"/>
        <v>13649</v>
      </c>
      <c r="N38" s="150">
        <f t="shared" si="9"/>
        <v>16439</v>
      </c>
      <c r="O38" s="150">
        <f t="shared" si="9"/>
        <v>192271</v>
      </c>
      <c r="P38" s="150"/>
      <c r="Q38" s="150"/>
      <c r="R38" s="150"/>
      <c r="S38" s="150"/>
      <c r="T38" s="150">
        <f t="shared" si="9"/>
        <v>192271</v>
      </c>
    </row>
    <row r="39" spans="1:19" ht="13.5" customHeight="1">
      <c r="A39" s="150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</row>
    <row r="40" spans="1:23" ht="13.5" customHeight="1">
      <c r="A40" s="150"/>
      <c r="B40" s="210" t="s">
        <v>264</v>
      </c>
      <c r="C40" s="210">
        <v>100</v>
      </c>
      <c r="D40" s="210">
        <v>300</v>
      </c>
      <c r="E40" s="210">
        <v>5500</v>
      </c>
      <c r="F40" s="210">
        <v>1200</v>
      </c>
      <c r="G40" s="210">
        <v>200</v>
      </c>
      <c r="H40" s="210">
        <v>364</v>
      </c>
      <c r="I40" s="210">
        <v>300</v>
      </c>
      <c r="J40" s="210">
        <v>250</v>
      </c>
      <c r="K40" s="210">
        <v>5500</v>
      </c>
      <c r="L40" s="210">
        <v>1200</v>
      </c>
      <c r="M40" s="210">
        <v>200</v>
      </c>
      <c r="N40" s="210">
        <v>100</v>
      </c>
      <c r="O40" s="210">
        <f>SUM(C40:N40)</f>
        <v>15214</v>
      </c>
      <c r="P40" s="210">
        <f>+'1.mell. pfbevétel'!E6</f>
        <v>18400</v>
      </c>
      <c r="Q40" s="150"/>
      <c r="R40" s="150"/>
      <c r="S40" s="150"/>
      <c r="T40" s="150">
        <v>15214</v>
      </c>
      <c r="U40" s="150">
        <f>+T40-O40</f>
        <v>0</v>
      </c>
      <c r="W40" s="150">
        <f>108*1.5</f>
        <v>162</v>
      </c>
    </row>
    <row r="41" spans="1:23" ht="12.75" customHeight="1">
      <c r="A41" s="150"/>
      <c r="B41" s="209" t="s">
        <v>38</v>
      </c>
      <c r="C41" s="209"/>
      <c r="D41" s="209"/>
      <c r="E41" s="209"/>
      <c r="F41" s="209"/>
      <c r="G41" s="209">
        <v>4500</v>
      </c>
      <c r="H41" s="209"/>
      <c r="I41" s="209">
        <v>25000</v>
      </c>
      <c r="J41" s="209"/>
      <c r="K41" s="209"/>
      <c r="L41" s="209"/>
      <c r="M41" s="209">
        <v>10745</v>
      </c>
      <c r="N41" s="209" t="e">
        <f>+'1.mell. pfbevétel'!#REF!-4500</f>
        <v>#REF!</v>
      </c>
      <c r="O41" s="209" t="e">
        <f aca="true" t="shared" si="10" ref="O41:O71">SUM(C41:N41)</f>
        <v>#REF!</v>
      </c>
      <c r="P41" s="209" t="e">
        <f>+'1.mell. pfbevétel'!#REF!</f>
        <v>#REF!</v>
      </c>
      <c r="Q41" s="150" t="e">
        <f>+P41-O41</f>
        <v>#REF!</v>
      </c>
      <c r="R41" s="150"/>
      <c r="S41" s="150"/>
      <c r="T41" s="150">
        <f>17610+8788+5739</f>
        <v>32137</v>
      </c>
      <c r="U41" s="150" t="e">
        <f aca="true" t="shared" si="11" ref="U41:U67">+T41-O41</f>
        <v>#REF!</v>
      </c>
      <c r="W41" s="150">
        <f>+W40*8.5</f>
        <v>1377</v>
      </c>
    </row>
    <row r="42" spans="1:21" ht="13.5" customHeight="1" hidden="1">
      <c r="A42" s="150"/>
      <c r="B42" s="166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>
        <f t="shared" si="10"/>
        <v>0</v>
      </c>
      <c r="P42" s="150"/>
      <c r="Q42" s="150"/>
      <c r="R42" s="150"/>
      <c r="S42" s="150"/>
      <c r="U42" s="150">
        <f t="shared" si="11"/>
        <v>0</v>
      </c>
    </row>
    <row r="43" spans="1:21" ht="13.5" customHeight="1" hidden="1">
      <c r="A43" s="150"/>
      <c r="B43" s="166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>
        <f t="shared" si="10"/>
        <v>0</v>
      </c>
      <c r="P43" s="150"/>
      <c r="Q43" s="150"/>
      <c r="R43" s="150"/>
      <c r="S43" s="150"/>
      <c r="U43" s="150">
        <f t="shared" si="11"/>
        <v>0</v>
      </c>
    </row>
    <row r="44" spans="1:21" ht="13.5" customHeight="1" hidden="1">
      <c r="A44" s="150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>
        <f t="shared" si="10"/>
        <v>0</v>
      </c>
      <c r="P44" s="150"/>
      <c r="Q44" s="150"/>
      <c r="R44" s="150"/>
      <c r="S44" s="150"/>
      <c r="U44" s="150">
        <f t="shared" si="11"/>
        <v>0</v>
      </c>
    </row>
    <row r="45" spans="1:21" ht="13.5" customHeight="1" hidden="1">
      <c r="A45" s="150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>
        <f t="shared" si="10"/>
        <v>0</v>
      </c>
      <c r="P45" s="150"/>
      <c r="Q45" s="150"/>
      <c r="R45" s="150"/>
      <c r="S45" s="150"/>
      <c r="U45" s="150">
        <f t="shared" si="11"/>
        <v>0</v>
      </c>
    </row>
    <row r="46" spans="1:21" ht="13.5" customHeight="1" hidden="1">
      <c r="A46" s="150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>
        <f t="shared" si="10"/>
        <v>0</v>
      </c>
      <c r="P46" s="150"/>
      <c r="Q46" s="150"/>
      <c r="R46" s="150"/>
      <c r="S46" s="150"/>
      <c r="U46" s="150">
        <f t="shared" si="11"/>
        <v>0</v>
      </c>
    </row>
    <row r="47" spans="1:21" ht="13.5" customHeight="1" hidden="1">
      <c r="A47" s="150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>
        <f t="shared" si="10"/>
        <v>0</v>
      </c>
      <c r="P47" s="150"/>
      <c r="Q47" s="150"/>
      <c r="R47" s="150"/>
      <c r="S47" s="150"/>
      <c r="U47" s="150">
        <f t="shared" si="11"/>
        <v>0</v>
      </c>
    </row>
    <row r="48" spans="1:21" ht="13.5" customHeight="1" hidden="1">
      <c r="A48" s="150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>
        <f t="shared" si="10"/>
        <v>0</v>
      </c>
      <c r="P48" s="150"/>
      <c r="Q48" s="150"/>
      <c r="R48" s="150"/>
      <c r="S48" s="150"/>
      <c r="U48" s="150">
        <f t="shared" si="11"/>
        <v>0</v>
      </c>
    </row>
    <row r="49" spans="1:21" ht="13.5" customHeight="1" hidden="1">
      <c r="A49" s="150"/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>
        <f t="shared" si="10"/>
        <v>0</v>
      </c>
      <c r="P49" s="150"/>
      <c r="Q49" s="150"/>
      <c r="R49" s="150"/>
      <c r="S49" s="150"/>
      <c r="U49" s="150">
        <f t="shared" si="11"/>
        <v>0</v>
      </c>
    </row>
    <row r="50" spans="1:21" ht="13.5" customHeight="1" hidden="1">
      <c r="A50" s="150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>
        <f t="shared" si="10"/>
        <v>0</v>
      </c>
      <c r="P50" s="150"/>
      <c r="Q50" s="150"/>
      <c r="R50" s="150"/>
      <c r="S50" s="150"/>
      <c r="U50" s="150">
        <f t="shared" si="11"/>
        <v>0</v>
      </c>
    </row>
    <row r="51" spans="1:21" ht="13.5" customHeight="1" hidden="1">
      <c r="A51" s="150"/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>
        <f t="shared" si="10"/>
        <v>0</v>
      </c>
      <c r="P51" s="150"/>
      <c r="Q51" s="150"/>
      <c r="R51" s="150"/>
      <c r="S51" s="150"/>
      <c r="U51" s="150">
        <f t="shared" si="11"/>
        <v>0</v>
      </c>
    </row>
    <row r="52" spans="1:21" ht="13.5" customHeight="1" hidden="1">
      <c r="A52" s="150"/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>
        <f t="shared" si="10"/>
        <v>0</v>
      </c>
      <c r="P52" s="150"/>
      <c r="Q52" s="150"/>
      <c r="R52" s="150"/>
      <c r="S52" s="150"/>
      <c r="U52" s="150">
        <f t="shared" si="11"/>
        <v>0</v>
      </c>
    </row>
    <row r="53" spans="1:21" ht="13.5" customHeight="1" hidden="1">
      <c r="A53" s="150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>
        <f t="shared" si="10"/>
        <v>0</v>
      </c>
      <c r="P53" s="150"/>
      <c r="Q53" s="150"/>
      <c r="R53" s="150"/>
      <c r="S53" s="150"/>
      <c r="U53" s="150">
        <f t="shared" si="11"/>
        <v>0</v>
      </c>
    </row>
    <row r="54" spans="1:21" ht="13.5" customHeight="1" hidden="1">
      <c r="A54" s="150"/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>
        <f t="shared" si="10"/>
        <v>0</v>
      </c>
      <c r="P54" s="150"/>
      <c r="Q54" s="150"/>
      <c r="R54" s="150"/>
      <c r="S54" s="150"/>
      <c r="U54" s="150">
        <f t="shared" si="11"/>
        <v>0</v>
      </c>
    </row>
    <row r="55" spans="1:21" ht="13.5" customHeight="1" hidden="1">
      <c r="A55" s="150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>
        <f t="shared" si="10"/>
        <v>0</v>
      </c>
      <c r="P55" s="150"/>
      <c r="Q55" s="150"/>
      <c r="R55" s="150"/>
      <c r="S55" s="150"/>
      <c r="U55" s="150">
        <f t="shared" si="11"/>
        <v>0</v>
      </c>
    </row>
    <row r="56" spans="1:21" ht="13.5" customHeight="1" hidden="1">
      <c r="A56" s="150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>
        <f t="shared" si="10"/>
        <v>0</v>
      </c>
      <c r="P56" s="150"/>
      <c r="Q56" s="150"/>
      <c r="R56" s="150"/>
      <c r="S56" s="150"/>
      <c r="U56" s="150">
        <f t="shared" si="11"/>
        <v>0</v>
      </c>
    </row>
    <row r="57" spans="1:21" ht="13.5" customHeight="1" hidden="1">
      <c r="A57" s="150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>
        <f t="shared" si="10"/>
        <v>0</v>
      </c>
      <c r="P57" s="150"/>
      <c r="Q57" s="150"/>
      <c r="R57" s="150"/>
      <c r="S57" s="150"/>
      <c r="U57" s="150">
        <f t="shared" si="11"/>
        <v>0</v>
      </c>
    </row>
    <row r="58" spans="1:21" ht="13.5" customHeight="1" hidden="1">
      <c r="A58" s="150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>
        <f t="shared" si="10"/>
        <v>0</v>
      </c>
      <c r="P58" s="150"/>
      <c r="Q58" s="150"/>
      <c r="R58" s="150"/>
      <c r="S58" s="150"/>
      <c r="U58" s="150">
        <f t="shared" si="11"/>
        <v>0</v>
      </c>
    </row>
    <row r="59" spans="1:21" ht="13.5" customHeight="1" hidden="1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>
        <f t="shared" si="10"/>
        <v>0</v>
      </c>
      <c r="P59" s="150"/>
      <c r="Q59" s="150"/>
      <c r="R59" s="150"/>
      <c r="S59" s="150"/>
      <c r="U59" s="150">
        <f t="shared" si="11"/>
        <v>0</v>
      </c>
    </row>
    <row r="60" spans="1:21" ht="13.5" customHeight="1" hidden="1">
      <c r="A60" s="150"/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>
        <f t="shared" si="10"/>
        <v>0</v>
      </c>
      <c r="P60" s="150"/>
      <c r="Q60" s="150"/>
      <c r="R60" s="150"/>
      <c r="S60" s="150"/>
      <c r="U60" s="150">
        <f t="shared" si="11"/>
        <v>0</v>
      </c>
    </row>
    <row r="61" spans="1:21" ht="13.5" customHeight="1" hidden="1">
      <c r="A61" s="150"/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>
        <f t="shared" si="10"/>
        <v>0</v>
      </c>
      <c r="P61" s="150"/>
      <c r="Q61" s="150"/>
      <c r="R61" s="150"/>
      <c r="S61" s="150"/>
      <c r="U61" s="150">
        <f t="shared" si="11"/>
        <v>0</v>
      </c>
    </row>
    <row r="62" spans="1:21" ht="13.5" customHeight="1" hidden="1">
      <c r="A62" s="150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>
        <f t="shared" si="10"/>
        <v>0</v>
      </c>
      <c r="P62" s="150"/>
      <c r="Q62" s="150"/>
      <c r="R62" s="150"/>
      <c r="S62" s="150"/>
      <c r="U62" s="150">
        <f t="shared" si="11"/>
        <v>0</v>
      </c>
    </row>
    <row r="63" spans="1:21" ht="13.5" customHeight="1" hidden="1">
      <c r="A63" s="150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>
        <f t="shared" si="10"/>
        <v>0</v>
      </c>
      <c r="P63" s="150"/>
      <c r="Q63" s="150"/>
      <c r="R63" s="150"/>
      <c r="S63" s="150"/>
      <c r="U63" s="150">
        <f t="shared" si="11"/>
        <v>0</v>
      </c>
    </row>
    <row r="64" spans="1:21" ht="13.5" customHeight="1">
      <c r="A64" s="150"/>
      <c r="B64" s="150"/>
      <c r="C64" s="150">
        <f>+'[3]felhbevétel'!F9</f>
        <v>11500</v>
      </c>
      <c r="D64" s="150"/>
      <c r="E64" s="150"/>
      <c r="F64" s="150"/>
      <c r="G64" s="150"/>
      <c r="H64" s="150"/>
      <c r="I64" s="150"/>
      <c r="J64" s="150"/>
      <c r="K64" s="150"/>
      <c r="L64" s="150"/>
      <c r="M64" s="150">
        <f>+'[3]felhbevétel'!F10</f>
        <v>6789</v>
      </c>
      <c r="N64" s="150">
        <f>+'[3]felhbevétel'!F8</f>
        <v>12460</v>
      </c>
      <c r="O64" s="150">
        <v>30749</v>
      </c>
      <c r="P64" s="150"/>
      <c r="Q64" s="150"/>
      <c r="R64" s="150"/>
      <c r="S64" s="150"/>
      <c r="T64" s="150">
        <f>+'[3]felhbevétel'!F8+'[3]felhbevétel'!F9+'[3]felhbevétel'!F10</f>
        <v>30749</v>
      </c>
      <c r="U64" s="150">
        <f t="shared" si="11"/>
        <v>0</v>
      </c>
    </row>
    <row r="65" spans="1:23" ht="13.5" customHeight="1">
      <c r="A65" s="150"/>
      <c r="B65" s="150"/>
      <c r="C65" s="150">
        <f>SUM(C40:C64)</f>
        <v>11600</v>
      </c>
      <c r="D65" s="150">
        <f aca="true" t="shared" si="12" ref="D65:O65">SUM(D40:D64)</f>
        <v>300</v>
      </c>
      <c r="E65" s="150">
        <f t="shared" si="12"/>
        <v>5500</v>
      </c>
      <c r="F65" s="150">
        <f t="shared" si="12"/>
        <v>1200</v>
      </c>
      <c r="G65" s="150">
        <f t="shared" si="12"/>
        <v>4700</v>
      </c>
      <c r="H65" s="150">
        <f t="shared" si="12"/>
        <v>364</v>
      </c>
      <c r="I65" s="150">
        <f t="shared" si="12"/>
        <v>25300</v>
      </c>
      <c r="J65" s="150">
        <f t="shared" si="12"/>
        <v>250</v>
      </c>
      <c r="K65" s="150">
        <f t="shared" si="12"/>
        <v>5500</v>
      </c>
      <c r="L65" s="150">
        <f t="shared" si="12"/>
        <v>1200</v>
      </c>
      <c r="M65" s="150">
        <f t="shared" si="12"/>
        <v>17734</v>
      </c>
      <c r="N65" s="150" t="e">
        <f t="shared" si="12"/>
        <v>#REF!</v>
      </c>
      <c r="O65" s="150" t="e">
        <f t="shared" si="12"/>
        <v>#REF!</v>
      </c>
      <c r="P65" s="150"/>
      <c r="Q65" s="150"/>
      <c r="R65" s="150"/>
      <c r="S65" s="150"/>
      <c r="U65" s="150" t="e">
        <f t="shared" si="11"/>
        <v>#REF!</v>
      </c>
      <c r="W65" s="150">
        <f>108000*1.5</f>
        <v>162000</v>
      </c>
    </row>
    <row r="66" spans="1:23" ht="13.5" customHeight="1">
      <c r="A66" s="150"/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>
        <f t="shared" si="10"/>
        <v>0</v>
      </c>
      <c r="P66" s="150"/>
      <c r="Q66" s="150"/>
      <c r="R66" s="150"/>
      <c r="S66" s="150"/>
      <c r="U66" s="150">
        <f t="shared" si="11"/>
        <v>0</v>
      </c>
      <c r="W66" s="150">
        <f>+W65*8.5%</f>
        <v>13770.000000000002</v>
      </c>
    </row>
    <row r="67" spans="1:21" ht="13.5" customHeight="1">
      <c r="A67" s="150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>
        <f t="shared" si="10"/>
        <v>0</v>
      </c>
      <c r="P67" s="150"/>
      <c r="Q67" s="150"/>
      <c r="R67" s="150"/>
      <c r="S67" s="150"/>
      <c r="U67" s="150">
        <f t="shared" si="11"/>
        <v>0</v>
      </c>
    </row>
    <row r="68" spans="1:21" ht="13.5" customHeight="1">
      <c r="A68" s="150"/>
      <c r="B68" s="212" t="s">
        <v>265</v>
      </c>
      <c r="C68" s="207">
        <f>850+500</f>
        <v>1350</v>
      </c>
      <c r="D68" s="207">
        <f>900+500+800</f>
        <v>2200</v>
      </c>
      <c r="E68" s="207">
        <f>39500+12000</f>
        <v>51500</v>
      </c>
      <c r="F68" s="207">
        <f>2500+2100</f>
        <v>4600</v>
      </c>
      <c r="G68" s="207">
        <v>250</v>
      </c>
      <c r="H68" s="207">
        <v>2600</v>
      </c>
      <c r="I68" s="207">
        <v>500</v>
      </c>
      <c r="J68" s="207">
        <f>1539+1000</f>
        <v>2539</v>
      </c>
      <c r="K68" s="207">
        <f>45000+5000</f>
        <v>50000</v>
      </c>
      <c r="L68" s="207">
        <f>3500+2500</f>
        <v>6000</v>
      </c>
      <c r="M68" s="207">
        <v>1200</v>
      </c>
      <c r="N68" s="207">
        <f>1500+761</f>
        <v>2261</v>
      </c>
      <c r="O68" s="207">
        <f t="shared" si="10"/>
        <v>125000</v>
      </c>
      <c r="P68" s="207">
        <f>+'1.mell. pfbevétel'!E7</f>
        <v>125000</v>
      </c>
      <c r="Q68" s="150">
        <f>+P68-O68</f>
        <v>0</v>
      </c>
      <c r="R68" s="150"/>
      <c r="S68" s="150"/>
      <c r="T68" s="150">
        <f>+'[3]pfbevétel'!G9</f>
        <v>99839</v>
      </c>
      <c r="U68" s="150">
        <f>+T68-O68</f>
        <v>-25161</v>
      </c>
    </row>
    <row r="69" spans="1:22" ht="13.5" customHeight="1">
      <c r="A69" s="150"/>
      <c r="B69" s="213" t="s">
        <v>266</v>
      </c>
      <c r="C69" s="208">
        <v>422</v>
      </c>
      <c r="D69" s="208">
        <f>+C69</f>
        <v>422</v>
      </c>
      <c r="E69" s="208">
        <f aca="true" t="shared" si="13" ref="E69:M69">+D69</f>
        <v>422</v>
      </c>
      <c r="F69" s="208">
        <f t="shared" si="13"/>
        <v>422</v>
      </c>
      <c r="G69" s="208">
        <f t="shared" si="13"/>
        <v>422</v>
      </c>
      <c r="H69" s="208">
        <f t="shared" si="13"/>
        <v>422</v>
      </c>
      <c r="I69" s="208">
        <f t="shared" si="13"/>
        <v>422</v>
      </c>
      <c r="J69" s="208">
        <f t="shared" si="13"/>
        <v>422</v>
      </c>
      <c r="K69" s="208">
        <f t="shared" si="13"/>
        <v>422</v>
      </c>
      <c r="L69" s="208">
        <f t="shared" si="13"/>
        <v>422</v>
      </c>
      <c r="M69" s="208">
        <f t="shared" si="13"/>
        <v>422</v>
      </c>
      <c r="N69" s="208">
        <f>+M69</f>
        <v>422</v>
      </c>
      <c r="O69" s="208">
        <f>SUM(C69:N69)</f>
        <v>5064</v>
      </c>
      <c r="P69" s="208">
        <f>+'1.mell. pfbevétel'!E8+'1.mell. pfbevétel'!E9+'1.mell. pfbevétel'!E10</f>
        <v>5300</v>
      </c>
      <c r="Q69" s="150">
        <f>+P69-O69</f>
        <v>236</v>
      </c>
      <c r="R69" s="150">
        <f>+P69/12</f>
        <v>441.6666666666667</v>
      </c>
      <c r="S69" s="150"/>
      <c r="T69" s="150">
        <f>+'[3]pfbevétel'!G10+'[3]pfbevétel'!G11+'[3]pfbevétel'!G14</f>
        <v>4064</v>
      </c>
      <c r="U69" s="150">
        <f>+T69-O69</f>
        <v>-1000</v>
      </c>
      <c r="V69" s="150">
        <f>+T69/12</f>
        <v>338.6666666666667</v>
      </c>
    </row>
    <row r="70" spans="1:20" ht="13.5" customHeight="1">
      <c r="A70" s="150"/>
      <c r="B70" s="209"/>
      <c r="C70" s="209">
        <f>SUM(C68:C69)</f>
        <v>1772</v>
      </c>
      <c r="D70" s="209">
        <f aca="true" t="shared" si="14" ref="D70:O70">SUM(D68:D69)</f>
        <v>2622</v>
      </c>
      <c r="E70" s="209">
        <f t="shared" si="14"/>
        <v>51922</v>
      </c>
      <c r="F70" s="209">
        <f t="shared" si="14"/>
        <v>5022</v>
      </c>
      <c r="G70" s="209">
        <f t="shared" si="14"/>
        <v>672</v>
      </c>
      <c r="H70" s="209">
        <f t="shared" si="14"/>
        <v>3022</v>
      </c>
      <c r="I70" s="209">
        <f t="shared" si="14"/>
        <v>922</v>
      </c>
      <c r="J70" s="209">
        <f t="shared" si="14"/>
        <v>2961</v>
      </c>
      <c r="K70" s="209">
        <f t="shared" si="14"/>
        <v>50422</v>
      </c>
      <c r="L70" s="209">
        <f t="shared" si="14"/>
        <v>6422</v>
      </c>
      <c r="M70" s="209">
        <f t="shared" si="14"/>
        <v>1622</v>
      </c>
      <c r="N70" s="209">
        <f t="shared" si="14"/>
        <v>2683</v>
      </c>
      <c r="O70" s="209">
        <f t="shared" si="14"/>
        <v>130064</v>
      </c>
      <c r="P70" s="150"/>
      <c r="Q70" s="150"/>
      <c r="R70" s="150"/>
      <c r="S70" s="150"/>
      <c r="T70" s="150">
        <f>SUM(T68:T69)</f>
        <v>103903</v>
      </c>
    </row>
    <row r="71" spans="1:19" ht="13.5" customHeight="1">
      <c r="A71" s="150"/>
      <c r="B71" s="150">
        <f>+B73+B75</f>
        <v>290139.629</v>
      </c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>
        <f t="shared" si="10"/>
        <v>0</v>
      </c>
      <c r="P71" s="150"/>
      <c r="Q71" s="150"/>
      <c r="R71" s="150"/>
      <c r="S71" s="150"/>
    </row>
    <row r="72" spans="1:19" ht="13.5" customHeight="1">
      <c r="A72" s="150"/>
      <c r="B72" s="150">
        <f>+T8</f>
        <v>0</v>
      </c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66"/>
      <c r="P72" s="166"/>
      <c r="Q72" s="166"/>
      <c r="R72" s="166"/>
      <c r="S72" s="166"/>
    </row>
    <row r="73" spans="1:19" ht="13.5" customHeight="1">
      <c r="A73" s="150"/>
      <c r="B73" s="209">
        <f>+'1.mell. pfbevétel'!E17</f>
        <v>265453.629</v>
      </c>
      <c r="C73" s="175">
        <v>0.05</v>
      </c>
      <c r="D73" s="176">
        <v>0.14</v>
      </c>
      <c r="E73" s="175">
        <v>0.07</v>
      </c>
      <c r="F73" s="176">
        <v>0.08</v>
      </c>
      <c r="G73" s="176">
        <v>0.08</v>
      </c>
      <c r="H73" s="176">
        <v>0.08</v>
      </c>
      <c r="I73" s="176">
        <v>0.08</v>
      </c>
      <c r="J73" s="176">
        <v>0.08</v>
      </c>
      <c r="K73" s="176">
        <v>0.08</v>
      </c>
      <c r="L73" s="175">
        <v>0.08</v>
      </c>
      <c r="M73" s="176">
        <v>0.08</v>
      </c>
      <c r="N73" s="176">
        <v>0.1</v>
      </c>
      <c r="O73" s="109">
        <f>SUM(C73:N73)</f>
        <v>0.9999999999999998</v>
      </c>
      <c r="P73" s="109"/>
      <c r="Q73" s="109"/>
      <c r="R73" s="109"/>
      <c r="S73" s="109"/>
    </row>
    <row r="74" spans="1:19" ht="13.5" customHeight="1">
      <c r="A74" s="150"/>
      <c r="B74" s="150">
        <f>+'[3]pfbevétel'!G21+'[3]pfbevétel'!G28-'[3]pfbevétel'!G25-'[3]pfbevétel'!G26</f>
        <v>451155</v>
      </c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66"/>
      <c r="P74" s="166"/>
      <c r="Q74" s="166"/>
      <c r="R74" s="166"/>
      <c r="S74" s="166"/>
    </row>
    <row r="75" spans="1:20" ht="13.5" customHeight="1">
      <c r="A75" s="150"/>
      <c r="B75" s="150">
        <f>+'[3]pfbevétel'!G25+'[3]pfbevétel'!G26</f>
        <v>24686</v>
      </c>
      <c r="C75" s="150">
        <f>+C73*B73</f>
        <v>13272.681450000002</v>
      </c>
      <c r="D75" s="150">
        <f>+D73*B73</f>
        <v>37163.50806000001</v>
      </c>
      <c r="E75" s="150">
        <f>+E73*B73</f>
        <v>18581.754030000004</v>
      </c>
      <c r="F75" s="150">
        <f>+F73*B73</f>
        <v>21236.29032</v>
      </c>
      <c r="G75" s="150">
        <f>+G73*B73</f>
        <v>21236.29032</v>
      </c>
      <c r="H75" s="150">
        <f>+H73*B73</f>
        <v>21236.29032</v>
      </c>
      <c r="I75" s="150">
        <f>+I73*B73</f>
        <v>21236.29032</v>
      </c>
      <c r="J75" s="150">
        <f>+J73*B73</f>
        <v>21236.29032</v>
      </c>
      <c r="K75" s="150">
        <f>+K73*B73</f>
        <v>21236.29032</v>
      </c>
      <c r="L75" s="150">
        <f>+L73*B73</f>
        <v>21236.29032</v>
      </c>
      <c r="M75" s="150">
        <f>+M73*B73</f>
        <v>21236.29032</v>
      </c>
      <c r="N75" s="150">
        <f>+N73*B73</f>
        <v>26545.362900000004</v>
      </c>
      <c r="O75" s="166">
        <f>SUM(C75:N75)</f>
        <v>265453.629</v>
      </c>
      <c r="P75" s="166"/>
      <c r="Q75" s="166"/>
      <c r="R75" s="166"/>
      <c r="S75" s="166"/>
      <c r="T75" s="150">
        <f>+O75-B73</f>
        <v>0</v>
      </c>
    </row>
    <row r="76" spans="1:19" ht="13.5" customHeight="1">
      <c r="A76" s="150"/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66">
        <f>SUM(C76:N76)</f>
        <v>0</v>
      </c>
      <c r="P76" s="166"/>
      <c r="Q76" s="166"/>
      <c r="R76" s="166"/>
      <c r="S76" s="166"/>
    </row>
    <row r="77" spans="1:56" s="113" customFormat="1" ht="13.5" customHeight="1">
      <c r="A77" s="177"/>
      <c r="B77" s="209" t="s">
        <v>204</v>
      </c>
      <c r="C77" s="209">
        <v>12594</v>
      </c>
      <c r="D77" s="209">
        <v>35265</v>
      </c>
      <c r="E77" s="209">
        <v>17632</v>
      </c>
      <c r="F77" s="209">
        <v>20151</v>
      </c>
      <c r="G77" s="209">
        <v>20151</v>
      </c>
      <c r="H77" s="209">
        <v>20151</v>
      </c>
      <c r="I77" s="209">
        <v>20151</v>
      </c>
      <c r="J77" s="209">
        <v>20151</v>
      </c>
      <c r="K77" s="209">
        <v>20151</v>
      </c>
      <c r="L77" s="209">
        <v>20151</v>
      </c>
      <c r="M77" s="209">
        <v>20151</v>
      </c>
      <c r="N77" s="209">
        <f>25189+2</f>
        <v>25191</v>
      </c>
      <c r="O77" s="211">
        <f>SUM(C77:N77)</f>
        <v>251890</v>
      </c>
      <c r="P77" s="178">
        <f>+O77-B73</f>
        <v>-13563.629000000015</v>
      </c>
      <c r="Q77" s="178"/>
      <c r="R77" s="178"/>
      <c r="S77" s="178"/>
      <c r="T77" s="177">
        <f>+O77-B73</f>
        <v>-13563.629000000015</v>
      </c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  <c r="AK77" s="177"/>
      <c r="AL77" s="177"/>
      <c r="AM77" s="177"/>
      <c r="AN77" s="177"/>
      <c r="AO77" s="177"/>
      <c r="AP77" s="177"/>
      <c r="AQ77" s="177"/>
      <c r="AR77" s="177"/>
      <c r="AS77" s="177"/>
      <c r="AT77" s="177"/>
      <c r="AU77" s="177"/>
      <c r="AV77" s="177"/>
      <c r="AW77" s="177"/>
      <c r="AX77" s="177"/>
      <c r="AY77" s="177"/>
      <c r="AZ77" s="177"/>
      <c r="BA77" s="177"/>
      <c r="BB77" s="177"/>
      <c r="BC77" s="177"/>
      <c r="BD77" s="177"/>
    </row>
    <row r="78" spans="1:56" s="113" customFormat="1" ht="13.5" customHeight="1">
      <c r="A78" s="177"/>
      <c r="B78" s="209" t="s">
        <v>288</v>
      </c>
      <c r="C78" s="209">
        <v>50</v>
      </c>
      <c r="D78" s="209">
        <v>150</v>
      </c>
      <c r="E78" s="209">
        <v>4300</v>
      </c>
      <c r="F78" s="209">
        <v>100</v>
      </c>
      <c r="G78" s="209">
        <v>50</v>
      </c>
      <c r="H78" s="209">
        <v>100</v>
      </c>
      <c r="I78" s="209">
        <v>100</v>
      </c>
      <c r="J78" s="209">
        <v>160</v>
      </c>
      <c r="K78" s="209">
        <f>4300+54</f>
        <v>4354</v>
      </c>
      <c r="L78" s="209">
        <v>250</v>
      </c>
      <c r="M78" s="209">
        <v>150</v>
      </c>
      <c r="N78" s="209">
        <v>200</v>
      </c>
      <c r="O78" s="211">
        <f>SUM(C78:N78)</f>
        <v>9964</v>
      </c>
      <c r="P78" s="211">
        <f>+'1.mell. pfbevétel'!E13</f>
        <v>10064</v>
      </c>
      <c r="Q78" s="178">
        <f>+P78-O78</f>
        <v>100</v>
      </c>
      <c r="R78" s="178"/>
      <c r="S78" s="178"/>
      <c r="T78" s="177">
        <f>+O78-B75</f>
        <v>-14722</v>
      </c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  <c r="AP78" s="177"/>
      <c r="AQ78" s="177"/>
      <c r="AR78" s="177"/>
      <c r="AS78" s="177"/>
      <c r="AT78" s="177"/>
      <c r="AU78" s="177"/>
      <c r="AV78" s="177"/>
      <c r="AW78" s="177"/>
      <c r="AX78" s="177"/>
      <c r="AY78" s="177"/>
      <c r="AZ78" s="177"/>
      <c r="BA78" s="177"/>
      <c r="BB78" s="177"/>
      <c r="BC78" s="177"/>
      <c r="BD78" s="177"/>
    </row>
    <row r="79" spans="1:19" ht="13.5" customHeight="1">
      <c r="A79" s="150"/>
      <c r="B79" s="150"/>
      <c r="C79" s="150">
        <f>SUM(C77:C78)</f>
        <v>12644</v>
      </c>
      <c r="D79" s="150">
        <f aca="true" t="shared" si="15" ref="D79:O79">SUM(D77:D78)</f>
        <v>35415</v>
      </c>
      <c r="E79" s="150">
        <f t="shared" si="15"/>
        <v>21932</v>
      </c>
      <c r="F79" s="150">
        <f t="shared" si="15"/>
        <v>20251</v>
      </c>
      <c r="G79" s="150">
        <f t="shared" si="15"/>
        <v>20201</v>
      </c>
      <c r="H79" s="150">
        <f t="shared" si="15"/>
        <v>20251</v>
      </c>
      <c r="I79" s="150">
        <f t="shared" si="15"/>
        <v>20251</v>
      </c>
      <c r="J79" s="150">
        <f t="shared" si="15"/>
        <v>20311</v>
      </c>
      <c r="K79" s="150">
        <f t="shared" si="15"/>
        <v>24505</v>
      </c>
      <c r="L79" s="150">
        <f t="shared" si="15"/>
        <v>20401</v>
      </c>
      <c r="M79" s="150">
        <f t="shared" si="15"/>
        <v>20301</v>
      </c>
      <c r="N79" s="150">
        <f t="shared" si="15"/>
        <v>25391</v>
      </c>
      <c r="O79" s="150">
        <f t="shared" si="15"/>
        <v>261854</v>
      </c>
      <c r="P79" s="150"/>
      <c r="Q79" s="150"/>
      <c r="R79" s="150"/>
      <c r="S79" s="150"/>
    </row>
    <row r="80" spans="1:19" ht="13.5" customHeight="1">
      <c r="A80" s="150"/>
      <c r="B80" s="174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</row>
    <row r="81" spans="1:19" ht="13.5" customHeight="1">
      <c r="A81" s="150"/>
      <c r="B81" s="174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66"/>
      <c r="P81" s="166"/>
      <c r="Q81" s="166"/>
      <c r="R81" s="166"/>
      <c r="S81" s="166"/>
    </row>
    <row r="82" spans="1:19" ht="13.5" customHeight="1">
      <c r="A82" s="150"/>
      <c r="B82" s="150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66"/>
      <c r="P82" s="166"/>
      <c r="Q82" s="166"/>
      <c r="R82" s="166"/>
      <c r="S82" s="166"/>
    </row>
    <row r="83" spans="1:19" ht="13.5" customHeight="1">
      <c r="A83" s="150"/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66"/>
      <c r="P83" s="166"/>
      <c r="Q83" s="166"/>
      <c r="R83" s="166"/>
      <c r="S83" s="166"/>
    </row>
    <row r="84" spans="1:19" ht="13.5" customHeight="1">
      <c r="A84" s="150"/>
      <c r="B84" s="150" t="s">
        <v>296</v>
      </c>
      <c r="C84" s="150" t="s">
        <v>267</v>
      </c>
      <c r="D84" s="150" t="s">
        <v>297</v>
      </c>
      <c r="E84" s="150" t="s">
        <v>298</v>
      </c>
      <c r="F84" s="150" t="s">
        <v>364</v>
      </c>
      <c r="G84" s="150"/>
      <c r="H84" s="150"/>
      <c r="I84" s="150"/>
      <c r="J84" s="150"/>
      <c r="K84" s="150"/>
      <c r="L84" s="150"/>
      <c r="M84" s="150"/>
      <c r="N84" s="150"/>
      <c r="O84" s="166"/>
      <c r="P84" s="166"/>
      <c r="Q84" s="166"/>
      <c r="R84" s="166"/>
      <c r="S84" s="166"/>
    </row>
    <row r="85" spans="1:19" ht="13.5" customHeight="1">
      <c r="A85" s="150">
        <v>311</v>
      </c>
      <c r="B85" s="150">
        <f>33035+8895</f>
        <v>41930</v>
      </c>
      <c r="C85" s="150">
        <v>253715</v>
      </c>
      <c r="D85" s="150">
        <v>82905</v>
      </c>
      <c r="E85" s="150">
        <v>414485</v>
      </c>
      <c r="F85" s="150">
        <v>228075</v>
      </c>
      <c r="G85" s="150">
        <f>SUM(B85:F85)</f>
        <v>1021110</v>
      </c>
      <c r="H85" s="150"/>
      <c r="I85" s="150"/>
      <c r="J85" s="150"/>
      <c r="K85" s="150"/>
      <c r="L85" s="150"/>
      <c r="M85" s="150"/>
      <c r="N85" s="150"/>
      <c r="O85" s="166"/>
      <c r="P85" s="166"/>
      <c r="Q85" s="166"/>
      <c r="R85" s="166"/>
      <c r="S85" s="166"/>
    </row>
    <row r="86" spans="1:19" ht="13.5" customHeight="1">
      <c r="A86" s="150">
        <v>321</v>
      </c>
      <c r="B86" s="150">
        <f>57779114+69248+19714+108559+12521949+3283261+1107266+524044+1772</f>
        <v>75414927</v>
      </c>
      <c r="C86" s="150">
        <f>6103+988</f>
        <v>7091</v>
      </c>
      <c r="D86" s="150">
        <v>1271939</v>
      </c>
      <c r="E86" s="150">
        <f>65686+530+2019+94563+39001</f>
        <v>201799</v>
      </c>
      <c r="F86" s="150">
        <f>39246+1039</f>
        <v>40285</v>
      </c>
      <c r="G86" s="150">
        <f>SUM(B86:F86)</f>
        <v>76936041</v>
      </c>
      <c r="H86" s="150"/>
      <c r="I86" s="150"/>
      <c r="J86" s="150"/>
      <c r="K86" s="150"/>
      <c r="L86" s="150"/>
      <c r="M86" s="150"/>
      <c r="N86" s="150"/>
      <c r="O86" s="166"/>
      <c r="P86" s="166"/>
      <c r="Q86" s="166"/>
      <c r="R86" s="166"/>
      <c r="S86" s="166"/>
    </row>
    <row r="87" spans="1:19" ht="13.5" customHeight="1">
      <c r="A87" s="150"/>
      <c r="B87" s="150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66"/>
      <c r="P87" s="166"/>
      <c r="Q87" s="166"/>
      <c r="R87" s="166"/>
      <c r="S87" s="166"/>
    </row>
    <row r="88" spans="1:19" ht="13.5" customHeight="1">
      <c r="A88" s="150"/>
      <c r="B88" s="150">
        <f>SUM(B85:B87)</f>
        <v>75456857</v>
      </c>
      <c r="C88" s="150">
        <f aca="true" t="shared" si="16" ref="C88:L88">SUM(C85:C87)</f>
        <v>260806</v>
      </c>
      <c r="D88" s="150">
        <f t="shared" si="16"/>
        <v>1354844</v>
      </c>
      <c r="E88" s="150">
        <f t="shared" si="16"/>
        <v>616284</v>
      </c>
      <c r="F88" s="150">
        <f t="shared" si="16"/>
        <v>268360</v>
      </c>
      <c r="G88" s="150">
        <f>SUM(G85:G87)</f>
        <v>77957151</v>
      </c>
      <c r="H88" s="150">
        <f t="shared" si="16"/>
        <v>0</v>
      </c>
      <c r="I88" s="150">
        <f t="shared" si="16"/>
        <v>0</v>
      </c>
      <c r="J88" s="150">
        <f t="shared" si="16"/>
        <v>0</v>
      </c>
      <c r="K88" s="150">
        <f t="shared" si="16"/>
        <v>0</v>
      </c>
      <c r="L88" s="150">
        <f t="shared" si="16"/>
        <v>0</v>
      </c>
      <c r="M88" s="150"/>
      <c r="N88" s="150"/>
      <c r="O88" s="179"/>
      <c r="P88" s="179"/>
      <c r="Q88" s="179"/>
      <c r="R88" s="179"/>
      <c r="S88" s="179"/>
    </row>
    <row r="89" spans="1:19" ht="13.5" customHeight="1">
      <c r="A89" s="150"/>
      <c r="B89" s="150"/>
      <c r="C89" s="150"/>
      <c r="D89" s="150"/>
      <c r="E89" s="150"/>
      <c r="F89" s="150"/>
      <c r="G89" s="150">
        <v>77957</v>
      </c>
      <c r="H89" s="150"/>
      <c r="I89" s="150"/>
      <c r="J89" s="150"/>
      <c r="K89" s="150"/>
      <c r="L89" s="150"/>
      <c r="M89" s="150"/>
      <c r="N89" s="150"/>
      <c r="O89" s="179"/>
      <c r="P89" s="179"/>
      <c r="Q89" s="179"/>
      <c r="R89" s="179"/>
      <c r="S89" s="179"/>
    </row>
    <row r="90" spans="1:19" ht="13.5" customHeight="1">
      <c r="A90" s="150"/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79"/>
      <c r="P90" s="179"/>
      <c r="Q90" s="179"/>
      <c r="R90" s="179"/>
      <c r="S90" s="179"/>
    </row>
    <row r="91" spans="1:19" ht="13.5" customHeight="1">
      <c r="A91" s="150"/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79"/>
      <c r="P91" s="179"/>
      <c r="Q91" s="179"/>
      <c r="R91" s="179"/>
      <c r="S91" s="179"/>
    </row>
    <row r="92" spans="1:19" ht="13.5" customHeight="1">
      <c r="A92" s="180"/>
      <c r="B92" s="150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</row>
    <row r="93" spans="1:19" ht="13.5" customHeight="1">
      <c r="A93" s="150"/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66"/>
      <c r="P93" s="166"/>
      <c r="Q93" s="166"/>
      <c r="R93" s="166"/>
      <c r="S93" s="166"/>
    </row>
    <row r="94" spans="1:19" ht="13.5" customHeight="1">
      <c r="A94" s="150"/>
      <c r="B94" s="150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</row>
    <row r="95" spans="1:19" ht="13.5" customHeight="1">
      <c r="A95" s="150"/>
      <c r="B95" s="150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66"/>
      <c r="P95" s="166"/>
      <c r="Q95" s="166"/>
      <c r="R95" s="166"/>
      <c r="S95" s="166"/>
    </row>
    <row r="96" spans="1:19" ht="13.5" customHeight="1">
      <c r="A96" s="150"/>
      <c r="B96" s="150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66"/>
      <c r="P96" s="166"/>
      <c r="Q96" s="166"/>
      <c r="R96" s="166"/>
      <c r="S96" s="166"/>
    </row>
    <row r="97" spans="1:19" ht="13.5" customHeight="1">
      <c r="A97" s="150"/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66"/>
      <c r="P97" s="166"/>
      <c r="Q97" s="166"/>
      <c r="R97" s="166"/>
      <c r="S97" s="166"/>
    </row>
    <row r="98" spans="1:19" ht="13.5" customHeight="1">
      <c r="A98" s="150"/>
      <c r="B98" s="150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66"/>
      <c r="P98" s="166"/>
      <c r="Q98" s="166"/>
      <c r="R98" s="166"/>
      <c r="S98" s="166"/>
    </row>
    <row r="99" spans="1:19" ht="13.5" customHeight="1">
      <c r="A99" s="150"/>
      <c r="B99" s="150"/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66"/>
      <c r="P99" s="166"/>
      <c r="Q99" s="166"/>
      <c r="R99" s="166"/>
      <c r="S99" s="166"/>
    </row>
    <row r="100" spans="1:19" ht="13.5" customHeight="1">
      <c r="A100" s="150"/>
      <c r="B100" s="150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66"/>
      <c r="P100" s="166"/>
      <c r="Q100" s="166"/>
      <c r="R100" s="166"/>
      <c r="S100" s="166"/>
    </row>
    <row r="101" spans="1:19" ht="13.5" customHeight="1">
      <c r="A101" s="150"/>
      <c r="B101" s="150"/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66"/>
      <c r="P101" s="166"/>
      <c r="Q101" s="166"/>
      <c r="R101" s="166"/>
      <c r="S101" s="166"/>
    </row>
    <row r="102" spans="1:19" ht="13.5" customHeight="1">
      <c r="A102" s="150"/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66"/>
      <c r="P102" s="166"/>
      <c r="Q102" s="166"/>
      <c r="R102" s="166"/>
      <c r="S102" s="166"/>
    </row>
    <row r="103" spans="1:19" ht="13.5" customHeight="1">
      <c r="A103" s="150"/>
      <c r="B103" s="150"/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66"/>
      <c r="P103" s="166"/>
      <c r="Q103" s="166"/>
      <c r="R103" s="166"/>
      <c r="S103" s="166"/>
    </row>
    <row r="104" spans="1:19" ht="13.5" customHeight="1">
      <c r="A104" s="150"/>
      <c r="B104" s="150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66"/>
      <c r="P104" s="166"/>
      <c r="Q104" s="166"/>
      <c r="R104" s="166"/>
      <c r="S104" s="166"/>
    </row>
    <row r="105" spans="1:19" ht="13.5" customHeight="1">
      <c r="A105" s="150"/>
      <c r="B105" s="150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66"/>
      <c r="P105" s="166"/>
      <c r="Q105" s="166"/>
      <c r="R105" s="166"/>
      <c r="S105" s="166"/>
    </row>
    <row r="106" spans="1:19" ht="13.5" customHeight="1">
      <c r="A106" s="150"/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66"/>
      <c r="P106" s="166"/>
      <c r="Q106" s="166"/>
      <c r="R106" s="166"/>
      <c r="S106" s="166"/>
    </row>
    <row r="107" spans="1:19" ht="13.5" customHeight="1">
      <c r="A107" s="150"/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66"/>
      <c r="P107" s="166"/>
      <c r="Q107" s="166"/>
      <c r="R107" s="166"/>
      <c r="S107" s="166"/>
    </row>
    <row r="108" spans="1:19" ht="13.5" customHeight="1">
      <c r="A108" s="150"/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66"/>
      <c r="P108" s="166"/>
      <c r="Q108" s="166"/>
      <c r="R108" s="166"/>
      <c r="S108" s="166"/>
    </row>
    <row r="109" spans="1:19" ht="13.5" customHeight="1">
      <c r="A109" s="150"/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66"/>
      <c r="P109" s="166"/>
      <c r="Q109" s="166"/>
      <c r="R109" s="166"/>
      <c r="S109" s="166"/>
    </row>
    <row r="110" spans="1:19" ht="13.5" customHeight="1">
      <c r="A110" s="150"/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66"/>
      <c r="P110" s="166"/>
      <c r="Q110" s="166"/>
      <c r="R110" s="166"/>
      <c r="S110" s="166"/>
    </row>
    <row r="111" spans="1:19" ht="13.5" customHeight="1">
      <c r="A111" s="150"/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66"/>
      <c r="P111" s="166"/>
      <c r="Q111" s="166"/>
      <c r="R111" s="166"/>
      <c r="S111" s="166"/>
    </row>
    <row r="112" spans="1:19" ht="13.5" customHeight="1">
      <c r="A112" s="150"/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66"/>
      <c r="P112" s="166"/>
      <c r="Q112" s="166"/>
      <c r="R112" s="166"/>
      <c r="S112" s="166"/>
    </row>
    <row r="113" spans="1:19" ht="13.5" customHeight="1">
      <c r="A113" s="150"/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66"/>
      <c r="P113" s="166"/>
      <c r="Q113" s="166"/>
      <c r="R113" s="166"/>
      <c r="S113" s="166"/>
    </row>
    <row r="114" spans="1:19" ht="13.5" customHeight="1">
      <c r="A114" s="150"/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66"/>
      <c r="P114" s="166"/>
      <c r="Q114" s="166"/>
      <c r="R114" s="166"/>
      <c r="S114" s="166"/>
    </row>
    <row r="115" spans="1:19" ht="13.5" customHeight="1">
      <c r="A115" s="150"/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66"/>
      <c r="P115" s="166"/>
      <c r="Q115" s="166"/>
      <c r="R115" s="166"/>
      <c r="S115" s="166"/>
    </row>
    <row r="116" spans="1:19" ht="13.5" customHeight="1">
      <c r="A116" s="150"/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66"/>
      <c r="P116" s="166"/>
      <c r="Q116" s="166"/>
      <c r="R116" s="166"/>
      <c r="S116" s="166"/>
    </row>
    <row r="117" spans="1:19" ht="13.5" customHeight="1">
      <c r="A117" s="150"/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66"/>
      <c r="P117" s="166"/>
      <c r="Q117" s="166"/>
      <c r="R117" s="166"/>
      <c r="S117" s="166"/>
    </row>
    <row r="118" spans="1:19" ht="13.5" customHeight="1">
      <c r="A118" s="150"/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66"/>
      <c r="P118" s="166"/>
      <c r="Q118" s="166"/>
      <c r="R118" s="166"/>
      <c r="S118" s="166"/>
    </row>
    <row r="119" spans="1:19" ht="13.5" customHeight="1">
      <c r="A119" s="150"/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66"/>
      <c r="P119" s="166"/>
      <c r="Q119" s="166"/>
      <c r="R119" s="166"/>
      <c r="S119" s="166"/>
    </row>
    <row r="120" spans="1:19" ht="13.5" customHeight="1">
      <c r="A120" s="150"/>
      <c r="B120" s="150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66"/>
      <c r="P120" s="166"/>
      <c r="Q120" s="166"/>
      <c r="R120" s="166"/>
      <c r="S120" s="166"/>
    </row>
    <row r="121" spans="1:19" ht="13.5" customHeight="1">
      <c r="A121" s="150"/>
      <c r="B121" s="150"/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66"/>
      <c r="P121" s="166"/>
      <c r="Q121" s="166"/>
      <c r="R121" s="166"/>
      <c r="S121" s="166"/>
    </row>
    <row r="122" spans="1:19" ht="13.5" customHeight="1">
      <c r="A122" s="150"/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66"/>
      <c r="P122" s="166"/>
      <c r="Q122" s="166"/>
      <c r="R122" s="166"/>
      <c r="S122" s="166"/>
    </row>
    <row r="123" spans="1:19" ht="13.5" customHeight="1">
      <c r="A123" s="150"/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66"/>
      <c r="P123" s="166"/>
      <c r="Q123" s="166"/>
      <c r="R123" s="166"/>
      <c r="S123" s="166"/>
    </row>
    <row r="124" spans="1:19" ht="13.5" customHeight="1">
      <c r="A124" s="150"/>
      <c r="B124" s="150"/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66"/>
      <c r="P124" s="166"/>
      <c r="Q124" s="166"/>
      <c r="R124" s="166"/>
      <c r="S124" s="166"/>
    </row>
    <row r="125" spans="1:19" ht="13.5" customHeight="1">
      <c r="A125" s="150"/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66"/>
      <c r="P125" s="166"/>
      <c r="Q125" s="166"/>
      <c r="R125" s="166"/>
      <c r="S125" s="166"/>
    </row>
    <row r="126" spans="1:19" ht="13.5" customHeight="1">
      <c r="A126" s="150"/>
      <c r="B126" s="150"/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66"/>
      <c r="P126" s="166"/>
      <c r="Q126" s="166"/>
      <c r="R126" s="166"/>
      <c r="S126" s="166"/>
    </row>
    <row r="127" spans="1:19" ht="13.5" customHeight="1">
      <c r="A127" s="150"/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66"/>
      <c r="P127" s="166"/>
      <c r="Q127" s="166"/>
      <c r="R127" s="166"/>
      <c r="S127" s="166"/>
    </row>
    <row r="128" spans="1:19" ht="13.5" customHeight="1">
      <c r="A128" s="150"/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66"/>
      <c r="P128" s="166"/>
      <c r="Q128" s="166"/>
      <c r="R128" s="166"/>
      <c r="S128" s="166"/>
    </row>
    <row r="129" spans="1:19" ht="13.5" customHeight="1">
      <c r="A129" s="150"/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66"/>
      <c r="P129" s="166"/>
      <c r="Q129" s="166"/>
      <c r="R129" s="166"/>
      <c r="S129" s="166"/>
    </row>
    <row r="130" spans="1:19" ht="13.5" customHeight="1">
      <c r="A130" s="150"/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66"/>
      <c r="P130" s="166"/>
      <c r="Q130" s="166"/>
      <c r="R130" s="166"/>
      <c r="S130" s="166"/>
    </row>
    <row r="131" spans="1:19" ht="13.5" customHeight="1">
      <c r="A131" s="150"/>
      <c r="B131" s="150"/>
      <c r="C131" s="150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166"/>
      <c r="P131" s="166"/>
      <c r="Q131" s="166"/>
      <c r="R131" s="166"/>
      <c r="S131" s="166"/>
    </row>
    <row r="132" spans="1:19" ht="13.5" customHeight="1">
      <c r="A132" s="150"/>
      <c r="B132" s="150"/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66"/>
      <c r="P132" s="166"/>
      <c r="Q132" s="166"/>
      <c r="R132" s="166"/>
      <c r="S132" s="166"/>
    </row>
    <row r="133" spans="1:19" ht="13.5" customHeight="1">
      <c r="A133" s="150"/>
      <c r="B133" s="150"/>
      <c r="C133" s="150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  <c r="O133" s="166"/>
      <c r="P133" s="166"/>
      <c r="Q133" s="166"/>
      <c r="R133" s="166"/>
      <c r="S133" s="166"/>
    </row>
    <row r="134" spans="1:19" ht="13.5" customHeight="1">
      <c r="A134" s="150"/>
      <c r="B134" s="150"/>
      <c r="C134" s="150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  <c r="O134" s="166"/>
      <c r="P134" s="166"/>
      <c r="Q134" s="166"/>
      <c r="R134" s="166"/>
      <c r="S134" s="166"/>
    </row>
    <row r="135" spans="1:19" ht="13.5" customHeight="1">
      <c r="A135" s="150"/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66"/>
      <c r="P135" s="166"/>
      <c r="Q135" s="166"/>
      <c r="R135" s="166"/>
      <c r="S135" s="166"/>
    </row>
    <row r="136" spans="1:19" ht="13.5" customHeight="1">
      <c r="A136" s="150"/>
      <c r="B136" s="150"/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66"/>
      <c r="P136" s="166"/>
      <c r="Q136" s="166"/>
      <c r="R136" s="166"/>
      <c r="S136" s="166"/>
    </row>
    <row r="137" spans="1:19" ht="13.5" customHeight="1">
      <c r="A137" s="150"/>
      <c r="B137" s="150"/>
      <c r="C137" s="150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166"/>
      <c r="P137" s="166"/>
      <c r="Q137" s="166"/>
      <c r="R137" s="166"/>
      <c r="S137" s="166"/>
    </row>
    <row r="138" spans="1:19" ht="13.5" customHeight="1">
      <c r="A138" s="150"/>
      <c r="B138" s="150"/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66"/>
      <c r="P138" s="166"/>
      <c r="Q138" s="166"/>
      <c r="R138" s="166"/>
      <c r="S138" s="166"/>
    </row>
    <row r="139" spans="1:19" ht="13.5" customHeight="1">
      <c r="A139" s="150"/>
      <c r="B139" s="150"/>
      <c r="C139" s="150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  <c r="O139" s="166"/>
      <c r="P139" s="166"/>
      <c r="Q139" s="166"/>
      <c r="R139" s="166"/>
      <c r="S139" s="166"/>
    </row>
    <row r="140" spans="1:19" ht="13.5" customHeight="1">
      <c r="A140" s="150"/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66"/>
      <c r="P140" s="166"/>
      <c r="Q140" s="166"/>
      <c r="R140" s="166"/>
      <c r="S140" s="166"/>
    </row>
    <row r="141" spans="1:19" ht="13.5" customHeight="1">
      <c r="A141" s="150"/>
      <c r="B141" s="150"/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66"/>
      <c r="P141" s="166"/>
      <c r="Q141" s="166"/>
      <c r="R141" s="166"/>
      <c r="S141" s="166"/>
    </row>
    <row r="142" spans="1:19" ht="13.5" customHeight="1">
      <c r="A142" s="150"/>
      <c r="B142" s="150"/>
      <c r="C142" s="150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  <c r="O142" s="166"/>
      <c r="P142" s="166"/>
      <c r="Q142" s="166"/>
      <c r="R142" s="166"/>
      <c r="S142" s="166"/>
    </row>
    <row r="143" spans="1:19" ht="13.5" customHeight="1">
      <c r="A143" s="150"/>
      <c r="B143" s="150"/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66"/>
      <c r="P143" s="166"/>
      <c r="Q143" s="166"/>
      <c r="R143" s="166"/>
      <c r="S143" s="166"/>
    </row>
    <row r="144" spans="1:19" ht="13.5" customHeight="1">
      <c r="A144" s="150"/>
      <c r="B144" s="150"/>
      <c r="C144" s="150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  <c r="O144" s="166"/>
      <c r="P144" s="166"/>
      <c r="Q144" s="166"/>
      <c r="R144" s="166"/>
      <c r="S144" s="166"/>
    </row>
    <row r="145" spans="1:19" ht="13.5" customHeight="1">
      <c r="A145" s="150"/>
      <c r="B145" s="150"/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66"/>
      <c r="P145" s="166"/>
      <c r="Q145" s="166"/>
      <c r="R145" s="166"/>
      <c r="S145" s="166"/>
    </row>
    <row r="146" spans="1:19" ht="13.5" customHeight="1">
      <c r="A146" s="150"/>
      <c r="B146" s="150"/>
      <c r="C146" s="150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150"/>
      <c r="O146" s="166"/>
      <c r="P146" s="166"/>
      <c r="Q146" s="166"/>
      <c r="R146" s="166"/>
      <c r="S146" s="166"/>
    </row>
    <row r="147" spans="1:19" ht="13.5" customHeight="1">
      <c r="A147" s="150"/>
      <c r="B147" s="150"/>
      <c r="C147" s="150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166"/>
      <c r="P147" s="166"/>
      <c r="Q147" s="166"/>
      <c r="R147" s="166"/>
      <c r="S147" s="166"/>
    </row>
    <row r="148" spans="1:19" ht="13.5" customHeight="1">
      <c r="A148" s="150"/>
      <c r="B148" s="150"/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66"/>
      <c r="P148" s="166"/>
      <c r="Q148" s="166"/>
      <c r="R148" s="166"/>
      <c r="S148" s="166"/>
    </row>
    <row r="149" spans="1:19" ht="13.5" customHeight="1">
      <c r="A149" s="150"/>
      <c r="B149" s="150"/>
      <c r="C149" s="150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166"/>
      <c r="P149" s="166"/>
      <c r="Q149" s="166"/>
      <c r="R149" s="166"/>
      <c r="S149" s="166"/>
    </row>
    <row r="150" spans="1:19" ht="13.5" customHeight="1">
      <c r="A150" s="150"/>
      <c r="B150" s="150"/>
      <c r="C150" s="150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O150" s="166"/>
      <c r="P150" s="166"/>
      <c r="Q150" s="166"/>
      <c r="R150" s="166"/>
      <c r="S150" s="166"/>
    </row>
    <row r="151" spans="1:19" ht="13.5" customHeight="1">
      <c r="A151" s="150"/>
      <c r="B151" s="150"/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66"/>
      <c r="P151" s="166"/>
      <c r="Q151" s="166"/>
      <c r="R151" s="166"/>
      <c r="S151" s="166"/>
    </row>
    <row r="152" spans="1:19" ht="13.5" customHeight="1">
      <c r="A152" s="150"/>
      <c r="B152" s="150"/>
      <c r="C152" s="150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  <c r="O152" s="166"/>
      <c r="P152" s="166"/>
      <c r="Q152" s="166"/>
      <c r="R152" s="166"/>
      <c r="S152" s="166"/>
    </row>
    <row r="153" spans="1:19" ht="13.5" customHeight="1">
      <c r="A153" s="150"/>
      <c r="B153" s="150"/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66"/>
      <c r="P153" s="166"/>
      <c r="Q153" s="166"/>
      <c r="R153" s="166"/>
      <c r="S153" s="166"/>
    </row>
    <row r="154" spans="1:19" ht="13.5" customHeight="1">
      <c r="A154" s="150"/>
      <c r="B154" s="150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66"/>
      <c r="P154" s="166"/>
      <c r="Q154" s="166"/>
      <c r="R154" s="166"/>
      <c r="S154" s="166"/>
    </row>
    <row r="155" spans="1:19" ht="13.5" customHeight="1">
      <c r="A155" s="150"/>
      <c r="B155" s="150"/>
      <c r="C155" s="150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66"/>
      <c r="P155" s="166"/>
      <c r="Q155" s="166"/>
      <c r="R155" s="166"/>
      <c r="S155" s="166"/>
    </row>
    <row r="156" spans="1:19" ht="13.5" customHeight="1">
      <c r="A156" s="150"/>
      <c r="B156" s="150"/>
      <c r="C156" s="150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66"/>
      <c r="P156" s="166"/>
      <c r="Q156" s="166"/>
      <c r="R156" s="166"/>
      <c r="S156" s="166"/>
    </row>
    <row r="157" spans="1:19" ht="13.5" customHeight="1">
      <c r="A157" s="150"/>
      <c r="B157" s="150"/>
      <c r="C157" s="150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66"/>
      <c r="P157" s="166"/>
      <c r="Q157" s="166"/>
      <c r="R157" s="166"/>
      <c r="S157" s="166"/>
    </row>
    <row r="158" spans="1:19" ht="13.5" customHeight="1">
      <c r="A158" s="150"/>
      <c r="B158" s="150"/>
      <c r="C158" s="150"/>
      <c r="D158" s="150"/>
      <c r="E158" s="150"/>
      <c r="F158" s="150"/>
      <c r="G158" s="150"/>
      <c r="H158" s="150"/>
      <c r="I158" s="150"/>
      <c r="J158" s="150"/>
      <c r="K158" s="150"/>
      <c r="L158" s="150"/>
      <c r="M158" s="150"/>
      <c r="N158" s="150"/>
      <c r="O158" s="166"/>
      <c r="P158" s="166"/>
      <c r="Q158" s="166"/>
      <c r="R158" s="166"/>
      <c r="S158" s="166"/>
    </row>
    <row r="159" spans="1:19" ht="13.5" customHeight="1">
      <c r="A159" s="150"/>
      <c r="B159" s="150"/>
      <c r="C159" s="150"/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  <c r="O159" s="166"/>
      <c r="P159" s="166"/>
      <c r="Q159" s="166"/>
      <c r="R159" s="166"/>
      <c r="S159" s="166"/>
    </row>
    <row r="160" spans="1:19" ht="13.5" customHeight="1">
      <c r="A160" s="150"/>
      <c r="B160" s="150"/>
      <c r="C160" s="150"/>
      <c r="D160" s="150"/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  <c r="O160" s="166"/>
      <c r="P160" s="166"/>
      <c r="Q160" s="166"/>
      <c r="R160" s="166"/>
      <c r="S160" s="166"/>
    </row>
    <row r="161" spans="1:19" ht="13.5" customHeight="1">
      <c r="A161" s="150"/>
      <c r="B161" s="150"/>
      <c r="C161" s="150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66"/>
      <c r="P161" s="166"/>
      <c r="Q161" s="166"/>
      <c r="R161" s="166"/>
      <c r="S161" s="166"/>
    </row>
    <row r="162" spans="1:19" ht="13.5" customHeight="1">
      <c r="A162" s="150"/>
      <c r="B162" s="150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66"/>
      <c r="P162" s="166"/>
      <c r="Q162" s="166"/>
      <c r="R162" s="166"/>
      <c r="S162" s="166"/>
    </row>
    <row r="163" spans="1:19" ht="13.5" customHeight="1">
      <c r="A163" s="150"/>
      <c r="B163" s="150"/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66"/>
      <c r="P163" s="166"/>
      <c r="Q163" s="166"/>
      <c r="R163" s="166"/>
      <c r="S163" s="166"/>
    </row>
    <row r="164" spans="1:19" ht="13.5" customHeight="1">
      <c r="A164" s="150"/>
      <c r="B164" s="150"/>
      <c r="C164" s="150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  <c r="O164" s="166"/>
      <c r="P164" s="166"/>
      <c r="Q164" s="166"/>
      <c r="R164" s="166"/>
      <c r="S164" s="166"/>
    </row>
    <row r="165" spans="1:19" ht="13.5" customHeight="1">
      <c r="A165" s="150"/>
      <c r="B165" s="150"/>
      <c r="C165" s="150"/>
      <c r="D165" s="150"/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  <c r="O165" s="166"/>
      <c r="P165" s="166"/>
      <c r="Q165" s="166"/>
      <c r="R165" s="166"/>
      <c r="S165" s="166"/>
    </row>
    <row r="166" spans="1:19" ht="13.5" customHeight="1">
      <c r="A166" s="150"/>
      <c r="B166" s="150"/>
      <c r="C166" s="150"/>
      <c r="D166" s="150"/>
      <c r="E166" s="150"/>
      <c r="F166" s="150"/>
      <c r="G166" s="150"/>
      <c r="H166" s="150"/>
      <c r="I166" s="150"/>
      <c r="J166" s="150"/>
      <c r="K166" s="150"/>
      <c r="L166" s="150"/>
      <c r="M166" s="150"/>
      <c r="N166" s="150"/>
      <c r="O166" s="166"/>
      <c r="P166" s="166"/>
      <c r="Q166" s="166"/>
      <c r="R166" s="166"/>
      <c r="S166" s="166"/>
    </row>
    <row r="167" spans="1:19" ht="13.5" customHeight="1">
      <c r="A167" s="150"/>
      <c r="B167" s="150"/>
      <c r="C167" s="150"/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  <c r="O167" s="166"/>
      <c r="P167" s="166"/>
      <c r="Q167" s="166"/>
      <c r="R167" s="166"/>
      <c r="S167" s="166"/>
    </row>
    <row r="168" spans="1:19" ht="13.5" customHeight="1">
      <c r="A168" s="150"/>
      <c r="B168" s="150"/>
      <c r="C168" s="150"/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  <c r="O168" s="166"/>
      <c r="P168" s="166"/>
      <c r="Q168" s="166"/>
      <c r="R168" s="166"/>
      <c r="S168" s="166"/>
    </row>
    <row r="169" spans="1:19" ht="13.5" customHeight="1">
      <c r="A169" s="150"/>
      <c r="B169" s="150"/>
      <c r="C169" s="150"/>
      <c r="D169" s="150"/>
      <c r="E169" s="150"/>
      <c r="F169" s="150"/>
      <c r="G169" s="150"/>
      <c r="H169" s="150"/>
      <c r="I169" s="150"/>
      <c r="J169" s="150"/>
      <c r="K169" s="150"/>
      <c r="L169" s="150"/>
      <c r="M169" s="150"/>
      <c r="N169" s="150"/>
      <c r="O169" s="166"/>
      <c r="P169" s="166"/>
      <c r="Q169" s="166"/>
      <c r="R169" s="166"/>
      <c r="S169" s="166"/>
    </row>
    <row r="170" spans="1:19" ht="13.5" customHeight="1">
      <c r="A170" s="150"/>
      <c r="B170" s="150"/>
      <c r="C170" s="150"/>
      <c r="D170" s="150"/>
      <c r="E170" s="150"/>
      <c r="F170" s="150"/>
      <c r="G170" s="150"/>
      <c r="H170" s="150"/>
      <c r="I170" s="150"/>
      <c r="J170" s="150"/>
      <c r="K170" s="150"/>
      <c r="L170" s="150"/>
      <c r="M170" s="150"/>
      <c r="N170" s="150"/>
      <c r="O170" s="166"/>
      <c r="P170" s="166"/>
      <c r="Q170" s="166"/>
      <c r="R170" s="166"/>
      <c r="S170" s="166"/>
    </row>
    <row r="171" spans="1:19" ht="13.5" customHeight="1">
      <c r="A171" s="150"/>
      <c r="B171" s="150"/>
      <c r="C171" s="150"/>
      <c r="D171" s="150"/>
      <c r="E171" s="150"/>
      <c r="F171" s="150"/>
      <c r="G171" s="150"/>
      <c r="H171" s="150"/>
      <c r="I171" s="150"/>
      <c r="J171" s="150"/>
      <c r="K171" s="150"/>
      <c r="L171" s="150"/>
      <c r="M171" s="150"/>
      <c r="N171" s="150"/>
      <c r="O171" s="166"/>
      <c r="P171" s="166"/>
      <c r="Q171" s="166"/>
      <c r="R171" s="166"/>
      <c r="S171" s="166"/>
    </row>
    <row r="172" spans="1:19" ht="13.5" customHeight="1">
      <c r="A172" s="150"/>
      <c r="B172" s="150"/>
      <c r="C172" s="150"/>
      <c r="D172" s="150"/>
      <c r="E172" s="150"/>
      <c r="F172" s="150"/>
      <c r="G172" s="150"/>
      <c r="H172" s="150"/>
      <c r="I172" s="150"/>
      <c r="J172" s="150"/>
      <c r="K172" s="150"/>
      <c r="L172" s="150"/>
      <c r="M172" s="150"/>
      <c r="N172" s="150"/>
      <c r="O172" s="166"/>
      <c r="P172" s="166"/>
      <c r="Q172" s="166"/>
      <c r="R172" s="166"/>
      <c r="S172" s="166"/>
    </row>
    <row r="173" spans="1:19" ht="13.5" customHeight="1">
      <c r="A173" s="150"/>
      <c r="B173" s="150"/>
      <c r="C173" s="150"/>
      <c r="D173" s="150"/>
      <c r="E173" s="150"/>
      <c r="F173" s="150"/>
      <c r="G173" s="150"/>
      <c r="H173" s="150"/>
      <c r="I173" s="150"/>
      <c r="J173" s="150"/>
      <c r="K173" s="150"/>
      <c r="L173" s="150"/>
      <c r="M173" s="150"/>
      <c r="N173" s="150"/>
      <c r="O173" s="166"/>
      <c r="P173" s="166"/>
      <c r="Q173" s="166"/>
      <c r="R173" s="166"/>
      <c r="S173" s="166"/>
    </row>
    <row r="174" spans="1:19" ht="13.5" customHeight="1">
      <c r="A174" s="150"/>
      <c r="B174" s="150"/>
      <c r="C174" s="150"/>
      <c r="D174" s="150"/>
      <c r="E174" s="150"/>
      <c r="F174" s="150"/>
      <c r="G174" s="150"/>
      <c r="H174" s="150"/>
      <c r="I174" s="150"/>
      <c r="J174" s="150"/>
      <c r="K174" s="150"/>
      <c r="L174" s="150"/>
      <c r="M174" s="150"/>
      <c r="N174" s="150"/>
      <c r="O174" s="166"/>
      <c r="P174" s="166"/>
      <c r="Q174" s="166"/>
      <c r="R174" s="166"/>
      <c r="S174" s="166"/>
    </row>
    <row r="175" spans="1:19" ht="13.5" customHeight="1">
      <c r="A175" s="150"/>
      <c r="B175" s="150"/>
      <c r="C175" s="150"/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  <c r="N175" s="150"/>
      <c r="O175" s="166"/>
      <c r="P175" s="166"/>
      <c r="Q175" s="166"/>
      <c r="R175" s="166"/>
      <c r="S175" s="166"/>
    </row>
    <row r="176" spans="1:19" ht="13.5" customHeight="1">
      <c r="A176" s="150"/>
      <c r="B176" s="150"/>
      <c r="C176" s="150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  <c r="N176" s="150"/>
      <c r="O176" s="166"/>
      <c r="P176" s="166"/>
      <c r="Q176" s="166"/>
      <c r="R176" s="166"/>
      <c r="S176" s="166"/>
    </row>
    <row r="177" spans="1:19" ht="13.5" customHeight="1">
      <c r="A177" s="150"/>
      <c r="B177" s="150"/>
      <c r="C177" s="150"/>
      <c r="D177" s="150"/>
      <c r="E177" s="150"/>
      <c r="F177" s="150"/>
      <c r="G177" s="150"/>
      <c r="H177" s="150"/>
      <c r="I177" s="150"/>
      <c r="J177" s="150"/>
      <c r="K177" s="150"/>
      <c r="L177" s="150"/>
      <c r="M177" s="150"/>
      <c r="N177" s="150"/>
      <c r="O177" s="166"/>
      <c r="P177" s="166"/>
      <c r="Q177" s="166"/>
      <c r="R177" s="166"/>
      <c r="S177" s="166"/>
    </row>
    <row r="178" spans="1:19" ht="13.5" customHeight="1">
      <c r="A178" s="150"/>
      <c r="B178" s="150"/>
      <c r="C178" s="150"/>
      <c r="D178" s="150"/>
      <c r="E178" s="150"/>
      <c r="F178" s="150"/>
      <c r="G178" s="150"/>
      <c r="H178" s="150"/>
      <c r="I178" s="150"/>
      <c r="J178" s="150"/>
      <c r="K178" s="150"/>
      <c r="L178" s="150"/>
      <c r="M178" s="150"/>
      <c r="N178" s="150"/>
      <c r="O178" s="166"/>
      <c r="P178" s="166"/>
      <c r="Q178" s="166"/>
      <c r="R178" s="166"/>
      <c r="S178" s="166"/>
    </row>
    <row r="179" spans="1:19" ht="13.5" customHeight="1">
      <c r="A179" s="150"/>
      <c r="B179" s="150"/>
      <c r="C179" s="150"/>
      <c r="D179" s="150"/>
      <c r="E179" s="150"/>
      <c r="F179" s="150"/>
      <c r="G179" s="150"/>
      <c r="H179" s="150"/>
      <c r="I179" s="150"/>
      <c r="J179" s="150"/>
      <c r="K179" s="150"/>
      <c r="L179" s="150"/>
      <c r="M179" s="150"/>
      <c r="N179" s="150"/>
      <c r="O179" s="166"/>
      <c r="P179" s="166"/>
      <c r="Q179" s="166"/>
      <c r="R179" s="166"/>
      <c r="S179" s="166"/>
    </row>
    <row r="180" spans="1:19" ht="13.5" customHeight="1">
      <c r="A180" s="150"/>
      <c r="B180" s="150"/>
      <c r="C180" s="150"/>
      <c r="D180" s="150"/>
      <c r="E180" s="150"/>
      <c r="F180" s="150"/>
      <c r="G180" s="150"/>
      <c r="H180" s="150"/>
      <c r="I180" s="150"/>
      <c r="J180" s="150"/>
      <c r="K180" s="150"/>
      <c r="L180" s="150"/>
      <c r="M180" s="150"/>
      <c r="N180" s="150"/>
      <c r="O180" s="166"/>
      <c r="P180" s="166"/>
      <c r="Q180" s="166"/>
      <c r="R180" s="166"/>
      <c r="S180" s="166"/>
    </row>
    <row r="181" spans="1:19" ht="13.5" customHeight="1">
      <c r="A181" s="150"/>
      <c r="B181" s="150"/>
      <c r="C181" s="150"/>
      <c r="D181" s="150"/>
      <c r="E181" s="150"/>
      <c r="F181" s="150"/>
      <c r="G181" s="150"/>
      <c r="H181" s="150"/>
      <c r="I181" s="150"/>
      <c r="J181" s="150"/>
      <c r="K181" s="150"/>
      <c r="L181" s="150"/>
      <c r="M181" s="150"/>
      <c r="N181" s="150"/>
      <c r="O181" s="166"/>
      <c r="P181" s="166"/>
      <c r="Q181" s="166"/>
      <c r="R181" s="166"/>
      <c r="S181" s="166"/>
    </row>
    <row r="182" spans="1:19" ht="13.5" customHeight="1">
      <c r="A182" s="150"/>
      <c r="B182" s="150"/>
      <c r="C182" s="150"/>
      <c r="D182" s="150"/>
      <c r="E182" s="150"/>
      <c r="F182" s="150"/>
      <c r="G182" s="150"/>
      <c r="H182" s="150"/>
      <c r="I182" s="150"/>
      <c r="J182" s="150"/>
      <c r="K182" s="150"/>
      <c r="L182" s="150"/>
      <c r="M182" s="150"/>
      <c r="N182" s="150"/>
      <c r="O182" s="166"/>
      <c r="P182" s="166"/>
      <c r="Q182" s="166"/>
      <c r="R182" s="166"/>
      <c r="S182" s="166"/>
    </row>
    <row r="183" spans="1:19" ht="13.5" customHeight="1">
      <c r="A183" s="150"/>
      <c r="B183" s="150"/>
      <c r="C183" s="150"/>
      <c r="D183" s="150"/>
      <c r="E183" s="150"/>
      <c r="F183" s="150"/>
      <c r="G183" s="150"/>
      <c r="H183" s="150"/>
      <c r="I183" s="150"/>
      <c r="J183" s="150"/>
      <c r="K183" s="150"/>
      <c r="L183" s="150"/>
      <c r="M183" s="150"/>
      <c r="N183" s="150"/>
      <c r="O183" s="166"/>
      <c r="P183" s="166"/>
      <c r="Q183" s="166"/>
      <c r="R183" s="166"/>
      <c r="S183" s="166"/>
    </row>
    <row r="184" spans="1:19" ht="13.5" customHeight="1">
      <c r="A184" s="150"/>
      <c r="B184" s="150"/>
      <c r="C184" s="150"/>
      <c r="D184" s="150"/>
      <c r="E184" s="150"/>
      <c r="F184" s="150"/>
      <c r="G184" s="150"/>
      <c r="H184" s="150"/>
      <c r="I184" s="150"/>
      <c r="J184" s="150"/>
      <c r="K184" s="150"/>
      <c r="L184" s="150"/>
      <c r="M184" s="150"/>
      <c r="N184" s="150"/>
      <c r="O184" s="166"/>
      <c r="P184" s="166"/>
      <c r="Q184" s="166"/>
      <c r="R184" s="166"/>
      <c r="S184" s="166"/>
    </row>
    <row r="185" spans="1:19" ht="13.5" customHeight="1">
      <c r="A185" s="150"/>
      <c r="B185" s="150"/>
      <c r="C185" s="150"/>
      <c r="D185" s="150"/>
      <c r="E185" s="150"/>
      <c r="F185" s="150"/>
      <c r="G185" s="150"/>
      <c r="H185" s="150"/>
      <c r="I185" s="150"/>
      <c r="J185" s="150"/>
      <c r="K185" s="150"/>
      <c r="L185" s="150"/>
      <c r="M185" s="150"/>
      <c r="N185" s="150"/>
      <c r="O185" s="166"/>
      <c r="P185" s="166"/>
      <c r="Q185" s="166"/>
      <c r="R185" s="166"/>
      <c r="S185" s="166"/>
    </row>
    <row r="186" spans="1:19" ht="13.5" customHeight="1">
      <c r="A186" s="150"/>
      <c r="B186" s="150"/>
      <c r="C186" s="150"/>
      <c r="D186" s="150"/>
      <c r="E186" s="150"/>
      <c r="F186" s="150"/>
      <c r="G186" s="150"/>
      <c r="H186" s="150"/>
      <c r="I186" s="150"/>
      <c r="J186" s="150"/>
      <c r="K186" s="150"/>
      <c r="L186" s="150"/>
      <c r="M186" s="150"/>
      <c r="N186" s="150"/>
      <c r="O186" s="166"/>
      <c r="P186" s="166"/>
      <c r="Q186" s="166"/>
      <c r="R186" s="166"/>
      <c r="S186" s="166"/>
    </row>
    <row r="187" spans="1:19" ht="13.5" customHeight="1">
      <c r="A187" s="150"/>
      <c r="B187" s="150"/>
      <c r="C187" s="150"/>
      <c r="D187" s="150"/>
      <c r="E187" s="150"/>
      <c r="F187" s="150"/>
      <c r="G187" s="150"/>
      <c r="H187" s="150"/>
      <c r="I187" s="150"/>
      <c r="J187" s="150"/>
      <c r="K187" s="150"/>
      <c r="L187" s="150"/>
      <c r="M187" s="150"/>
      <c r="N187" s="150"/>
      <c r="O187" s="166"/>
      <c r="P187" s="166"/>
      <c r="Q187" s="166"/>
      <c r="R187" s="166"/>
      <c r="S187" s="166"/>
    </row>
    <row r="188" spans="1:19" ht="13.5" customHeight="1">
      <c r="A188" s="150"/>
      <c r="B188" s="150"/>
      <c r="C188" s="150"/>
      <c r="D188" s="150"/>
      <c r="E188" s="150"/>
      <c r="F188" s="150"/>
      <c r="G188" s="150"/>
      <c r="H188" s="150"/>
      <c r="I188" s="150"/>
      <c r="J188" s="150"/>
      <c r="K188" s="150"/>
      <c r="L188" s="150"/>
      <c r="M188" s="150"/>
      <c r="N188" s="150"/>
      <c r="O188" s="166"/>
      <c r="P188" s="166"/>
      <c r="Q188" s="166"/>
      <c r="R188" s="166"/>
      <c r="S188" s="166"/>
    </row>
    <row r="189" spans="1:19" ht="13.5" customHeight="1">
      <c r="A189" s="150"/>
      <c r="B189" s="150"/>
      <c r="C189" s="150"/>
      <c r="D189" s="150"/>
      <c r="E189" s="150"/>
      <c r="F189" s="150"/>
      <c r="G189" s="150"/>
      <c r="H189" s="150"/>
      <c r="I189" s="150"/>
      <c r="J189" s="150"/>
      <c r="K189" s="150"/>
      <c r="L189" s="150"/>
      <c r="M189" s="150"/>
      <c r="N189" s="150"/>
      <c r="O189" s="166"/>
      <c r="P189" s="166"/>
      <c r="Q189" s="166"/>
      <c r="R189" s="166"/>
      <c r="S189" s="166"/>
    </row>
    <row r="190" spans="1:19" ht="13.5" customHeight="1">
      <c r="A190" s="150"/>
      <c r="B190" s="150"/>
      <c r="C190" s="150"/>
      <c r="D190" s="150"/>
      <c r="E190" s="150"/>
      <c r="F190" s="150"/>
      <c r="G190" s="150"/>
      <c r="H190" s="150"/>
      <c r="I190" s="150"/>
      <c r="J190" s="150"/>
      <c r="K190" s="150"/>
      <c r="L190" s="150"/>
      <c r="M190" s="150"/>
      <c r="N190" s="150"/>
      <c r="O190" s="166"/>
      <c r="P190" s="166"/>
      <c r="Q190" s="166"/>
      <c r="R190" s="166"/>
      <c r="S190" s="166"/>
    </row>
    <row r="191" spans="1:19" ht="13.5" customHeight="1">
      <c r="A191" s="150"/>
      <c r="B191" s="150"/>
      <c r="C191" s="150"/>
      <c r="D191" s="150"/>
      <c r="E191" s="150"/>
      <c r="F191" s="150"/>
      <c r="G191" s="150"/>
      <c r="H191" s="150"/>
      <c r="I191" s="150"/>
      <c r="J191" s="150"/>
      <c r="K191" s="150"/>
      <c r="L191" s="150"/>
      <c r="M191" s="150"/>
      <c r="N191" s="150"/>
      <c r="O191" s="166"/>
      <c r="P191" s="166"/>
      <c r="Q191" s="166"/>
      <c r="R191" s="166"/>
      <c r="S191" s="166"/>
    </row>
    <row r="192" spans="1:19" ht="13.5" customHeight="1">
      <c r="A192" s="150"/>
      <c r="B192" s="150"/>
      <c r="C192" s="150"/>
      <c r="D192" s="150"/>
      <c r="E192" s="150"/>
      <c r="F192" s="150"/>
      <c r="G192" s="150"/>
      <c r="H192" s="150"/>
      <c r="I192" s="150"/>
      <c r="J192" s="150"/>
      <c r="K192" s="150"/>
      <c r="L192" s="150"/>
      <c r="M192" s="150"/>
      <c r="N192" s="150"/>
      <c r="O192" s="166"/>
      <c r="P192" s="166"/>
      <c r="Q192" s="166"/>
      <c r="R192" s="166"/>
      <c r="S192" s="166"/>
    </row>
    <row r="193" spans="1:19" ht="13.5" customHeight="1">
      <c r="A193" s="150"/>
      <c r="B193" s="150"/>
      <c r="C193" s="150"/>
      <c r="D193" s="150"/>
      <c r="E193" s="150"/>
      <c r="F193" s="150"/>
      <c r="G193" s="150"/>
      <c r="H193" s="150"/>
      <c r="I193" s="150"/>
      <c r="J193" s="150"/>
      <c r="K193" s="150"/>
      <c r="L193" s="150"/>
      <c r="M193" s="150"/>
      <c r="N193" s="150"/>
      <c r="O193" s="166"/>
      <c r="P193" s="166"/>
      <c r="Q193" s="166"/>
      <c r="R193" s="166"/>
      <c r="S193" s="166"/>
    </row>
    <row r="194" spans="1:19" ht="13.5" customHeight="1">
      <c r="A194" s="150"/>
      <c r="B194" s="150"/>
      <c r="C194" s="150"/>
      <c r="D194" s="150"/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  <c r="O194" s="166"/>
      <c r="P194" s="166"/>
      <c r="Q194" s="166"/>
      <c r="R194" s="166"/>
      <c r="S194" s="166"/>
    </row>
    <row r="195" spans="1:19" ht="13.5" customHeight="1">
      <c r="A195" s="150"/>
      <c r="B195" s="150"/>
      <c r="C195" s="150"/>
      <c r="D195" s="150"/>
      <c r="E195" s="150"/>
      <c r="F195" s="150"/>
      <c r="G195" s="150"/>
      <c r="H195" s="150"/>
      <c r="I195" s="150"/>
      <c r="J195" s="150"/>
      <c r="K195" s="150"/>
      <c r="L195" s="150"/>
      <c r="M195" s="150"/>
      <c r="N195" s="150"/>
      <c r="O195" s="166"/>
      <c r="P195" s="166"/>
      <c r="Q195" s="166"/>
      <c r="R195" s="166"/>
      <c r="S195" s="166"/>
    </row>
    <row r="196" spans="1:19" ht="13.5" customHeight="1">
      <c r="A196" s="150"/>
      <c r="B196" s="150"/>
      <c r="C196" s="150"/>
      <c r="D196" s="150"/>
      <c r="E196" s="150"/>
      <c r="F196" s="150"/>
      <c r="G196" s="150"/>
      <c r="H196" s="150"/>
      <c r="I196" s="150"/>
      <c r="J196" s="150"/>
      <c r="K196" s="150"/>
      <c r="L196" s="150"/>
      <c r="M196" s="150"/>
      <c r="N196" s="150"/>
      <c r="O196" s="166"/>
      <c r="P196" s="166"/>
      <c r="Q196" s="166"/>
      <c r="R196" s="166"/>
      <c r="S196" s="166"/>
    </row>
    <row r="197" spans="1:19" ht="13.5" customHeight="1">
      <c r="A197" s="150"/>
      <c r="B197" s="150"/>
      <c r="C197" s="150"/>
      <c r="D197" s="150"/>
      <c r="E197" s="150"/>
      <c r="F197" s="150"/>
      <c r="G197" s="150"/>
      <c r="H197" s="150"/>
      <c r="I197" s="150"/>
      <c r="J197" s="150"/>
      <c r="K197" s="150"/>
      <c r="L197" s="150"/>
      <c r="M197" s="150"/>
      <c r="N197" s="150"/>
      <c r="O197" s="166"/>
      <c r="P197" s="166"/>
      <c r="Q197" s="166"/>
      <c r="R197" s="166"/>
      <c r="S197" s="166"/>
    </row>
    <row r="198" spans="1:19" ht="13.5" customHeight="1">
      <c r="A198" s="150"/>
      <c r="B198" s="150"/>
      <c r="C198" s="150"/>
      <c r="D198" s="150"/>
      <c r="E198" s="150"/>
      <c r="F198" s="150"/>
      <c r="G198" s="150"/>
      <c r="H198" s="150"/>
      <c r="I198" s="150"/>
      <c r="J198" s="150"/>
      <c r="K198" s="150"/>
      <c r="L198" s="150"/>
      <c r="M198" s="150"/>
      <c r="N198" s="150"/>
      <c r="O198" s="166"/>
      <c r="P198" s="166"/>
      <c r="Q198" s="166"/>
      <c r="R198" s="166"/>
      <c r="S198" s="166"/>
    </row>
    <row r="199" spans="1:19" ht="13.5" customHeight="1">
      <c r="A199" s="150"/>
      <c r="B199" s="150"/>
      <c r="C199" s="150"/>
      <c r="D199" s="150"/>
      <c r="E199" s="150"/>
      <c r="F199" s="150"/>
      <c r="G199" s="150"/>
      <c r="H199" s="150"/>
      <c r="I199" s="150"/>
      <c r="J199" s="150"/>
      <c r="K199" s="150"/>
      <c r="L199" s="150"/>
      <c r="M199" s="150"/>
      <c r="N199" s="150"/>
      <c r="O199" s="166"/>
      <c r="P199" s="166"/>
      <c r="Q199" s="166"/>
      <c r="R199" s="166"/>
      <c r="S199" s="166"/>
    </row>
    <row r="200" spans="1:19" ht="13.5" customHeight="1">
      <c r="A200" s="150"/>
      <c r="B200" s="150"/>
      <c r="C200" s="150"/>
      <c r="D200" s="150"/>
      <c r="E200" s="150"/>
      <c r="F200" s="150"/>
      <c r="G200" s="150"/>
      <c r="H200" s="150"/>
      <c r="I200" s="150"/>
      <c r="J200" s="150"/>
      <c r="K200" s="150"/>
      <c r="L200" s="150"/>
      <c r="M200" s="150"/>
      <c r="N200" s="150"/>
      <c r="O200" s="166"/>
      <c r="P200" s="166"/>
      <c r="Q200" s="166"/>
      <c r="R200" s="166"/>
      <c r="S200" s="166"/>
    </row>
    <row r="201" spans="1:19" ht="13.5" customHeight="1">
      <c r="A201" s="150"/>
      <c r="B201" s="150"/>
      <c r="C201" s="150"/>
      <c r="D201" s="150"/>
      <c r="E201" s="150"/>
      <c r="F201" s="150"/>
      <c r="G201" s="150"/>
      <c r="H201" s="150"/>
      <c r="I201" s="150"/>
      <c r="J201" s="150"/>
      <c r="K201" s="150"/>
      <c r="L201" s="150"/>
      <c r="M201" s="150"/>
      <c r="N201" s="150"/>
      <c r="O201" s="166"/>
      <c r="P201" s="166"/>
      <c r="Q201" s="166"/>
      <c r="R201" s="166"/>
      <c r="S201" s="166"/>
    </row>
    <row r="202" spans="1:19" ht="13.5" customHeight="1">
      <c r="A202" s="150"/>
      <c r="B202" s="150"/>
      <c r="C202" s="150"/>
      <c r="D202" s="150"/>
      <c r="E202" s="150"/>
      <c r="F202" s="150"/>
      <c r="G202" s="150"/>
      <c r="H202" s="150"/>
      <c r="I202" s="150"/>
      <c r="J202" s="150"/>
      <c r="K202" s="150"/>
      <c r="L202" s="150"/>
      <c r="M202" s="150"/>
      <c r="N202" s="150"/>
      <c r="O202" s="166"/>
      <c r="P202" s="166"/>
      <c r="Q202" s="166"/>
      <c r="R202" s="166"/>
      <c r="S202" s="166"/>
    </row>
    <row r="203" spans="1:19" ht="13.5" customHeight="1">
      <c r="A203" s="150"/>
      <c r="B203" s="150"/>
      <c r="C203" s="150"/>
      <c r="D203" s="150"/>
      <c r="E203" s="150"/>
      <c r="F203" s="150"/>
      <c r="G203" s="150"/>
      <c r="H203" s="150"/>
      <c r="I203" s="150"/>
      <c r="J203" s="150"/>
      <c r="K203" s="150"/>
      <c r="L203" s="150"/>
      <c r="M203" s="150"/>
      <c r="N203" s="150"/>
      <c r="O203" s="166"/>
      <c r="P203" s="166"/>
      <c r="Q203" s="166"/>
      <c r="R203" s="166"/>
      <c r="S203" s="166"/>
    </row>
    <row r="204" spans="1:19" ht="13.5" customHeight="1">
      <c r="A204" s="150"/>
      <c r="B204" s="150"/>
      <c r="C204" s="150"/>
      <c r="D204" s="150"/>
      <c r="E204" s="150"/>
      <c r="F204" s="150"/>
      <c r="G204" s="150"/>
      <c r="H204" s="150"/>
      <c r="I204" s="150"/>
      <c r="J204" s="150"/>
      <c r="K204" s="150"/>
      <c r="L204" s="150"/>
      <c r="M204" s="150"/>
      <c r="N204" s="150"/>
      <c r="O204" s="166"/>
      <c r="P204" s="166"/>
      <c r="Q204" s="166"/>
      <c r="R204" s="166"/>
      <c r="S204" s="166"/>
    </row>
    <row r="205" spans="1:19" ht="13.5" customHeight="1">
      <c r="A205" s="150"/>
      <c r="B205" s="150"/>
      <c r="C205" s="150"/>
      <c r="D205" s="150"/>
      <c r="E205" s="150"/>
      <c r="F205" s="150"/>
      <c r="G205" s="150"/>
      <c r="H205" s="150"/>
      <c r="I205" s="150"/>
      <c r="J205" s="150"/>
      <c r="K205" s="150"/>
      <c r="L205" s="150"/>
      <c r="M205" s="150"/>
      <c r="N205" s="150"/>
      <c r="O205" s="166"/>
      <c r="P205" s="166"/>
      <c r="Q205" s="166"/>
      <c r="R205" s="166"/>
      <c r="S205" s="166"/>
    </row>
    <row r="206" spans="1:19" ht="13.5" customHeight="1">
      <c r="A206" s="150"/>
      <c r="B206" s="150"/>
      <c r="C206" s="150"/>
      <c r="D206" s="150"/>
      <c r="E206" s="150"/>
      <c r="F206" s="150"/>
      <c r="G206" s="150"/>
      <c r="H206" s="150"/>
      <c r="I206" s="150"/>
      <c r="J206" s="150"/>
      <c r="K206" s="150"/>
      <c r="L206" s="150"/>
      <c r="M206" s="150"/>
      <c r="N206" s="150"/>
      <c r="O206" s="166"/>
      <c r="P206" s="166"/>
      <c r="Q206" s="166"/>
      <c r="R206" s="166"/>
      <c r="S206" s="166"/>
    </row>
    <row r="207" spans="1:19" ht="13.5" customHeight="1">
      <c r="A207" s="150"/>
      <c r="B207" s="150"/>
      <c r="C207" s="150"/>
      <c r="D207" s="150"/>
      <c r="E207" s="150"/>
      <c r="F207" s="150"/>
      <c r="G207" s="150"/>
      <c r="H207" s="150"/>
      <c r="I207" s="150"/>
      <c r="J207" s="150"/>
      <c r="K207" s="150"/>
      <c r="L207" s="150"/>
      <c r="M207" s="150"/>
      <c r="N207" s="150"/>
      <c r="O207" s="166"/>
      <c r="P207" s="166"/>
      <c r="Q207" s="166"/>
      <c r="R207" s="166"/>
      <c r="S207" s="166"/>
    </row>
    <row r="208" spans="1:19" ht="13.5" customHeight="1">
      <c r="A208" s="150"/>
      <c r="B208" s="150"/>
      <c r="C208" s="150"/>
      <c r="D208" s="150"/>
      <c r="E208" s="150"/>
      <c r="F208" s="150"/>
      <c r="G208" s="150"/>
      <c r="H208" s="150"/>
      <c r="I208" s="150"/>
      <c r="J208" s="150"/>
      <c r="K208" s="150"/>
      <c r="L208" s="150"/>
      <c r="M208" s="150"/>
      <c r="N208" s="150"/>
      <c r="O208" s="166"/>
      <c r="P208" s="166"/>
      <c r="Q208" s="166"/>
      <c r="R208" s="166"/>
      <c r="S208" s="166"/>
    </row>
    <row r="209" spans="1:19" ht="13.5" customHeight="1">
      <c r="A209" s="150"/>
      <c r="B209" s="150"/>
      <c r="C209" s="150"/>
      <c r="D209" s="150"/>
      <c r="E209" s="150"/>
      <c r="F209" s="150"/>
      <c r="G209" s="150"/>
      <c r="H209" s="150"/>
      <c r="I209" s="150"/>
      <c r="J209" s="150"/>
      <c r="K209" s="150"/>
      <c r="L209" s="150"/>
      <c r="M209" s="150"/>
      <c r="N209" s="150"/>
      <c r="O209" s="166"/>
      <c r="P209" s="166"/>
      <c r="Q209" s="166"/>
      <c r="R209" s="166"/>
      <c r="S209" s="166"/>
    </row>
    <row r="210" spans="1:19" ht="13.5" customHeight="1">
      <c r="A210" s="150"/>
      <c r="B210" s="150"/>
      <c r="C210" s="150"/>
      <c r="D210" s="150"/>
      <c r="E210" s="150"/>
      <c r="F210" s="150"/>
      <c r="G210" s="150"/>
      <c r="H210" s="150"/>
      <c r="I210" s="150"/>
      <c r="J210" s="150"/>
      <c r="K210" s="150"/>
      <c r="L210" s="150"/>
      <c r="M210" s="150"/>
      <c r="N210" s="150"/>
      <c r="O210" s="166"/>
      <c r="P210" s="166"/>
      <c r="Q210" s="166"/>
      <c r="R210" s="166"/>
      <c r="S210" s="166"/>
    </row>
    <row r="211" spans="1:19" ht="13.5" customHeight="1">
      <c r="A211" s="150"/>
      <c r="B211" s="150"/>
      <c r="C211" s="150"/>
      <c r="D211" s="150"/>
      <c r="E211" s="150"/>
      <c r="F211" s="150"/>
      <c r="G211" s="150"/>
      <c r="H211" s="150"/>
      <c r="I211" s="150"/>
      <c r="J211" s="150"/>
      <c r="K211" s="150"/>
      <c r="L211" s="150"/>
      <c r="M211" s="150"/>
      <c r="N211" s="150"/>
      <c r="O211" s="166"/>
      <c r="P211" s="166"/>
      <c r="Q211" s="166"/>
      <c r="R211" s="166"/>
      <c r="S211" s="166"/>
    </row>
    <row r="212" spans="1:19" ht="13.5" customHeight="1">
      <c r="A212" s="150"/>
      <c r="B212" s="150"/>
      <c r="C212" s="150"/>
      <c r="D212" s="150"/>
      <c r="E212" s="150"/>
      <c r="F212" s="150"/>
      <c r="G212" s="150"/>
      <c r="H212" s="150"/>
      <c r="I212" s="150"/>
      <c r="J212" s="150"/>
      <c r="K212" s="150"/>
      <c r="L212" s="150"/>
      <c r="M212" s="150"/>
      <c r="N212" s="150"/>
      <c r="O212" s="166"/>
      <c r="P212" s="166"/>
      <c r="Q212" s="166"/>
      <c r="R212" s="166"/>
      <c r="S212" s="166"/>
    </row>
    <row r="213" spans="1:19" ht="13.5" customHeight="1">
      <c r="A213" s="150"/>
      <c r="B213" s="150"/>
      <c r="C213" s="150"/>
      <c r="D213" s="150"/>
      <c r="E213" s="150"/>
      <c r="F213" s="150"/>
      <c r="G213" s="150"/>
      <c r="H213" s="150"/>
      <c r="I213" s="150"/>
      <c r="J213" s="150"/>
      <c r="K213" s="150"/>
      <c r="L213" s="150"/>
      <c r="M213" s="150"/>
      <c r="N213" s="150"/>
      <c r="O213" s="166"/>
      <c r="P213" s="166"/>
      <c r="Q213" s="166"/>
      <c r="R213" s="166"/>
      <c r="S213" s="166"/>
    </row>
    <row r="214" spans="1:19" ht="13.5" customHeight="1">
      <c r="A214" s="150"/>
      <c r="B214" s="150"/>
      <c r="C214" s="150"/>
      <c r="D214" s="150"/>
      <c r="E214" s="150"/>
      <c r="F214" s="150"/>
      <c r="G214" s="150"/>
      <c r="H214" s="150"/>
      <c r="I214" s="150"/>
      <c r="J214" s="150"/>
      <c r="K214" s="150"/>
      <c r="L214" s="150"/>
      <c r="M214" s="150"/>
      <c r="N214" s="150"/>
      <c r="O214" s="166"/>
      <c r="P214" s="166"/>
      <c r="Q214" s="166"/>
      <c r="R214" s="166"/>
      <c r="S214" s="166"/>
    </row>
    <row r="215" spans="1:19" ht="13.5" customHeight="1">
      <c r="A215" s="150"/>
      <c r="B215" s="150"/>
      <c r="C215" s="150"/>
      <c r="D215" s="150"/>
      <c r="E215" s="150"/>
      <c r="F215" s="150"/>
      <c r="G215" s="150"/>
      <c r="H215" s="150"/>
      <c r="I215" s="150"/>
      <c r="J215" s="150"/>
      <c r="K215" s="150"/>
      <c r="L215" s="150"/>
      <c r="M215" s="150"/>
      <c r="N215" s="150"/>
      <c r="O215" s="166"/>
      <c r="P215" s="166"/>
      <c r="Q215" s="166"/>
      <c r="R215" s="166"/>
      <c r="S215" s="166"/>
    </row>
    <row r="216" spans="1:19" ht="13.5" customHeight="1">
      <c r="A216" s="150"/>
      <c r="B216" s="150"/>
      <c r="C216" s="150"/>
      <c r="D216" s="150"/>
      <c r="E216" s="150"/>
      <c r="F216" s="150"/>
      <c r="G216" s="150"/>
      <c r="H216" s="150"/>
      <c r="I216" s="150"/>
      <c r="J216" s="150"/>
      <c r="K216" s="150"/>
      <c r="L216" s="150"/>
      <c r="M216" s="150"/>
      <c r="N216" s="150"/>
      <c r="O216" s="166"/>
      <c r="P216" s="166"/>
      <c r="Q216" s="166"/>
      <c r="R216" s="166"/>
      <c r="S216" s="166"/>
    </row>
    <row r="217" spans="1:19" ht="13.5" customHeight="1">
      <c r="A217" s="150"/>
      <c r="B217" s="150"/>
      <c r="C217" s="150"/>
      <c r="D217" s="150"/>
      <c r="E217" s="150"/>
      <c r="F217" s="150"/>
      <c r="G217" s="150"/>
      <c r="H217" s="150"/>
      <c r="I217" s="150"/>
      <c r="J217" s="150"/>
      <c r="K217" s="150"/>
      <c r="L217" s="150"/>
      <c r="M217" s="150"/>
      <c r="N217" s="150"/>
      <c r="O217" s="166"/>
      <c r="P217" s="166"/>
      <c r="Q217" s="166"/>
      <c r="R217" s="166"/>
      <c r="S217" s="166"/>
    </row>
    <row r="218" spans="1:19" ht="13.5" customHeight="1">
      <c r="A218" s="150"/>
      <c r="B218" s="150"/>
      <c r="C218" s="150"/>
      <c r="D218" s="150"/>
      <c r="E218" s="150"/>
      <c r="F218" s="150"/>
      <c r="G218" s="150"/>
      <c r="H218" s="150"/>
      <c r="I218" s="150"/>
      <c r="J218" s="150"/>
      <c r="K218" s="150"/>
      <c r="L218" s="150"/>
      <c r="M218" s="150"/>
      <c r="N218" s="150"/>
      <c r="O218" s="166"/>
      <c r="P218" s="166"/>
      <c r="Q218" s="166"/>
      <c r="R218" s="166"/>
      <c r="S218" s="166"/>
    </row>
    <row r="219" spans="1:19" ht="13.5" customHeight="1">
      <c r="A219" s="150"/>
      <c r="B219" s="150"/>
      <c r="C219" s="150"/>
      <c r="D219" s="150"/>
      <c r="E219" s="150"/>
      <c r="F219" s="150"/>
      <c r="G219" s="150"/>
      <c r="H219" s="150"/>
      <c r="I219" s="150"/>
      <c r="J219" s="150"/>
      <c r="K219" s="150"/>
      <c r="L219" s="150"/>
      <c r="M219" s="150"/>
      <c r="N219" s="150"/>
      <c r="O219" s="166"/>
      <c r="P219" s="166"/>
      <c r="Q219" s="166"/>
      <c r="R219" s="166"/>
      <c r="S219" s="166"/>
    </row>
    <row r="220" spans="1:19" ht="13.5" customHeight="1">
      <c r="A220" s="150"/>
      <c r="B220" s="150"/>
      <c r="C220" s="150"/>
      <c r="D220" s="150"/>
      <c r="E220" s="150"/>
      <c r="F220" s="150"/>
      <c r="G220" s="150"/>
      <c r="H220" s="150"/>
      <c r="I220" s="150"/>
      <c r="J220" s="150"/>
      <c r="K220" s="150"/>
      <c r="L220" s="150"/>
      <c r="M220" s="150"/>
      <c r="N220" s="150"/>
      <c r="O220" s="166"/>
      <c r="P220" s="166"/>
      <c r="Q220" s="166"/>
      <c r="R220" s="166"/>
      <c r="S220" s="166"/>
    </row>
    <row r="221" spans="1:19" ht="13.5" customHeight="1">
      <c r="A221" s="150"/>
      <c r="B221" s="150"/>
      <c r="C221" s="150"/>
      <c r="D221" s="150"/>
      <c r="E221" s="150"/>
      <c r="F221" s="150"/>
      <c r="G221" s="150"/>
      <c r="H221" s="150"/>
      <c r="I221" s="150"/>
      <c r="J221" s="150"/>
      <c r="K221" s="150"/>
      <c r="L221" s="150"/>
      <c r="M221" s="150"/>
      <c r="N221" s="150"/>
      <c r="O221" s="166"/>
      <c r="P221" s="166"/>
      <c r="Q221" s="166"/>
      <c r="R221" s="166"/>
      <c r="S221" s="166"/>
    </row>
    <row r="222" spans="1:19" ht="13.5" customHeight="1">
      <c r="A222" s="150"/>
      <c r="B222" s="150"/>
      <c r="C222" s="150"/>
      <c r="D222" s="150"/>
      <c r="E222" s="150"/>
      <c r="F222" s="150"/>
      <c r="G222" s="150"/>
      <c r="H222" s="150"/>
      <c r="I222" s="150"/>
      <c r="J222" s="150"/>
      <c r="K222" s="150"/>
      <c r="L222" s="150"/>
      <c r="M222" s="150"/>
      <c r="N222" s="150"/>
      <c r="O222" s="166"/>
      <c r="P222" s="166"/>
      <c r="Q222" s="166"/>
      <c r="R222" s="166"/>
      <c r="S222" s="166"/>
    </row>
    <row r="223" spans="1:19" ht="13.5" customHeight="1">
      <c r="A223" s="150"/>
      <c r="B223" s="150"/>
      <c r="C223" s="150"/>
      <c r="D223" s="150"/>
      <c r="E223" s="150"/>
      <c r="F223" s="150"/>
      <c r="G223" s="150"/>
      <c r="H223" s="150"/>
      <c r="I223" s="150"/>
      <c r="J223" s="150"/>
      <c r="K223" s="150"/>
      <c r="L223" s="150"/>
      <c r="M223" s="150"/>
      <c r="N223" s="150"/>
      <c r="O223" s="166"/>
      <c r="P223" s="166"/>
      <c r="Q223" s="166"/>
      <c r="R223" s="166"/>
      <c r="S223" s="166"/>
    </row>
    <row r="224" spans="1:19" ht="13.5" customHeight="1">
      <c r="A224" s="150"/>
      <c r="B224" s="150"/>
      <c r="C224" s="150"/>
      <c r="D224" s="150"/>
      <c r="E224" s="150"/>
      <c r="F224" s="150"/>
      <c r="G224" s="150"/>
      <c r="H224" s="150"/>
      <c r="I224" s="150"/>
      <c r="J224" s="150"/>
      <c r="K224" s="150"/>
      <c r="L224" s="150"/>
      <c r="M224" s="150"/>
      <c r="N224" s="150"/>
      <c r="O224" s="166"/>
      <c r="P224" s="166"/>
      <c r="Q224" s="166"/>
      <c r="R224" s="166"/>
      <c r="S224" s="166"/>
    </row>
    <row r="225" spans="1:19" ht="13.5" customHeight="1">
      <c r="A225" s="150"/>
      <c r="B225" s="150"/>
      <c r="C225" s="150"/>
      <c r="D225" s="150"/>
      <c r="E225" s="150"/>
      <c r="F225" s="150"/>
      <c r="G225" s="150"/>
      <c r="H225" s="150"/>
      <c r="I225" s="150"/>
      <c r="J225" s="150"/>
      <c r="K225" s="150"/>
      <c r="L225" s="150"/>
      <c r="M225" s="150"/>
      <c r="N225" s="150"/>
      <c r="O225" s="166"/>
      <c r="P225" s="166"/>
      <c r="Q225" s="166"/>
      <c r="R225" s="166"/>
      <c r="S225" s="166"/>
    </row>
    <row r="226" spans="1:19" ht="13.5" customHeight="1">
      <c r="A226" s="150"/>
      <c r="B226" s="150"/>
      <c r="C226" s="150"/>
      <c r="D226" s="150"/>
      <c r="E226" s="150"/>
      <c r="F226" s="150"/>
      <c r="G226" s="150"/>
      <c r="H226" s="150"/>
      <c r="I226" s="150"/>
      <c r="J226" s="150"/>
      <c r="K226" s="150"/>
      <c r="L226" s="150"/>
      <c r="M226" s="150"/>
      <c r="N226" s="150"/>
      <c r="O226" s="166"/>
      <c r="P226" s="166"/>
      <c r="Q226" s="166"/>
      <c r="R226" s="166"/>
      <c r="S226" s="166"/>
    </row>
    <row r="227" spans="1:19" ht="13.5" customHeight="1">
      <c r="A227" s="150"/>
      <c r="B227" s="150"/>
      <c r="C227" s="150"/>
      <c r="D227" s="150"/>
      <c r="E227" s="150"/>
      <c r="F227" s="150"/>
      <c r="G227" s="150"/>
      <c r="H227" s="150"/>
      <c r="I227" s="150"/>
      <c r="J227" s="150"/>
      <c r="K227" s="150"/>
      <c r="L227" s="150"/>
      <c r="M227" s="150"/>
      <c r="N227" s="150"/>
      <c r="O227" s="166"/>
      <c r="P227" s="166"/>
      <c r="Q227" s="166"/>
      <c r="R227" s="166"/>
      <c r="S227" s="166"/>
    </row>
    <row r="228" spans="1:19" ht="13.5" customHeight="1">
      <c r="A228" s="150"/>
      <c r="B228" s="150"/>
      <c r="C228" s="150"/>
      <c r="D228" s="150"/>
      <c r="E228" s="150"/>
      <c r="F228" s="150"/>
      <c r="G228" s="150"/>
      <c r="H228" s="150"/>
      <c r="I228" s="150"/>
      <c r="J228" s="150"/>
      <c r="K228" s="150"/>
      <c r="L228" s="150"/>
      <c r="M228" s="150"/>
      <c r="N228" s="150"/>
      <c r="O228" s="166"/>
      <c r="P228" s="166"/>
      <c r="Q228" s="166"/>
      <c r="R228" s="166"/>
      <c r="S228" s="166"/>
    </row>
    <row r="229" spans="1:19" ht="13.5" customHeight="1">
      <c r="A229" s="150"/>
      <c r="B229" s="150"/>
      <c r="C229" s="150"/>
      <c r="D229" s="150"/>
      <c r="E229" s="150"/>
      <c r="F229" s="150"/>
      <c r="G229" s="150"/>
      <c r="H229" s="150"/>
      <c r="I229" s="150"/>
      <c r="J229" s="150"/>
      <c r="K229" s="150"/>
      <c r="L229" s="150"/>
      <c r="M229" s="150"/>
      <c r="N229" s="150"/>
      <c r="O229" s="166"/>
      <c r="P229" s="166"/>
      <c r="Q229" s="166"/>
      <c r="R229" s="166"/>
      <c r="S229" s="166"/>
    </row>
    <row r="230" spans="1:19" ht="13.5" customHeight="1">
      <c r="A230" s="150"/>
      <c r="B230" s="150"/>
      <c r="C230" s="150"/>
      <c r="D230" s="150"/>
      <c r="E230" s="150"/>
      <c r="F230" s="150"/>
      <c r="G230" s="150"/>
      <c r="H230" s="150"/>
      <c r="I230" s="150"/>
      <c r="J230" s="150"/>
      <c r="K230" s="150"/>
      <c r="L230" s="150"/>
      <c r="M230" s="150"/>
      <c r="N230" s="150"/>
      <c r="O230" s="166"/>
      <c r="P230" s="166"/>
      <c r="Q230" s="166"/>
      <c r="R230" s="166"/>
      <c r="S230" s="166"/>
    </row>
    <row r="231" spans="1:19" ht="13.5" customHeight="1">
      <c r="A231" s="150"/>
      <c r="B231" s="150"/>
      <c r="C231" s="150"/>
      <c r="D231" s="150"/>
      <c r="E231" s="150"/>
      <c r="F231" s="150"/>
      <c r="G231" s="150"/>
      <c r="H231" s="150"/>
      <c r="I231" s="150"/>
      <c r="J231" s="150"/>
      <c r="K231" s="150"/>
      <c r="L231" s="150"/>
      <c r="M231" s="150"/>
      <c r="N231" s="150"/>
      <c r="O231" s="166"/>
      <c r="P231" s="166"/>
      <c r="Q231" s="166"/>
      <c r="R231" s="166"/>
      <c r="S231" s="166"/>
    </row>
    <row r="232" spans="1:19" ht="13.5" customHeight="1">
      <c r="A232" s="150"/>
      <c r="B232" s="150"/>
      <c r="C232" s="150"/>
      <c r="D232" s="150"/>
      <c r="E232" s="150"/>
      <c r="F232" s="150"/>
      <c r="G232" s="150"/>
      <c r="H232" s="150"/>
      <c r="I232" s="150"/>
      <c r="J232" s="150"/>
      <c r="K232" s="150"/>
      <c r="L232" s="150"/>
      <c r="M232" s="150"/>
      <c r="N232" s="150"/>
      <c r="O232" s="166"/>
      <c r="P232" s="166"/>
      <c r="Q232" s="166"/>
      <c r="R232" s="166"/>
      <c r="S232" s="166"/>
    </row>
    <row r="233" spans="1:19" ht="13.5" customHeight="1">
      <c r="A233" s="150"/>
      <c r="B233" s="150"/>
      <c r="C233" s="150"/>
      <c r="D233" s="150"/>
      <c r="E233" s="150"/>
      <c r="F233" s="150"/>
      <c r="G233" s="150"/>
      <c r="H233" s="150"/>
      <c r="I233" s="150"/>
      <c r="J233" s="150"/>
      <c r="K233" s="150"/>
      <c r="L233" s="150"/>
      <c r="M233" s="150"/>
      <c r="N233" s="150"/>
      <c r="O233" s="166"/>
      <c r="P233" s="166"/>
      <c r="Q233" s="166"/>
      <c r="R233" s="166"/>
      <c r="S233" s="166"/>
    </row>
    <row r="234" spans="1:19" ht="13.5" customHeight="1">
      <c r="A234" s="150"/>
      <c r="B234" s="150"/>
      <c r="C234" s="150"/>
      <c r="D234" s="150"/>
      <c r="E234" s="150"/>
      <c r="F234" s="150"/>
      <c r="G234" s="150"/>
      <c r="H234" s="150"/>
      <c r="I234" s="150"/>
      <c r="J234" s="150"/>
      <c r="K234" s="150"/>
      <c r="L234" s="150"/>
      <c r="M234" s="150"/>
      <c r="N234" s="150"/>
      <c r="O234" s="166"/>
      <c r="P234" s="166"/>
      <c r="Q234" s="166"/>
      <c r="R234" s="166"/>
      <c r="S234" s="166"/>
    </row>
    <row r="235" spans="1:19" ht="13.5" customHeight="1">
      <c r="A235" s="150"/>
      <c r="B235" s="150"/>
      <c r="C235" s="150"/>
      <c r="D235" s="150"/>
      <c r="E235" s="150"/>
      <c r="F235" s="150"/>
      <c r="G235" s="150"/>
      <c r="H235" s="150"/>
      <c r="I235" s="150"/>
      <c r="J235" s="150"/>
      <c r="K235" s="150"/>
      <c r="L235" s="150"/>
      <c r="M235" s="150"/>
      <c r="N235" s="150"/>
      <c r="O235" s="166"/>
      <c r="P235" s="166"/>
      <c r="Q235" s="166"/>
      <c r="R235" s="166"/>
      <c r="S235" s="166"/>
    </row>
    <row r="236" spans="1:19" ht="13.5" customHeight="1">
      <c r="A236" s="150"/>
      <c r="B236" s="150"/>
      <c r="C236" s="150"/>
      <c r="D236" s="150"/>
      <c r="E236" s="150"/>
      <c r="F236" s="150"/>
      <c r="G236" s="150"/>
      <c r="H236" s="150"/>
      <c r="I236" s="150"/>
      <c r="J236" s="150"/>
      <c r="K236" s="150"/>
      <c r="L236" s="150"/>
      <c r="M236" s="150"/>
      <c r="N236" s="150"/>
      <c r="O236" s="166"/>
      <c r="P236" s="166"/>
      <c r="Q236" s="166"/>
      <c r="R236" s="166"/>
      <c r="S236" s="166"/>
    </row>
    <row r="237" spans="1:19" ht="13.5" customHeight="1">
      <c r="A237" s="150"/>
      <c r="B237" s="150"/>
      <c r="C237" s="150"/>
      <c r="D237" s="150"/>
      <c r="E237" s="150"/>
      <c r="F237" s="150"/>
      <c r="G237" s="150"/>
      <c r="H237" s="150"/>
      <c r="I237" s="150"/>
      <c r="J237" s="150"/>
      <c r="K237" s="150"/>
      <c r="L237" s="150"/>
      <c r="M237" s="150"/>
      <c r="N237" s="150"/>
      <c r="O237" s="166"/>
      <c r="P237" s="166"/>
      <c r="Q237" s="166"/>
      <c r="R237" s="166"/>
      <c r="S237" s="166"/>
    </row>
    <row r="238" spans="1:19" ht="13.5" customHeight="1">
      <c r="A238" s="150"/>
      <c r="B238" s="150"/>
      <c r="C238" s="150"/>
      <c r="D238" s="150"/>
      <c r="E238" s="150"/>
      <c r="F238" s="150"/>
      <c r="G238" s="150"/>
      <c r="H238" s="150"/>
      <c r="I238" s="150"/>
      <c r="J238" s="150"/>
      <c r="K238" s="150"/>
      <c r="L238" s="150"/>
      <c r="M238" s="150"/>
      <c r="N238" s="150"/>
      <c r="O238" s="166"/>
      <c r="P238" s="166"/>
      <c r="Q238" s="166"/>
      <c r="R238" s="166"/>
      <c r="S238" s="166"/>
    </row>
    <row r="239" spans="1:19" ht="13.5" customHeight="1">
      <c r="A239" s="150"/>
      <c r="B239" s="150"/>
      <c r="C239" s="150"/>
      <c r="D239" s="150"/>
      <c r="E239" s="150"/>
      <c r="F239" s="150"/>
      <c r="G239" s="150"/>
      <c r="H239" s="150"/>
      <c r="I239" s="150"/>
      <c r="J239" s="150"/>
      <c r="K239" s="150"/>
      <c r="L239" s="150"/>
      <c r="M239" s="150"/>
      <c r="N239" s="150"/>
      <c r="O239" s="166"/>
      <c r="P239" s="166"/>
      <c r="Q239" s="166"/>
      <c r="R239" s="166"/>
      <c r="S239" s="166"/>
    </row>
    <row r="240" spans="1:19" ht="13.5" customHeight="1">
      <c r="A240" s="150"/>
      <c r="B240" s="150"/>
      <c r="C240" s="150"/>
      <c r="D240" s="150"/>
      <c r="E240" s="150"/>
      <c r="F240" s="150"/>
      <c r="G240" s="150"/>
      <c r="H240" s="150"/>
      <c r="I240" s="150"/>
      <c r="J240" s="150"/>
      <c r="K240" s="150"/>
      <c r="L240" s="150"/>
      <c r="M240" s="150"/>
      <c r="N240" s="150"/>
      <c r="O240" s="166"/>
      <c r="P240" s="166"/>
      <c r="Q240" s="166"/>
      <c r="R240" s="166"/>
      <c r="S240" s="166"/>
    </row>
    <row r="241" spans="1:19" ht="13.5" customHeight="1">
      <c r="A241" s="150"/>
      <c r="B241" s="150"/>
      <c r="C241" s="150"/>
      <c r="D241" s="150"/>
      <c r="E241" s="150"/>
      <c r="F241" s="150"/>
      <c r="G241" s="150"/>
      <c r="H241" s="150"/>
      <c r="I241" s="150"/>
      <c r="J241" s="150"/>
      <c r="K241" s="150"/>
      <c r="L241" s="150"/>
      <c r="M241" s="150"/>
      <c r="N241" s="150"/>
      <c r="O241" s="166"/>
      <c r="P241" s="166"/>
      <c r="Q241" s="166"/>
      <c r="R241" s="166"/>
      <c r="S241" s="166"/>
    </row>
    <row r="242" spans="1:19" ht="13.5" customHeight="1">
      <c r="A242" s="150"/>
      <c r="B242" s="150"/>
      <c r="C242" s="150"/>
      <c r="D242" s="150"/>
      <c r="E242" s="150"/>
      <c r="F242" s="150"/>
      <c r="G242" s="150"/>
      <c r="H242" s="150"/>
      <c r="I242" s="150"/>
      <c r="J242" s="150"/>
      <c r="K242" s="150"/>
      <c r="L242" s="150"/>
      <c r="M242" s="150"/>
      <c r="N242" s="150"/>
      <c r="O242" s="166"/>
      <c r="P242" s="166"/>
      <c r="Q242" s="166"/>
      <c r="R242" s="166"/>
      <c r="S242" s="166"/>
    </row>
    <row r="243" spans="1:19" ht="13.5" customHeight="1">
      <c r="A243" s="150"/>
      <c r="B243" s="150"/>
      <c r="C243" s="150"/>
      <c r="D243" s="150"/>
      <c r="E243" s="150"/>
      <c r="F243" s="150"/>
      <c r="G243" s="150"/>
      <c r="H243" s="150"/>
      <c r="I243" s="150"/>
      <c r="J243" s="150"/>
      <c r="K243" s="150"/>
      <c r="L243" s="150"/>
      <c r="M243" s="150"/>
      <c r="N243" s="150"/>
      <c r="O243" s="166"/>
      <c r="P243" s="166"/>
      <c r="Q243" s="166"/>
      <c r="R243" s="166"/>
      <c r="S243" s="166"/>
    </row>
    <row r="244" spans="1:19" ht="13.5" customHeight="1">
      <c r="A244" s="150"/>
      <c r="B244" s="150"/>
      <c r="C244" s="150"/>
      <c r="D244" s="150"/>
      <c r="E244" s="150"/>
      <c r="F244" s="150"/>
      <c r="G244" s="150"/>
      <c r="H244" s="150"/>
      <c r="I244" s="150"/>
      <c r="J244" s="150"/>
      <c r="K244" s="150"/>
      <c r="L244" s="150"/>
      <c r="M244" s="150"/>
      <c r="N244" s="150"/>
      <c r="O244" s="166"/>
      <c r="P244" s="166"/>
      <c r="Q244" s="166"/>
      <c r="R244" s="166"/>
      <c r="S244" s="166"/>
    </row>
    <row r="245" spans="1:19" ht="13.5" customHeight="1">
      <c r="A245" s="150"/>
      <c r="B245" s="150"/>
      <c r="C245" s="150"/>
      <c r="D245" s="150"/>
      <c r="E245" s="150"/>
      <c r="F245" s="150"/>
      <c r="G245" s="150"/>
      <c r="H245" s="150"/>
      <c r="I245" s="150"/>
      <c r="J245" s="150"/>
      <c r="K245" s="150"/>
      <c r="L245" s="150"/>
      <c r="M245" s="150"/>
      <c r="N245" s="150"/>
      <c r="O245" s="166"/>
      <c r="P245" s="166"/>
      <c r="Q245" s="166"/>
      <c r="R245" s="166"/>
      <c r="S245" s="166"/>
    </row>
    <row r="246" spans="1:19" ht="13.5" customHeight="1">
      <c r="A246" s="150"/>
      <c r="B246" s="150"/>
      <c r="C246" s="150"/>
      <c r="D246" s="150"/>
      <c r="E246" s="150"/>
      <c r="F246" s="150"/>
      <c r="G246" s="150"/>
      <c r="H246" s="150"/>
      <c r="I246" s="150"/>
      <c r="J246" s="150"/>
      <c r="K246" s="150"/>
      <c r="L246" s="150"/>
      <c r="M246" s="150"/>
      <c r="N246" s="150"/>
      <c r="O246" s="166"/>
      <c r="P246" s="166"/>
      <c r="Q246" s="166"/>
      <c r="R246" s="166"/>
      <c r="S246" s="166"/>
    </row>
    <row r="247" spans="1:19" ht="13.5" customHeight="1">
      <c r="A247" s="150"/>
      <c r="B247" s="150"/>
      <c r="C247" s="150"/>
      <c r="D247" s="150"/>
      <c r="E247" s="150"/>
      <c r="F247" s="150"/>
      <c r="G247" s="150"/>
      <c r="H247" s="150"/>
      <c r="I247" s="150"/>
      <c r="J247" s="150"/>
      <c r="K247" s="150"/>
      <c r="L247" s="150"/>
      <c r="M247" s="150"/>
      <c r="N247" s="150"/>
      <c r="O247" s="166"/>
      <c r="P247" s="166"/>
      <c r="Q247" s="166"/>
      <c r="R247" s="166"/>
      <c r="S247" s="166"/>
    </row>
    <row r="248" spans="1:19" ht="13.5" customHeight="1">
      <c r="A248" s="150"/>
      <c r="B248" s="150"/>
      <c r="C248" s="150"/>
      <c r="D248" s="150"/>
      <c r="E248" s="150"/>
      <c r="F248" s="150"/>
      <c r="G248" s="150"/>
      <c r="H248" s="150"/>
      <c r="I248" s="150"/>
      <c r="J248" s="150"/>
      <c r="K248" s="150"/>
      <c r="L248" s="150"/>
      <c r="M248" s="150"/>
      <c r="N248" s="150"/>
      <c r="O248" s="166"/>
      <c r="P248" s="166"/>
      <c r="Q248" s="166"/>
      <c r="R248" s="166"/>
      <c r="S248" s="166"/>
    </row>
    <row r="249" spans="1:19" ht="13.5" customHeight="1">
      <c r="A249" s="150"/>
      <c r="B249" s="150"/>
      <c r="C249" s="150"/>
      <c r="D249" s="150"/>
      <c r="E249" s="150"/>
      <c r="F249" s="150"/>
      <c r="G249" s="150"/>
      <c r="H249" s="150"/>
      <c r="I249" s="150"/>
      <c r="J249" s="150"/>
      <c r="K249" s="150"/>
      <c r="L249" s="150"/>
      <c r="M249" s="150"/>
      <c r="N249" s="150"/>
      <c r="O249" s="166"/>
      <c r="P249" s="166"/>
      <c r="Q249" s="166"/>
      <c r="R249" s="166"/>
      <c r="S249" s="166"/>
    </row>
    <row r="250" spans="1:19" ht="13.5" customHeight="1">
      <c r="A250" s="150"/>
      <c r="B250" s="150"/>
      <c r="C250" s="150"/>
      <c r="D250" s="150"/>
      <c r="E250" s="150"/>
      <c r="F250" s="150"/>
      <c r="G250" s="150"/>
      <c r="H250" s="150"/>
      <c r="I250" s="150"/>
      <c r="J250" s="150"/>
      <c r="K250" s="150"/>
      <c r="L250" s="150"/>
      <c r="M250" s="150"/>
      <c r="N250" s="150"/>
      <c r="O250" s="166"/>
      <c r="P250" s="166"/>
      <c r="Q250" s="166"/>
      <c r="R250" s="166"/>
      <c r="S250" s="166"/>
    </row>
    <row r="251" spans="1:19" ht="13.5" customHeight="1">
      <c r="A251" s="150"/>
      <c r="B251" s="150"/>
      <c r="C251" s="150"/>
      <c r="D251" s="150"/>
      <c r="E251" s="150"/>
      <c r="F251" s="150"/>
      <c r="G251" s="150"/>
      <c r="H251" s="150"/>
      <c r="I251" s="150"/>
      <c r="J251" s="150"/>
      <c r="K251" s="150"/>
      <c r="L251" s="150"/>
      <c r="M251" s="150"/>
      <c r="N251" s="150"/>
      <c r="O251" s="166"/>
      <c r="P251" s="166"/>
      <c r="Q251" s="166"/>
      <c r="R251" s="166"/>
      <c r="S251" s="166"/>
    </row>
    <row r="252" spans="1:19" ht="13.5" customHeight="1">
      <c r="A252" s="150"/>
      <c r="B252" s="150"/>
      <c r="C252" s="150"/>
      <c r="D252" s="150"/>
      <c r="E252" s="150"/>
      <c r="F252" s="150"/>
      <c r="G252" s="150"/>
      <c r="H252" s="150"/>
      <c r="I252" s="150"/>
      <c r="J252" s="150"/>
      <c r="K252" s="150"/>
      <c r="L252" s="150"/>
      <c r="M252" s="150"/>
      <c r="N252" s="150"/>
      <c r="O252" s="166"/>
      <c r="P252" s="166"/>
      <c r="Q252" s="166"/>
      <c r="R252" s="166"/>
      <c r="S252" s="166"/>
    </row>
    <row r="253" spans="1:19" ht="13.5" customHeight="1">
      <c r="A253" s="150"/>
      <c r="B253" s="150"/>
      <c r="C253" s="150"/>
      <c r="D253" s="150"/>
      <c r="E253" s="150"/>
      <c r="F253" s="150"/>
      <c r="G253" s="150"/>
      <c r="H253" s="150"/>
      <c r="I253" s="150"/>
      <c r="J253" s="150"/>
      <c r="K253" s="150"/>
      <c r="L253" s="150"/>
      <c r="M253" s="150"/>
      <c r="N253" s="150"/>
      <c r="O253" s="166"/>
      <c r="P253" s="166"/>
      <c r="Q253" s="166"/>
      <c r="R253" s="166"/>
      <c r="S253" s="166"/>
    </row>
    <row r="254" spans="1:19" ht="13.5" customHeight="1">
      <c r="A254" s="150"/>
      <c r="B254" s="150"/>
      <c r="C254" s="150"/>
      <c r="D254" s="150"/>
      <c r="E254" s="150"/>
      <c r="F254" s="150"/>
      <c r="G254" s="150"/>
      <c r="H254" s="150"/>
      <c r="I254" s="150"/>
      <c r="J254" s="150"/>
      <c r="K254" s="150"/>
      <c r="L254" s="150"/>
      <c r="M254" s="150"/>
      <c r="N254" s="150"/>
      <c r="O254" s="166"/>
      <c r="P254" s="166"/>
      <c r="Q254" s="166"/>
      <c r="R254" s="166"/>
      <c r="S254" s="166"/>
    </row>
    <row r="255" spans="1:19" ht="13.5" customHeight="1">
      <c r="A255" s="150"/>
      <c r="B255" s="150"/>
      <c r="C255" s="150"/>
      <c r="D255" s="150"/>
      <c r="E255" s="150"/>
      <c r="F255" s="150"/>
      <c r="G255" s="150"/>
      <c r="H255" s="150"/>
      <c r="I255" s="150"/>
      <c r="J255" s="150"/>
      <c r="K255" s="150"/>
      <c r="L255" s="150"/>
      <c r="M255" s="150"/>
      <c r="N255" s="150"/>
      <c r="O255" s="166"/>
      <c r="P255" s="166"/>
      <c r="Q255" s="166"/>
      <c r="R255" s="166"/>
      <c r="S255" s="166"/>
    </row>
    <row r="256" spans="1:19" ht="13.5" customHeight="1">
      <c r="A256" s="150"/>
      <c r="B256" s="150"/>
      <c r="C256" s="150"/>
      <c r="D256" s="150"/>
      <c r="E256" s="150"/>
      <c r="F256" s="150"/>
      <c r="G256" s="150"/>
      <c r="H256" s="150"/>
      <c r="I256" s="150"/>
      <c r="J256" s="150"/>
      <c r="K256" s="150"/>
      <c r="L256" s="150"/>
      <c r="M256" s="150"/>
      <c r="N256" s="150"/>
      <c r="O256" s="166"/>
      <c r="P256" s="166"/>
      <c r="Q256" s="166"/>
      <c r="R256" s="166"/>
      <c r="S256" s="166"/>
    </row>
    <row r="257" spans="1:19" ht="13.5" customHeight="1">
      <c r="A257" s="150"/>
      <c r="B257" s="150"/>
      <c r="C257" s="150"/>
      <c r="D257" s="150"/>
      <c r="E257" s="150"/>
      <c r="F257" s="150"/>
      <c r="G257" s="150"/>
      <c r="H257" s="150"/>
      <c r="I257" s="150"/>
      <c r="J257" s="150"/>
      <c r="K257" s="150"/>
      <c r="L257" s="150"/>
      <c r="M257" s="150"/>
      <c r="N257" s="150"/>
      <c r="O257" s="166"/>
      <c r="P257" s="166"/>
      <c r="Q257" s="166"/>
      <c r="R257" s="166"/>
      <c r="S257" s="166"/>
    </row>
    <row r="258" spans="1:19" ht="13.5" customHeight="1">
      <c r="A258" s="150"/>
      <c r="B258" s="150"/>
      <c r="C258" s="150"/>
      <c r="D258" s="150"/>
      <c r="E258" s="150"/>
      <c r="F258" s="150"/>
      <c r="G258" s="150"/>
      <c r="H258" s="150"/>
      <c r="I258" s="150"/>
      <c r="J258" s="150"/>
      <c r="K258" s="150"/>
      <c r="L258" s="150"/>
      <c r="M258" s="150"/>
      <c r="N258" s="150"/>
      <c r="O258" s="166"/>
      <c r="P258" s="166"/>
      <c r="Q258" s="166"/>
      <c r="R258" s="166"/>
      <c r="S258" s="166"/>
    </row>
    <row r="259" spans="1:19" ht="13.5" customHeight="1">
      <c r="A259" s="150"/>
      <c r="B259" s="150"/>
      <c r="C259" s="150"/>
      <c r="D259" s="150"/>
      <c r="E259" s="150"/>
      <c r="F259" s="150"/>
      <c r="G259" s="150"/>
      <c r="H259" s="150"/>
      <c r="I259" s="150"/>
      <c r="J259" s="150"/>
      <c r="K259" s="150"/>
      <c r="L259" s="150"/>
      <c r="M259" s="150"/>
      <c r="N259" s="150"/>
      <c r="O259" s="166"/>
      <c r="P259" s="166"/>
      <c r="Q259" s="166"/>
      <c r="R259" s="166"/>
      <c r="S259" s="166"/>
    </row>
    <row r="260" spans="1:19" ht="13.5" customHeight="1">
      <c r="A260" s="150"/>
      <c r="B260" s="150"/>
      <c r="C260" s="150"/>
      <c r="D260" s="150"/>
      <c r="E260" s="150"/>
      <c r="F260" s="150"/>
      <c r="G260" s="150"/>
      <c r="H260" s="150"/>
      <c r="I260" s="150"/>
      <c r="J260" s="150"/>
      <c r="K260" s="150"/>
      <c r="L260" s="150"/>
      <c r="M260" s="150"/>
      <c r="N260" s="150"/>
      <c r="O260" s="166"/>
      <c r="P260" s="166"/>
      <c r="Q260" s="166"/>
      <c r="R260" s="166"/>
      <c r="S260" s="166"/>
    </row>
    <row r="261" spans="1:19" ht="13.5" customHeight="1">
      <c r="A261" s="150"/>
      <c r="B261" s="150"/>
      <c r="C261" s="150"/>
      <c r="D261" s="150"/>
      <c r="E261" s="150"/>
      <c r="F261" s="150"/>
      <c r="G261" s="150"/>
      <c r="H261" s="150"/>
      <c r="I261" s="150"/>
      <c r="J261" s="150"/>
      <c r="K261" s="150"/>
      <c r="L261" s="150"/>
      <c r="M261" s="150"/>
      <c r="N261" s="150"/>
      <c r="O261" s="166"/>
      <c r="P261" s="166"/>
      <c r="Q261" s="166"/>
      <c r="R261" s="166"/>
      <c r="S261" s="166"/>
    </row>
    <row r="262" spans="1:19" ht="13.5" customHeight="1">
      <c r="A262" s="150"/>
      <c r="B262" s="150"/>
      <c r="C262" s="150"/>
      <c r="D262" s="150"/>
      <c r="E262" s="150"/>
      <c r="F262" s="150"/>
      <c r="G262" s="150"/>
      <c r="H262" s="150"/>
      <c r="I262" s="150"/>
      <c r="J262" s="150"/>
      <c r="K262" s="150"/>
      <c r="L262" s="150"/>
      <c r="M262" s="150"/>
      <c r="N262" s="150"/>
      <c r="O262" s="166"/>
      <c r="P262" s="166"/>
      <c r="Q262" s="166"/>
      <c r="R262" s="166"/>
      <c r="S262" s="166"/>
    </row>
    <row r="263" spans="1:19" ht="13.5" customHeight="1">
      <c r="A263" s="150"/>
      <c r="B263" s="150"/>
      <c r="C263" s="150"/>
      <c r="D263" s="150"/>
      <c r="E263" s="150"/>
      <c r="F263" s="150"/>
      <c r="G263" s="150"/>
      <c r="H263" s="150"/>
      <c r="I263" s="150"/>
      <c r="J263" s="150"/>
      <c r="K263" s="150"/>
      <c r="L263" s="150"/>
      <c r="M263" s="150"/>
      <c r="N263" s="150"/>
      <c r="O263" s="166"/>
      <c r="P263" s="166"/>
      <c r="Q263" s="166"/>
      <c r="R263" s="166"/>
      <c r="S263" s="166"/>
    </row>
    <row r="264" spans="1:19" ht="13.5" customHeight="1">
      <c r="A264" s="150"/>
      <c r="B264" s="150"/>
      <c r="C264" s="150"/>
      <c r="D264" s="150"/>
      <c r="E264" s="150"/>
      <c r="F264" s="150"/>
      <c r="G264" s="150"/>
      <c r="H264" s="150"/>
      <c r="I264" s="150"/>
      <c r="J264" s="150"/>
      <c r="K264" s="150"/>
      <c r="L264" s="150"/>
      <c r="M264" s="150"/>
      <c r="N264" s="150"/>
      <c r="O264" s="166"/>
      <c r="P264" s="166"/>
      <c r="Q264" s="166"/>
      <c r="R264" s="166"/>
      <c r="S264" s="166"/>
    </row>
    <row r="265" spans="1:19" ht="13.5" customHeight="1">
      <c r="A265" s="150"/>
      <c r="B265" s="150"/>
      <c r="C265" s="150"/>
      <c r="D265" s="150"/>
      <c r="E265" s="150"/>
      <c r="F265" s="150"/>
      <c r="G265" s="150"/>
      <c r="H265" s="150"/>
      <c r="I265" s="150"/>
      <c r="J265" s="150"/>
      <c r="K265" s="150"/>
      <c r="L265" s="150"/>
      <c r="M265" s="150"/>
      <c r="N265" s="150"/>
      <c r="O265" s="166"/>
      <c r="P265" s="166"/>
      <c r="Q265" s="166"/>
      <c r="R265" s="166"/>
      <c r="S265" s="166"/>
    </row>
    <row r="266" spans="1:19" ht="13.5" customHeight="1">
      <c r="A266" s="150"/>
      <c r="B266" s="150"/>
      <c r="C266" s="150"/>
      <c r="D266" s="150"/>
      <c r="E266" s="150"/>
      <c r="F266" s="150"/>
      <c r="G266" s="150"/>
      <c r="H266" s="150"/>
      <c r="I266" s="150"/>
      <c r="J266" s="150"/>
      <c r="K266" s="150"/>
      <c r="L266" s="150"/>
      <c r="M266" s="150"/>
      <c r="N266" s="150"/>
      <c r="O266" s="166"/>
      <c r="P266" s="166"/>
      <c r="Q266" s="166"/>
      <c r="R266" s="166"/>
      <c r="S266" s="166"/>
    </row>
    <row r="267" spans="1:19" ht="13.5" customHeight="1">
      <c r="A267" s="150"/>
      <c r="B267" s="150"/>
      <c r="C267" s="150"/>
      <c r="D267" s="150"/>
      <c r="E267" s="150"/>
      <c r="F267" s="150"/>
      <c r="G267" s="150"/>
      <c r="H267" s="150"/>
      <c r="I267" s="150"/>
      <c r="J267" s="150"/>
      <c r="K267" s="150"/>
      <c r="L267" s="150"/>
      <c r="M267" s="150"/>
      <c r="N267" s="150"/>
      <c r="O267" s="166"/>
      <c r="P267" s="166"/>
      <c r="Q267" s="166"/>
      <c r="R267" s="166"/>
      <c r="S267" s="166"/>
    </row>
    <row r="268" spans="1:19" ht="13.5" customHeight="1">
      <c r="A268" s="150"/>
      <c r="B268" s="150"/>
      <c r="C268" s="150"/>
      <c r="D268" s="150"/>
      <c r="E268" s="150"/>
      <c r="F268" s="150"/>
      <c r="G268" s="150"/>
      <c r="H268" s="150"/>
      <c r="I268" s="150"/>
      <c r="J268" s="150"/>
      <c r="K268" s="150"/>
      <c r="L268" s="150"/>
      <c r="M268" s="150"/>
      <c r="N268" s="150"/>
      <c r="O268" s="166"/>
      <c r="P268" s="166"/>
      <c r="Q268" s="166"/>
      <c r="R268" s="166"/>
      <c r="S268" s="166"/>
    </row>
    <row r="269" spans="1:19" ht="13.5" customHeight="1">
      <c r="A269" s="150"/>
      <c r="B269" s="150"/>
      <c r="C269" s="150"/>
      <c r="D269" s="150"/>
      <c r="E269" s="150"/>
      <c r="F269" s="150"/>
      <c r="G269" s="150"/>
      <c r="H269" s="150"/>
      <c r="I269" s="150"/>
      <c r="J269" s="150"/>
      <c r="K269" s="150"/>
      <c r="L269" s="150"/>
      <c r="M269" s="150"/>
      <c r="N269" s="150"/>
      <c r="O269" s="166"/>
      <c r="P269" s="166"/>
      <c r="Q269" s="166"/>
      <c r="R269" s="166"/>
      <c r="S269" s="166"/>
    </row>
    <row r="270" spans="1:19" ht="13.5" customHeight="1">
      <c r="A270" s="150"/>
      <c r="B270" s="150"/>
      <c r="C270" s="150"/>
      <c r="D270" s="150"/>
      <c r="E270" s="150"/>
      <c r="F270" s="150"/>
      <c r="G270" s="150"/>
      <c r="H270" s="150"/>
      <c r="I270" s="150"/>
      <c r="J270" s="150"/>
      <c r="K270" s="150"/>
      <c r="L270" s="150"/>
      <c r="M270" s="150"/>
      <c r="N270" s="150"/>
      <c r="O270" s="166"/>
      <c r="P270" s="166"/>
      <c r="Q270" s="166"/>
      <c r="R270" s="166"/>
      <c r="S270" s="166"/>
    </row>
    <row r="271" spans="1:19" ht="13.5" customHeight="1">
      <c r="A271" s="150"/>
      <c r="B271" s="150"/>
      <c r="C271" s="150"/>
      <c r="D271" s="150"/>
      <c r="E271" s="150"/>
      <c r="F271" s="150"/>
      <c r="G271" s="150"/>
      <c r="H271" s="150"/>
      <c r="I271" s="150"/>
      <c r="J271" s="150"/>
      <c r="K271" s="150"/>
      <c r="L271" s="150"/>
      <c r="M271" s="150"/>
      <c r="N271" s="150"/>
      <c r="O271" s="166"/>
      <c r="P271" s="166"/>
      <c r="Q271" s="166"/>
      <c r="R271" s="166"/>
      <c r="S271" s="166"/>
    </row>
    <row r="272" spans="1:19" ht="13.5" customHeight="1">
      <c r="A272" s="150"/>
      <c r="B272" s="150"/>
      <c r="C272" s="150"/>
      <c r="D272" s="150"/>
      <c r="E272" s="150"/>
      <c r="F272" s="150"/>
      <c r="G272" s="150"/>
      <c r="H272" s="150"/>
      <c r="I272" s="150"/>
      <c r="J272" s="150"/>
      <c r="K272" s="150"/>
      <c r="L272" s="150"/>
      <c r="M272" s="150"/>
      <c r="N272" s="150"/>
      <c r="O272" s="166"/>
      <c r="P272" s="166"/>
      <c r="Q272" s="166"/>
      <c r="R272" s="166"/>
      <c r="S272" s="166"/>
    </row>
    <row r="273" spans="1:19" ht="13.5" customHeight="1">
      <c r="A273" s="150"/>
      <c r="B273" s="150"/>
      <c r="C273" s="150"/>
      <c r="D273" s="150"/>
      <c r="E273" s="150"/>
      <c r="F273" s="150"/>
      <c r="G273" s="150"/>
      <c r="H273" s="150"/>
      <c r="I273" s="150"/>
      <c r="J273" s="150"/>
      <c r="K273" s="150"/>
      <c r="L273" s="150"/>
      <c r="M273" s="150"/>
      <c r="N273" s="150"/>
      <c r="O273" s="166"/>
      <c r="P273" s="166"/>
      <c r="Q273" s="166"/>
      <c r="R273" s="166"/>
      <c r="S273" s="166"/>
    </row>
    <row r="274" spans="1:19" ht="13.5" customHeight="1">
      <c r="A274" s="150"/>
      <c r="B274" s="150"/>
      <c r="C274" s="150"/>
      <c r="D274" s="150"/>
      <c r="E274" s="150"/>
      <c r="F274" s="150"/>
      <c r="G274" s="150"/>
      <c r="H274" s="150"/>
      <c r="I274" s="150"/>
      <c r="J274" s="150"/>
      <c r="K274" s="150"/>
      <c r="L274" s="150"/>
      <c r="M274" s="150"/>
      <c r="N274" s="150"/>
      <c r="O274" s="166"/>
      <c r="P274" s="166"/>
      <c r="Q274" s="166"/>
      <c r="R274" s="166"/>
      <c r="S274" s="166"/>
    </row>
    <row r="275" spans="1:19" ht="13.5" customHeight="1">
      <c r="A275" s="150"/>
      <c r="B275" s="150"/>
      <c r="C275" s="150"/>
      <c r="D275" s="150"/>
      <c r="E275" s="150"/>
      <c r="F275" s="150"/>
      <c r="G275" s="150"/>
      <c r="H275" s="150"/>
      <c r="I275" s="150"/>
      <c r="J275" s="150"/>
      <c r="K275" s="150"/>
      <c r="L275" s="150"/>
      <c r="M275" s="150"/>
      <c r="N275" s="150"/>
      <c r="O275" s="166"/>
      <c r="P275" s="166"/>
      <c r="Q275" s="166"/>
      <c r="R275" s="166"/>
      <c r="S275" s="166"/>
    </row>
    <row r="276" spans="1:19" ht="13.5" customHeight="1">
      <c r="A276" s="150"/>
      <c r="B276" s="150"/>
      <c r="C276" s="150"/>
      <c r="D276" s="150"/>
      <c r="E276" s="150"/>
      <c r="F276" s="150"/>
      <c r="G276" s="150"/>
      <c r="H276" s="150"/>
      <c r="I276" s="150"/>
      <c r="J276" s="150"/>
      <c r="K276" s="150"/>
      <c r="L276" s="150"/>
      <c r="M276" s="150"/>
      <c r="N276" s="150"/>
      <c r="O276" s="166"/>
      <c r="P276" s="166"/>
      <c r="Q276" s="166"/>
      <c r="R276" s="166"/>
      <c r="S276" s="166"/>
    </row>
    <row r="277" spans="1:19" ht="13.5" customHeight="1">
      <c r="A277" s="150"/>
      <c r="B277" s="150"/>
      <c r="C277" s="150"/>
      <c r="D277" s="150"/>
      <c r="E277" s="150"/>
      <c r="F277" s="150"/>
      <c r="G277" s="150"/>
      <c r="H277" s="150"/>
      <c r="I277" s="150"/>
      <c r="J277" s="150"/>
      <c r="K277" s="150"/>
      <c r="L277" s="150"/>
      <c r="M277" s="150"/>
      <c r="N277" s="150"/>
      <c r="O277" s="166"/>
      <c r="P277" s="166"/>
      <c r="Q277" s="166"/>
      <c r="R277" s="166"/>
      <c r="S277" s="166"/>
    </row>
    <row r="278" spans="1:19" ht="13.5" customHeight="1">
      <c r="A278" s="150"/>
      <c r="B278" s="150"/>
      <c r="C278" s="150"/>
      <c r="D278" s="150"/>
      <c r="E278" s="150"/>
      <c r="F278" s="150"/>
      <c r="G278" s="150"/>
      <c r="H278" s="150"/>
      <c r="I278" s="150"/>
      <c r="J278" s="150"/>
      <c r="K278" s="150"/>
      <c r="L278" s="150"/>
      <c r="M278" s="150"/>
      <c r="N278" s="150"/>
      <c r="O278" s="166"/>
      <c r="P278" s="166"/>
      <c r="Q278" s="166"/>
      <c r="R278" s="166"/>
      <c r="S278" s="166"/>
    </row>
    <row r="279" spans="1:19" ht="13.5" customHeight="1">
      <c r="A279" s="150"/>
      <c r="B279" s="150"/>
      <c r="C279" s="150"/>
      <c r="D279" s="150"/>
      <c r="E279" s="150"/>
      <c r="F279" s="150"/>
      <c r="G279" s="150"/>
      <c r="H279" s="150"/>
      <c r="I279" s="150"/>
      <c r="J279" s="150"/>
      <c r="K279" s="150"/>
      <c r="L279" s="150"/>
      <c r="M279" s="150"/>
      <c r="N279" s="150"/>
      <c r="O279" s="166"/>
      <c r="P279" s="166"/>
      <c r="Q279" s="166"/>
      <c r="R279" s="166"/>
      <c r="S279" s="166"/>
    </row>
    <row r="280" spans="1:19" ht="13.5" customHeight="1">
      <c r="A280" s="150"/>
      <c r="B280" s="150"/>
      <c r="C280" s="150"/>
      <c r="D280" s="150"/>
      <c r="E280" s="150"/>
      <c r="F280" s="150"/>
      <c r="G280" s="150"/>
      <c r="H280" s="150"/>
      <c r="I280" s="150"/>
      <c r="J280" s="150"/>
      <c r="K280" s="150"/>
      <c r="L280" s="150"/>
      <c r="M280" s="150"/>
      <c r="N280" s="150"/>
      <c r="O280" s="166"/>
      <c r="P280" s="166"/>
      <c r="Q280" s="166"/>
      <c r="R280" s="166"/>
      <c r="S280" s="166"/>
    </row>
    <row r="281" spans="1:19" ht="13.5" customHeight="1">
      <c r="A281" s="150"/>
      <c r="B281" s="150"/>
      <c r="C281" s="150"/>
      <c r="D281" s="150"/>
      <c r="E281" s="150"/>
      <c r="F281" s="150"/>
      <c r="G281" s="150"/>
      <c r="H281" s="150"/>
      <c r="I281" s="150"/>
      <c r="J281" s="150"/>
      <c r="K281" s="150"/>
      <c r="L281" s="150"/>
      <c r="M281" s="150"/>
      <c r="N281" s="150"/>
      <c r="O281" s="166"/>
      <c r="P281" s="166"/>
      <c r="Q281" s="166"/>
      <c r="R281" s="166"/>
      <c r="S281" s="166"/>
    </row>
    <row r="282" spans="1:19" ht="13.5" customHeight="1">
      <c r="A282" s="150"/>
      <c r="B282" s="150"/>
      <c r="C282" s="150"/>
      <c r="D282" s="150"/>
      <c r="E282" s="150"/>
      <c r="F282" s="150"/>
      <c r="G282" s="150"/>
      <c r="H282" s="150"/>
      <c r="I282" s="150"/>
      <c r="J282" s="150"/>
      <c r="K282" s="150"/>
      <c r="L282" s="150"/>
      <c r="M282" s="150"/>
      <c r="N282" s="150"/>
      <c r="O282" s="166"/>
      <c r="P282" s="166"/>
      <c r="Q282" s="166"/>
      <c r="R282" s="166"/>
      <c r="S282" s="166"/>
    </row>
    <row r="283" spans="1:19" ht="13.5" customHeight="1">
      <c r="A283" s="150"/>
      <c r="B283" s="150"/>
      <c r="C283" s="150"/>
      <c r="D283" s="150"/>
      <c r="E283" s="150"/>
      <c r="F283" s="150"/>
      <c r="G283" s="150"/>
      <c r="H283" s="150"/>
      <c r="I283" s="150"/>
      <c r="J283" s="150"/>
      <c r="K283" s="150"/>
      <c r="L283" s="150"/>
      <c r="M283" s="150"/>
      <c r="N283" s="150"/>
      <c r="O283" s="166"/>
      <c r="P283" s="166"/>
      <c r="Q283" s="166"/>
      <c r="R283" s="166"/>
      <c r="S283" s="166"/>
    </row>
    <row r="284" spans="1:19" ht="13.5" customHeight="1">
      <c r="A284" s="150"/>
      <c r="B284" s="150"/>
      <c r="C284" s="150"/>
      <c r="D284" s="150"/>
      <c r="E284" s="150"/>
      <c r="F284" s="150"/>
      <c r="G284" s="150"/>
      <c r="H284" s="150"/>
      <c r="I284" s="150"/>
      <c r="J284" s="150"/>
      <c r="K284" s="150"/>
      <c r="L284" s="150"/>
      <c r="M284" s="150"/>
      <c r="N284" s="150"/>
      <c r="O284" s="166"/>
      <c r="P284" s="166"/>
      <c r="Q284" s="166"/>
      <c r="R284" s="166"/>
      <c r="S284" s="166"/>
    </row>
    <row r="285" spans="1:19" ht="13.5" customHeight="1">
      <c r="A285" s="150"/>
      <c r="B285" s="150"/>
      <c r="C285" s="150"/>
      <c r="D285" s="150"/>
      <c r="E285" s="150"/>
      <c r="F285" s="150"/>
      <c r="G285" s="150"/>
      <c r="H285" s="150"/>
      <c r="I285" s="150"/>
      <c r="J285" s="150"/>
      <c r="K285" s="150"/>
      <c r="L285" s="150"/>
      <c r="M285" s="150"/>
      <c r="N285" s="150"/>
      <c r="O285" s="166"/>
      <c r="P285" s="166"/>
      <c r="Q285" s="166"/>
      <c r="R285" s="166"/>
      <c r="S285" s="166"/>
    </row>
    <row r="286" spans="1:19" ht="13.5" customHeight="1">
      <c r="A286" s="150"/>
      <c r="B286" s="150"/>
      <c r="C286" s="150"/>
      <c r="D286" s="150"/>
      <c r="E286" s="150"/>
      <c r="F286" s="150"/>
      <c r="G286" s="150"/>
      <c r="H286" s="150"/>
      <c r="I286" s="150"/>
      <c r="J286" s="150"/>
      <c r="K286" s="150"/>
      <c r="L286" s="150"/>
      <c r="M286" s="150"/>
      <c r="N286" s="150"/>
      <c r="O286" s="166"/>
      <c r="P286" s="166"/>
      <c r="Q286" s="166"/>
      <c r="R286" s="166"/>
      <c r="S286" s="166"/>
    </row>
    <row r="287" spans="1:19" ht="13.5" customHeight="1">
      <c r="A287" s="150"/>
      <c r="B287" s="150"/>
      <c r="C287" s="150"/>
      <c r="D287" s="150"/>
      <c r="E287" s="150"/>
      <c r="F287" s="150"/>
      <c r="G287" s="150"/>
      <c r="H287" s="150"/>
      <c r="I287" s="150"/>
      <c r="J287" s="150"/>
      <c r="K287" s="150"/>
      <c r="L287" s="150"/>
      <c r="M287" s="150"/>
      <c r="N287" s="150"/>
      <c r="O287" s="166"/>
      <c r="P287" s="166"/>
      <c r="Q287" s="166"/>
      <c r="R287" s="166"/>
      <c r="S287" s="166"/>
    </row>
    <row r="288" spans="1:19" ht="13.5" customHeight="1">
      <c r="A288" s="150"/>
      <c r="B288" s="150"/>
      <c r="C288" s="150"/>
      <c r="D288" s="150"/>
      <c r="E288" s="150"/>
      <c r="F288" s="150"/>
      <c r="G288" s="150"/>
      <c r="H288" s="150"/>
      <c r="I288" s="150"/>
      <c r="J288" s="150"/>
      <c r="K288" s="150"/>
      <c r="L288" s="150"/>
      <c r="M288" s="150"/>
      <c r="N288" s="150"/>
      <c r="O288" s="166"/>
      <c r="P288" s="166"/>
      <c r="Q288" s="166"/>
      <c r="R288" s="166"/>
      <c r="S288" s="166"/>
    </row>
    <row r="289" spans="1:19" ht="13.5" customHeight="1">
      <c r="A289" s="150"/>
      <c r="B289" s="150"/>
      <c r="C289" s="150"/>
      <c r="D289" s="150"/>
      <c r="E289" s="150"/>
      <c r="F289" s="150"/>
      <c r="G289" s="150"/>
      <c r="H289" s="150"/>
      <c r="I289" s="150"/>
      <c r="J289" s="150"/>
      <c r="K289" s="150"/>
      <c r="L289" s="150"/>
      <c r="M289" s="150"/>
      <c r="N289" s="150"/>
      <c r="O289" s="166"/>
      <c r="P289" s="166"/>
      <c r="Q289" s="166"/>
      <c r="R289" s="166"/>
      <c r="S289" s="166"/>
    </row>
    <row r="290" spans="1:19" ht="13.5" customHeight="1">
      <c r="A290" s="150"/>
      <c r="B290" s="150"/>
      <c r="C290" s="150"/>
      <c r="D290" s="150"/>
      <c r="E290" s="150"/>
      <c r="F290" s="150"/>
      <c r="G290" s="150"/>
      <c r="H290" s="150"/>
      <c r="I290" s="150"/>
      <c r="J290" s="150"/>
      <c r="K290" s="150"/>
      <c r="L290" s="150"/>
      <c r="M290" s="150"/>
      <c r="N290" s="150"/>
      <c r="O290" s="166"/>
      <c r="P290" s="166"/>
      <c r="Q290" s="166"/>
      <c r="R290" s="166"/>
      <c r="S290" s="166"/>
    </row>
    <row r="291" spans="1:19" ht="13.5" customHeight="1">
      <c r="A291" s="150"/>
      <c r="B291" s="150"/>
      <c r="C291" s="150"/>
      <c r="D291" s="150"/>
      <c r="E291" s="150"/>
      <c r="F291" s="150"/>
      <c r="G291" s="150"/>
      <c r="H291" s="150"/>
      <c r="I291" s="150"/>
      <c r="J291" s="150"/>
      <c r="K291" s="150"/>
      <c r="L291" s="150"/>
      <c r="M291" s="150"/>
      <c r="N291" s="150"/>
      <c r="O291" s="166"/>
      <c r="P291" s="166"/>
      <c r="Q291" s="166"/>
      <c r="R291" s="166"/>
      <c r="S291" s="166"/>
    </row>
    <row r="292" spans="1:19" ht="13.5" customHeight="1">
      <c r="A292" s="150"/>
      <c r="B292" s="150"/>
      <c r="C292" s="150"/>
      <c r="D292" s="150"/>
      <c r="E292" s="150"/>
      <c r="F292" s="150"/>
      <c r="G292" s="150"/>
      <c r="H292" s="150"/>
      <c r="I292" s="150"/>
      <c r="J292" s="150"/>
      <c r="K292" s="150"/>
      <c r="L292" s="150"/>
      <c r="M292" s="150"/>
      <c r="N292" s="150"/>
      <c r="O292" s="166"/>
      <c r="P292" s="166"/>
      <c r="Q292" s="166"/>
      <c r="R292" s="166"/>
      <c r="S292" s="166"/>
    </row>
    <row r="293" spans="1:19" ht="13.5" customHeight="1">
      <c r="A293" s="150"/>
      <c r="B293" s="150"/>
      <c r="C293" s="150"/>
      <c r="D293" s="150"/>
      <c r="E293" s="150"/>
      <c r="F293" s="150"/>
      <c r="G293" s="150"/>
      <c r="H293" s="150"/>
      <c r="I293" s="150"/>
      <c r="J293" s="150"/>
      <c r="K293" s="150"/>
      <c r="L293" s="150"/>
      <c r="M293" s="150"/>
      <c r="N293" s="150"/>
      <c r="O293" s="166"/>
      <c r="P293" s="166"/>
      <c r="Q293" s="166"/>
      <c r="R293" s="166"/>
      <c r="S293" s="166"/>
    </row>
    <row r="294" spans="1:19" ht="13.5" customHeight="1">
      <c r="A294" s="150"/>
      <c r="B294" s="150"/>
      <c r="C294" s="150"/>
      <c r="D294" s="150"/>
      <c r="E294" s="150"/>
      <c r="F294" s="150"/>
      <c r="G294" s="150"/>
      <c r="H294" s="150"/>
      <c r="I294" s="150"/>
      <c r="J294" s="150"/>
      <c r="K294" s="150"/>
      <c r="L294" s="150"/>
      <c r="M294" s="150"/>
      <c r="N294" s="150"/>
      <c r="O294" s="166"/>
      <c r="P294" s="166"/>
      <c r="Q294" s="166"/>
      <c r="R294" s="166"/>
      <c r="S294" s="166"/>
    </row>
    <row r="295" spans="1:19" ht="13.5" customHeight="1">
      <c r="A295" s="150"/>
      <c r="B295" s="150"/>
      <c r="C295" s="150"/>
      <c r="D295" s="150"/>
      <c r="E295" s="150"/>
      <c r="F295" s="150"/>
      <c r="G295" s="150"/>
      <c r="H295" s="150"/>
      <c r="I295" s="150"/>
      <c r="J295" s="150"/>
      <c r="K295" s="150"/>
      <c r="L295" s="150"/>
      <c r="M295" s="150"/>
      <c r="N295" s="150"/>
      <c r="O295" s="166"/>
      <c r="P295" s="166"/>
      <c r="Q295" s="166"/>
      <c r="R295" s="166"/>
      <c r="S295" s="166"/>
    </row>
    <row r="296" spans="1:19" ht="13.5" customHeight="1">
      <c r="A296" s="150"/>
      <c r="B296" s="150"/>
      <c r="C296" s="150"/>
      <c r="D296" s="150"/>
      <c r="E296" s="150"/>
      <c r="F296" s="150"/>
      <c r="G296" s="150"/>
      <c r="H296" s="150"/>
      <c r="I296" s="150"/>
      <c r="J296" s="150"/>
      <c r="K296" s="150"/>
      <c r="L296" s="150"/>
      <c r="M296" s="150"/>
      <c r="N296" s="150"/>
      <c r="O296" s="166"/>
      <c r="P296" s="166"/>
      <c r="Q296" s="166"/>
      <c r="R296" s="166"/>
      <c r="S296" s="166"/>
    </row>
    <row r="297" spans="1:19" ht="13.5" customHeight="1">
      <c r="A297" s="150"/>
      <c r="B297" s="150"/>
      <c r="C297" s="150"/>
      <c r="D297" s="150"/>
      <c r="E297" s="150"/>
      <c r="F297" s="150"/>
      <c r="G297" s="150"/>
      <c r="H297" s="150"/>
      <c r="I297" s="150"/>
      <c r="J297" s="150"/>
      <c r="K297" s="150"/>
      <c r="L297" s="150"/>
      <c r="M297" s="150"/>
      <c r="N297" s="150"/>
      <c r="O297" s="166"/>
      <c r="P297" s="166"/>
      <c r="Q297" s="166"/>
      <c r="R297" s="166"/>
      <c r="S297" s="166"/>
    </row>
    <row r="298" spans="1:19" ht="13.5" customHeight="1">
      <c r="A298" s="150"/>
      <c r="B298" s="150"/>
      <c r="C298" s="150"/>
      <c r="D298" s="150"/>
      <c r="E298" s="150"/>
      <c r="F298" s="150"/>
      <c r="G298" s="150"/>
      <c r="H298" s="150"/>
      <c r="I298" s="150"/>
      <c r="J298" s="150"/>
      <c r="K298" s="150"/>
      <c r="L298" s="150"/>
      <c r="M298" s="150"/>
      <c r="N298" s="150"/>
      <c r="O298" s="166"/>
      <c r="P298" s="166"/>
      <c r="Q298" s="166"/>
      <c r="R298" s="166"/>
      <c r="S298" s="166"/>
    </row>
    <row r="299" spans="1:19" ht="13.5" customHeight="1">
      <c r="A299" s="150"/>
      <c r="B299" s="150"/>
      <c r="C299" s="150"/>
      <c r="D299" s="150"/>
      <c r="E299" s="150"/>
      <c r="F299" s="150"/>
      <c r="G299" s="150"/>
      <c r="H299" s="150"/>
      <c r="I299" s="150"/>
      <c r="J299" s="150"/>
      <c r="K299" s="150"/>
      <c r="L299" s="150"/>
      <c r="M299" s="150"/>
      <c r="N299" s="150"/>
      <c r="O299" s="166"/>
      <c r="P299" s="166"/>
      <c r="Q299" s="166"/>
      <c r="R299" s="166"/>
      <c r="S299" s="166"/>
    </row>
    <row r="300" spans="1:19" ht="13.5" customHeight="1">
      <c r="A300" s="150"/>
      <c r="B300" s="150"/>
      <c r="C300" s="150"/>
      <c r="D300" s="150"/>
      <c r="E300" s="150"/>
      <c r="F300" s="150"/>
      <c r="G300" s="150"/>
      <c r="H300" s="150"/>
      <c r="I300" s="150"/>
      <c r="J300" s="150"/>
      <c r="K300" s="150"/>
      <c r="L300" s="150"/>
      <c r="M300" s="150"/>
      <c r="N300" s="150"/>
      <c r="O300" s="166"/>
      <c r="P300" s="166"/>
      <c r="Q300" s="166"/>
      <c r="R300" s="166"/>
      <c r="S300" s="166"/>
    </row>
    <row r="301" spans="1:19" ht="13.5" customHeight="1">
      <c r="A301" s="150"/>
      <c r="B301" s="150"/>
      <c r="C301" s="150"/>
      <c r="D301" s="150"/>
      <c r="E301" s="150"/>
      <c r="F301" s="150"/>
      <c r="G301" s="150"/>
      <c r="H301" s="150"/>
      <c r="I301" s="150"/>
      <c r="J301" s="150"/>
      <c r="K301" s="150"/>
      <c r="L301" s="150"/>
      <c r="M301" s="150"/>
      <c r="N301" s="150"/>
      <c r="O301" s="166"/>
      <c r="P301" s="166"/>
      <c r="Q301" s="166"/>
      <c r="R301" s="166"/>
      <c r="S301" s="166"/>
    </row>
    <row r="302" spans="1:19" ht="13.5" customHeight="1">
      <c r="A302" s="150"/>
      <c r="B302" s="150"/>
      <c r="C302" s="150"/>
      <c r="D302" s="150"/>
      <c r="E302" s="150"/>
      <c r="F302" s="150"/>
      <c r="G302" s="150"/>
      <c r="H302" s="150"/>
      <c r="I302" s="150"/>
      <c r="J302" s="150"/>
      <c r="K302" s="150"/>
      <c r="L302" s="150"/>
      <c r="M302" s="150"/>
      <c r="N302" s="150"/>
      <c r="O302" s="166"/>
      <c r="P302" s="166"/>
      <c r="Q302" s="166"/>
      <c r="R302" s="166"/>
      <c r="S302" s="166"/>
    </row>
    <row r="303" spans="1:19" ht="13.5" customHeight="1">
      <c r="A303" s="150"/>
      <c r="B303" s="150"/>
      <c r="C303" s="150"/>
      <c r="D303" s="150"/>
      <c r="E303" s="150"/>
      <c r="F303" s="150"/>
      <c r="G303" s="150"/>
      <c r="H303" s="150"/>
      <c r="I303" s="150"/>
      <c r="J303" s="150"/>
      <c r="K303" s="150"/>
      <c r="L303" s="150"/>
      <c r="M303" s="150"/>
      <c r="N303" s="150"/>
      <c r="O303" s="166"/>
      <c r="P303" s="166"/>
      <c r="Q303" s="166"/>
      <c r="R303" s="166"/>
      <c r="S303" s="166"/>
    </row>
    <row r="304" spans="1:19" ht="13.5" customHeight="1">
      <c r="A304" s="150"/>
      <c r="B304" s="150"/>
      <c r="C304" s="150"/>
      <c r="D304" s="150"/>
      <c r="E304" s="150"/>
      <c r="F304" s="150"/>
      <c r="G304" s="150"/>
      <c r="H304" s="150"/>
      <c r="I304" s="150"/>
      <c r="J304" s="150"/>
      <c r="K304" s="150"/>
      <c r="L304" s="150"/>
      <c r="M304" s="150"/>
      <c r="N304" s="150"/>
      <c r="O304" s="166"/>
      <c r="P304" s="166"/>
      <c r="Q304" s="166"/>
      <c r="R304" s="166"/>
      <c r="S304" s="166"/>
    </row>
    <row r="305" spans="1:19" ht="13.5" customHeight="1">
      <c r="A305" s="150"/>
      <c r="B305" s="150"/>
      <c r="C305" s="150"/>
      <c r="D305" s="150"/>
      <c r="E305" s="150"/>
      <c r="F305" s="150"/>
      <c r="G305" s="150"/>
      <c r="H305" s="150"/>
      <c r="I305" s="150"/>
      <c r="J305" s="150"/>
      <c r="K305" s="150"/>
      <c r="L305" s="150"/>
      <c r="M305" s="150"/>
      <c r="N305" s="150"/>
      <c r="O305" s="166"/>
      <c r="P305" s="166"/>
      <c r="Q305" s="166"/>
      <c r="R305" s="166"/>
      <c r="S305" s="166"/>
    </row>
    <row r="306" spans="1:19" ht="13.5" customHeight="1">
      <c r="A306" s="150"/>
      <c r="B306" s="150"/>
      <c r="C306" s="150"/>
      <c r="D306" s="150"/>
      <c r="E306" s="150"/>
      <c r="F306" s="150"/>
      <c r="G306" s="150"/>
      <c r="H306" s="150"/>
      <c r="I306" s="150"/>
      <c r="J306" s="150"/>
      <c r="K306" s="150"/>
      <c r="L306" s="150"/>
      <c r="M306" s="150"/>
      <c r="N306" s="150"/>
      <c r="O306" s="166"/>
      <c r="P306" s="166"/>
      <c r="Q306" s="166"/>
      <c r="R306" s="166"/>
      <c r="S306" s="166"/>
    </row>
    <row r="307" spans="1:19" ht="13.5" customHeight="1">
      <c r="A307" s="150"/>
      <c r="B307" s="150"/>
      <c r="C307" s="150"/>
      <c r="D307" s="150"/>
      <c r="E307" s="150"/>
      <c r="F307" s="150"/>
      <c r="G307" s="150"/>
      <c r="H307" s="150"/>
      <c r="I307" s="150"/>
      <c r="J307" s="150"/>
      <c r="K307" s="150"/>
      <c r="L307" s="150"/>
      <c r="M307" s="150"/>
      <c r="N307" s="150"/>
      <c r="O307" s="166"/>
      <c r="P307" s="166"/>
      <c r="Q307" s="166"/>
      <c r="R307" s="166"/>
      <c r="S307" s="166"/>
    </row>
    <row r="308" spans="1:19" ht="13.5" customHeight="1">
      <c r="A308" s="150"/>
      <c r="B308" s="150"/>
      <c r="C308" s="150"/>
      <c r="D308" s="150"/>
      <c r="E308" s="150"/>
      <c r="F308" s="150"/>
      <c r="G308" s="150"/>
      <c r="H308" s="150"/>
      <c r="I308" s="150"/>
      <c r="J308" s="150"/>
      <c r="K308" s="150"/>
      <c r="L308" s="150"/>
      <c r="M308" s="150"/>
      <c r="N308" s="150"/>
      <c r="O308" s="166"/>
      <c r="P308" s="166"/>
      <c r="Q308" s="166"/>
      <c r="R308" s="166"/>
      <c r="S308" s="166"/>
    </row>
    <row r="309" spans="1:19" ht="13.5" customHeight="1">
      <c r="A309" s="150"/>
      <c r="B309" s="150"/>
      <c r="C309" s="150"/>
      <c r="D309" s="150"/>
      <c r="E309" s="150"/>
      <c r="F309" s="150"/>
      <c r="G309" s="150"/>
      <c r="H309" s="150"/>
      <c r="I309" s="150"/>
      <c r="J309" s="150"/>
      <c r="K309" s="150"/>
      <c r="L309" s="150"/>
      <c r="M309" s="150"/>
      <c r="N309" s="150"/>
      <c r="O309" s="166"/>
      <c r="P309" s="166"/>
      <c r="Q309" s="166"/>
      <c r="R309" s="166"/>
      <c r="S309" s="166"/>
    </row>
    <row r="310" spans="1:19" ht="13.5" customHeight="1">
      <c r="A310" s="150"/>
      <c r="B310" s="150"/>
      <c r="C310" s="150"/>
      <c r="D310" s="150"/>
      <c r="E310" s="150"/>
      <c r="F310" s="150"/>
      <c r="G310" s="150"/>
      <c r="H310" s="150"/>
      <c r="I310" s="150"/>
      <c r="J310" s="150"/>
      <c r="K310" s="150"/>
      <c r="L310" s="150"/>
      <c r="M310" s="150"/>
      <c r="N310" s="150"/>
      <c r="O310" s="166"/>
      <c r="P310" s="166"/>
      <c r="Q310" s="166"/>
      <c r="R310" s="166"/>
      <c r="S310" s="166"/>
    </row>
    <row r="311" spans="1:19" ht="13.5" customHeight="1">
      <c r="A311" s="150"/>
      <c r="B311" s="150"/>
      <c r="C311" s="150"/>
      <c r="D311" s="150"/>
      <c r="E311" s="150"/>
      <c r="F311" s="150"/>
      <c r="G311" s="150"/>
      <c r="H311" s="150"/>
      <c r="I311" s="150"/>
      <c r="J311" s="150"/>
      <c r="K311" s="150"/>
      <c r="L311" s="150"/>
      <c r="M311" s="150"/>
      <c r="N311" s="150"/>
      <c r="O311" s="166"/>
      <c r="P311" s="166"/>
      <c r="Q311" s="166"/>
      <c r="R311" s="166"/>
      <c r="S311" s="166"/>
    </row>
    <row r="312" spans="1:19" ht="13.5" customHeight="1">
      <c r="A312" s="150"/>
      <c r="B312" s="150"/>
      <c r="C312" s="150"/>
      <c r="D312" s="150"/>
      <c r="E312" s="150"/>
      <c r="F312" s="150"/>
      <c r="G312" s="150"/>
      <c r="H312" s="150"/>
      <c r="I312" s="150"/>
      <c r="J312" s="150"/>
      <c r="K312" s="150"/>
      <c r="L312" s="150"/>
      <c r="M312" s="150"/>
      <c r="N312" s="150"/>
      <c r="O312" s="166"/>
      <c r="P312" s="166"/>
      <c r="Q312" s="166"/>
      <c r="R312" s="166"/>
      <c r="S312" s="166"/>
    </row>
    <row r="313" spans="1:19" ht="13.5" customHeight="1">
      <c r="A313" s="150"/>
      <c r="B313" s="150"/>
      <c r="C313" s="150"/>
      <c r="D313" s="150"/>
      <c r="E313" s="150"/>
      <c r="F313" s="150"/>
      <c r="G313" s="150"/>
      <c r="H313" s="150"/>
      <c r="I313" s="150"/>
      <c r="J313" s="150"/>
      <c r="K313" s="150"/>
      <c r="L313" s="150"/>
      <c r="M313" s="150"/>
      <c r="N313" s="150"/>
      <c r="O313" s="166"/>
      <c r="P313" s="166"/>
      <c r="Q313" s="166"/>
      <c r="R313" s="166"/>
      <c r="S313" s="166"/>
    </row>
    <row r="314" spans="1:19" ht="13.5" customHeight="1">
      <c r="A314" s="150"/>
      <c r="B314" s="150"/>
      <c r="C314" s="150"/>
      <c r="D314" s="150"/>
      <c r="E314" s="150"/>
      <c r="F314" s="150"/>
      <c r="G314" s="150"/>
      <c r="H314" s="150"/>
      <c r="I314" s="150"/>
      <c r="J314" s="150"/>
      <c r="K314" s="150"/>
      <c r="L314" s="150"/>
      <c r="M314" s="150"/>
      <c r="N314" s="150"/>
      <c r="O314" s="166"/>
      <c r="P314" s="166"/>
      <c r="Q314" s="166"/>
      <c r="R314" s="166"/>
      <c r="S314" s="166"/>
    </row>
    <row r="315" spans="1:19" ht="13.5" customHeight="1">
      <c r="A315" s="150"/>
      <c r="B315" s="150"/>
      <c r="C315" s="150"/>
      <c r="D315" s="150"/>
      <c r="E315" s="150"/>
      <c r="F315" s="150"/>
      <c r="G315" s="150"/>
      <c r="H315" s="150"/>
      <c r="I315" s="150"/>
      <c r="J315" s="150"/>
      <c r="K315" s="150"/>
      <c r="L315" s="150"/>
      <c r="M315" s="150"/>
      <c r="N315" s="150"/>
      <c r="O315" s="166"/>
      <c r="P315" s="166"/>
      <c r="Q315" s="166"/>
      <c r="R315" s="166"/>
      <c r="S315" s="166"/>
    </row>
    <row r="316" spans="1:19" ht="13.5" customHeight="1">
      <c r="A316" s="150"/>
      <c r="B316" s="150"/>
      <c r="C316" s="150"/>
      <c r="D316" s="150"/>
      <c r="E316" s="150"/>
      <c r="F316" s="150"/>
      <c r="G316" s="150"/>
      <c r="H316" s="150"/>
      <c r="I316" s="150"/>
      <c r="J316" s="150"/>
      <c r="K316" s="150"/>
      <c r="L316" s="150"/>
      <c r="M316" s="150"/>
      <c r="N316" s="150"/>
      <c r="O316" s="166"/>
      <c r="P316" s="166"/>
      <c r="Q316" s="166"/>
      <c r="R316" s="166"/>
      <c r="S316" s="166"/>
    </row>
    <row r="317" spans="1:19" ht="13.5" customHeight="1">
      <c r="A317" s="150"/>
      <c r="B317" s="150"/>
      <c r="C317" s="150"/>
      <c r="D317" s="150"/>
      <c r="E317" s="150"/>
      <c r="F317" s="150"/>
      <c r="G317" s="150"/>
      <c r="H317" s="150"/>
      <c r="I317" s="150"/>
      <c r="J317" s="150"/>
      <c r="K317" s="150"/>
      <c r="L317" s="150"/>
      <c r="M317" s="150"/>
      <c r="N317" s="150"/>
      <c r="O317" s="166"/>
      <c r="P317" s="166"/>
      <c r="Q317" s="166"/>
      <c r="R317" s="166"/>
      <c r="S317" s="166"/>
    </row>
    <row r="318" spans="1:19" ht="13.5" customHeight="1">
      <c r="A318" s="150"/>
      <c r="B318" s="150"/>
      <c r="C318" s="150"/>
      <c r="D318" s="150"/>
      <c r="E318" s="150"/>
      <c r="F318" s="150"/>
      <c r="G318" s="150"/>
      <c r="H318" s="150"/>
      <c r="I318" s="150"/>
      <c r="J318" s="150"/>
      <c r="K318" s="150"/>
      <c r="L318" s="150"/>
      <c r="M318" s="150"/>
      <c r="N318" s="150"/>
      <c r="O318" s="166"/>
      <c r="P318" s="166"/>
      <c r="Q318" s="166"/>
      <c r="R318" s="166"/>
      <c r="S318" s="166"/>
    </row>
    <row r="319" spans="1:19" ht="13.5" customHeight="1">
      <c r="A319" s="150"/>
      <c r="B319" s="150"/>
      <c r="C319" s="150"/>
      <c r="D319" s="150"/>
      <c r="E319" s="150"/>
      <c r="F319" s="150"/>
      <c r="G319" s="150"/>
      <c r="H319" s="150"/>
      <c r="I319" s="150"/>
      <c r="J319" s="150"/>
      <c r="K319" s="150"/>
      <c r="L319" s="150"/>
      <c r="M319" s="150"/>
      <c r="N319" s="150"/>
      <c r="O319" s="166"/>
      <c r="P319" s="166"/>
      <c r="Q319" s="166"/>
      <c r="R319" s="166"/>
      <c r="S319" s="166"/>
    </row>
    <row r="320" spans="1:19" ht="13.5" customHeight="1">
      <c r="A320" s="150"/>
      <c r="B320" s="150"/>
      <c r="C320" s="150"/>
      <c r="D320" s="150"/>
      <c r="E320" s="150"/>
      <c r="F320" s="150"/>
      <c r="G320" s="150"/>
      <c r="H320" s="150"/>
      <c r="I320" s="150"/>
      <c r="J320" s="150"/>
      <c r="K320" s="150"/>
      <c r="L320" s="150"/>
      <c r="M320" s="150"/>
      <c r="N320" s="150"/>
      <c r="O320" s="166"/>
      <c r="P320" s="166"/>
      <c r="Q320" s="166"/>
      <c r="R320" s="166"/>
      <c r="S320" s="166"/>
    </row>
    <row r="321" spans="1:19" ht="13.5" customHeight="1">
      <c r="A321" s="150"/>
      <c r="B321" s="150"/>
      <c r="C321" s="150"/>
      <c r="D321" s="150"/>
      <c r="E321" s="150"/>
      <c r="F321" s="150"/>
      <c r="G321" s="150"/>
      <c r="H321" s="150"/>
      <c r="I321" s="150"/>
      <c r="J321" s="150"/>
      <c r="K321" s="150"/>
      <c r="L321" s="150"/>
      <c r="M321" s="150"/>
      <c r="N321" s="150"/>
      <c r="O321" s="166"/>
      <c r="P321" s="166"/>
      <c r="Q321" s="166"/>
      <c r="R321" s="166"/>
      <c r="S321" s="166"/>
    </row>
    <row r="322" spans="1:19" ht="13.5" customHeight="1">
      <c r="A322" s="150"/>
      <c r="B322" s="150"/>
      <c r="C322" s="150"/>
      <c r="D322" s="150"/>
      <c r="E322" s="150"/>
      <c r="F322" s="150"/>
      <c r="G322" s="150"/>
      <c r="H322" s="150"/>
      <c r="I322" s="150"/>
      <c r="J322" s="150"/>
      <c r="K322" s="150"/>
      <c r="L322" s="150"/>
      <c r="M322" s="150"/>
      <c r="N322" s="150"/>
      <c r="O322" s="166"/>
      <c r="P322" s="166"/>
      <c r="Q322" s="166"/>
      <c r="R322" s="166"/>
      <c r="S322" s="166"/>
    </row>
    <row r="323" spans="1:19" ht="13.5" customHeight="1">
      <c r="A323" s="150"/>
      <c r="B323" s="150"/>
      <c r="C323" s="150"/>
      <c r="D323" s="150"/>
      <c r="E323" s="150"/>
      <c r="F323" s="150"/>
      <c r="G323" s="150"/>
      <c r="H323" s="150"/>
      <c r="I323" s="150"/>
      <c r="J323" s="150"/>
      <c r="K323" s="150"/>
      <c r="L323" s="150"/>
      <c r="M323" s="150"/>
      <c r="N323" s="150"/>
      <c r="O323" s="166"/>
      <c r="P323" s="166"/>
      <c r="Q323" s="166"/>
      <c r="R323" s="166"/>
      <c r="S323" s="166"/>
    </row>
    <row r="324" spans="1:19" ht="13.5" customHeight="1">
      <c r="A324" s="150"/>
      <c r="B324" s="150"/>
      <c r="C324" s="150"/>
      <c r="D324" s="150"/>
      <c r="E324" s="150"/>
      <c r="F324" s="150"/>
      <c r="G324" s="150"/>
      <c r="H324" s="150"/>
      <c r="I324" s="150"/>
      <c r="J324" s="150"/>
      <c r="K324" s="150"/>
      <c r="L324" s="150"/>
      <c r="M324" s="150"/>
      <c r="N324" s="150"/>
      <c r="O324" s="166"/>
      <c r="P324" s="166"/>
      <c r="Q324" s="166"/>
      <c r="R324" s="166"/>
      <c r="S324" s="166"/>
    </row>
    <row r="325" spans="1:19" ht="13.5" customHeight="1">
      <c r="A325" s="150"/>
      <c r="B325" s="150"/>
      <c r="C325" s="150"/>
      <c r="D325" s="150"/>
      <c r="E325" s="150"/>
      <c r="F325" s="150"/>
      <c r="G325" s="150"/>
      <c r="H325" s="150"/>
      <c r="I325" s="150"/>
      <c r="J325" s="150"/>
      <c r="K325" s="150"/>
      <c r="L325" s="150"/>
      <c r="M325" s="150"/>
      <c r="N325" s="150"/>
      <c r="O325" s="166"/>
      <c r="P325" s="166"/>
      <c r="Q325" s="166"/>
      <c r="R325" s="166"/>
      <c r="S325" s="166"/>
    </row>
    <row r="326" spans="1:19" ht="13.5" customHeight="1">
      <c r="A326" s="150"/>
      <c r="B326" s="150"/>
      <c r="C326" s="150"/>
      <c r="D326" s="150"/>
      <c r="E326" s="150"/>
      <c r="F326" s="150"/>
      <c r="G326" s="150"/>
      <c r="H326" s="150"/>
      <c r="I326" s="150"/>
      <c r="J326" s="150"/>
      <c r="K326" s="150"/>
      <c r="L326" s="150"/>
      <c r="M326" s="150"/>
      <c r="N326" s="150"/>
      <c r="O326" s="166"/>
      <c r="P326" s="166"/>
      <c r="Q326" s="166"/>
      <c r="R326" s="166"/>
      <c r="S326" s="166"/>
    </row>
    <row r="327" spans="1:19" ht="13.5" customHeight="1">
      <c r="A327" s="150"/>
      <c r="B327" s="150"/>
      <c r="C327" s="150"/>
      <c r="D327" s="150"/>
      <c r="E327" s="150"/>
      <c r="F327" s="150"/>
      <c r="G327" s="150"/>
      <c r="H327" s="150"/>
      <c r="I327" s="150"/>
      <c r="J327" s="150"/>
      <c r="K327" s="150"/>
      <c r="L327" s="150"/>
      <c r="M327" s="150"/>
      <c r="N327" s="150"/>
      <c r="O327" s="166"/>
      <c r="P327" s="166"/>
      <c r="Q327" s="166"/>
      <c r="R327" s="166"/>
      <c r="S327" s="166"/>
    </row>
    <row r="328" spans="1:19" ht="13.5" customHeight="1">
      <c r="A328" s="150"/>
      <c r="B328" s="150"/>
      <c r="C328" s="150"/>
      <c r="D328" s="150"/>
      <c r="E328" s="150"/>
      <c r="F328" s="150"/>
      <c r="G328" s="150"/>
      <c r="H328" s="150"/>
      <c r="I328" s="150"/>
      <c r="J328" s="150"/>
      <c r="K328" s="150"/>
      <c r="L328" s="150"/>
      <c r="M328" s="150"/>
      <c r="N328" s="150"/>
      <c r="O328" s="166"/>
      <c r="P328" s="166"/>
      <c r="Q328" s="166"/>
      <c r="R328" s="166"/>
      <c r="S328" s="166"/>
    </row>
    <row r="329" spans="1:19" ht="13.5" customHeight="1">
      <c r="A329" s="150"/>
      <c r="B329" s="150"/>
      <c r="C329" s="150"/>
      <c r="D329" s="150"/>
      <c r="E329" s="150"/>
      <c r="F329" s="150"/>
      <c r="G329" s="150"/>
      <c r="H329" s="150"/>
      <c r="I329" s="150"/>
      <c r="J329" s="150"/>
      <c r="K329" s="150"/>
      <c r="L329" s="150"/>
      <c r="M329" s="150"/>
      <c r="N329" s="150"/>
      <c r="O329" s="166"/>
      <c r="P329" s="166"/>
      <c r="Q329" s="166"/>
      <c r="R329" s="166"/>
      <c r="S329" s="166"/>
    </row>
    <row r="330" spans="1:19" ht="13.5" customHeight="1">
      <c r="A330" s="150"/>
      <c r="B330" s="150"/>
      <c r="C330" s="150"/>
      <c r="D330" s="150"/>
      <c r="E330" s="150"/>
      <c r="F330" s="150"/>
      <c r="G330" s="150"/>
      <c r="H330" s="150"/>
      <c r="I330" s="150"/>
      <c r="J330" s="150"/>
      <c r="K330" s="150"/>
      <c r="L330" s="150"/>
      <c r="M330" s="150"/>
      <c r="N330" s="150"/>
      <c r="O330" s="166"/>
      <c r="P330" s="166"/>
      <c r="Q330" s="166"/>
      <c r="R330" s="166"/>
      <c r="S330" s="166"/>
    </row>
    <row r="331" spans="1:19" ht="13.5" customHeight="1">
      <c r="A331" s="150"/>
      <c r="B331" s="150"/>
      <c r="C331" s="150"/>
      <c r="D331" s="150"/>
      <c r="E331" s="150"/>
      <c r="F331" s="150"/>
      <c r="G331" s="150"/>
      <c r="H331" s="150"/>
      <c r="I331" s="150"/>
      <c r="J331" s="150"/>
      <c r="K331" s="150"/>
      <c r="L331" s="150"/>
      <c r="M331" s="150"/>
      <c r="N331" s="150"/>
      <c r="O331" s="166"/>
      <c r="P331" s="166"/>
      <c r="Q331" s="166"/>
      <c r="R331" s="166"/>
      <c r="S331" s="166"/>
    </row>
    <row r="332" spans="1:19" ht="13.5" customHeight="1">
      <c r="A332" s="150"/>
      <c r="B332" s="150"/>
      <c r="C332" s="150"/>
      <c r="D332" s="150"/>
      <c r="E332" s="150"/>
      <c r="F332" s="150"/>
      <c r="G332" s="150"/>
      <c r="H332" s="150"/>
      <c r="I332" s="150"/>
      <c r="J332" s="150"/>
      <c r="K332" s="150"/>
      <c r="L332" s="150"/>
      <c r="M332" s="150"/>
      <c r="N332" s="150"/>
      <c r="O332" s="166"/>
      <c r="P332" s="166"/>
      <c r="Q332" s="166"/>
      <c r="R332" s="166"/>
      <c r="S332" s="166"/>
    </row>
  </sheetData>
  <sheetProtection/>
  <mergeCells count="1">
    <mergeCell ref="A3:O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74" r:id="rId1"/>
  <headerFooter alignWithMargins="0">
    <oddHeader>&amp;L16. melléklet a 2015. évi 3/2015.(II.25.) Önkormányzati költségvetési rendelethez&amp;R2015.02.25</oddHeader>
    <oddFooter>&amp;R&amp;F</oddFooter>
  </headerFooter>
  <rowBreaks count="1" manualBreakCount="1">
    <brk id="29" max="255" man="1"/>
  </rowBreaks>
  <colBreaks count="1" manualBreakCount="1">
    <brk id="15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B1:X35"/>
  <sheetViews>
    <sheetView view="pageLayout" workbookViewId="0" topLeftCell="C1">
      <selection activeCell="L38" sqref="L38"/>
    </sheetView>
  </sheetViews>
  <sheetFormatPr defaultColWidth="9.140625" defaultRowHeight="12.75"/>
  <cols>
    <col min="1" max="1" width="3.7109375" style="0" customWidth="1"/>
    <col min="2" max="2" width="4.8515625" style="0" bestFit="1" customWidth="1"/>
    <col min="3" max="3" width="44.57421875" style="0" customWidth="1"/>
  </cols>
  <sheetData>
    <row r="1" spans="15:16" ht="12.75">
      <c r="O1" s="1039"/>
      <c r="P1" s="1039"/>
    </row>
    <row r="2" spans="2:16" ht="15.75">
      <c r="B2" s="1040" t="s">
        <v>219</v>
      </c>
      <c r="C2" s="1041"/>
      <c r="D2" s="1041"/>
      <c r="E2" s="1041"/>
      <c r="F2" s="1041"/>
      <c r="G2" s="1041"/>
      <c r="H2" s="1041"/>
      <c r="I2" s="1041"/>
      <c r="J2" s="1041"/>
      <c r="K2" s="1041"/>
      <c r="L2" s="1041"/>
      <c r="M2" s="1041"/>
      <c r="N2" s="1041"/>
      <c r="O2" s="1041"/>
      <c r="P2" s="1041"/>
    </row>
    <row r="3" spans="2:16" ht="15.75">
      <c r="B3" s="1040" t="s">
        <v>601</v>
      </c>
      <c r="C3" s="1040"/>
      <c r="D3" s="1040"/>
      <c r="E3" s="1040"/>
      <c r="F3" s="1040"/>
      <c r="G3" s="1040"/>
      <c r="H3" s="1040"/>
      <c r="I3" s="1040"/>
      <c r="J3" s="1040"/>
      <c r="K3" s="1040"/>
      <c r="L3" s="1040"/>
      <c r="M3" s="1040"/>
      <c r="N3" s="1040"/>
      <c r="O3" s="1040"/>
      <c r="P3" s="1040"/>
    </row>
    <row r="4" spans="2:16" ht="15.75"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</row>
    <row r="5" spans="2:16" ht="15.75">
      <c r="B5" s="1042" t="s">
        <v>269</v>
      </c>
      <c r="C5" s="1043"/>
      <c r="D5" s="1043"/>
      <c r="E5" s="1043"/>
      <c r="F5" s="1043"/>
      <c r="G5" s="1043"/>
      <c r="H5" s="1043"/>
      <c r="I5" s="1043"/>
      <c r="J5" s="1043"/>
      <c r="K5" s="1043"/>
      <c r="L5" s="1043"/>
      <c r="M5" s="1043"/>
      <c r="N5" s="1043"/>
      <c r="O5" s="1043"/>
      <c r="P5" s="1043"/>
    </row>
    <row r="6" spans="2:16" ht="15.75">
      <c r="B6" s="214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117" t="s">
        <v>220</v>
      </c>
    </row>
    <row r="7" spans="2:16" s="93" customFormat="1" ht="16.5" thickBot="1">
      <c r="B7" s="219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</row>
    <row r="8" spans="2:16" ht="24.75" thickBot="1">
      <c r="B8" s="118" t="s">
        <v>221</v>
      </c>
      <c r="C8" s="119" t="s">
        <v>60</v>
      </c>
      <c r="D8" s="119" t="s">
        <v>222</v>
      </c>
      <c r="E8" s="119" t="s">
        <v>223</v>
      </c>
      <c r="F8" s="119" t="s">
        <v>224</v>
      </c>
      <c r="G8" s="119" t="s">
        <v>225</v>
      </c>
      <c r="H8" s="119" t="s">
        <v>226</v>
      </c>
      <c r="I8" s="119" t="s">
        <v>227</v>
      </c>
      <c r="J8" s="119" t="s">
        <v>228</v>
      </c>
      <c r="K8" s="119" t="s">
        <v>229</v>
      </c>
      <c r="L8" s="119" t="s">
        <v>230</v>
      </c>
      <c r="M8" s="119" t="s">
        <v>231</v>
      </c>
      <c r="N8" s="119" t="s">
        <v>232</v>
      </c>
      <c r="O8" s="119" t="s">
        <v>233</v>
      </c>
      <c r="P8" s="120" t="s">
        <v>234</v>
      </c>
    </row>
    <row r="9" spans="2:16" ht="13.5" thickBot="1">
      <c r="B9" s="121" t="s">
        <v>20</v>
      </c>
      <c r="C9" s="1035" t="s">
        <v>92</v>
      </c>
      <c r="D9" s="1036"/>
      <c r="E9" s="1036"/>
      <c r="F9" s="1036"/>
      <c r="G9" s="1036"/>
      <c r="H9" s="1036"/>
      <c r="I9" s="1036"/>
      <c r="J9" s="1036"/>
      <c r="K9" s="1036"/>
      <c r="L9" s="1036"/>
      <c r="M9" s="1036"/>
      <c r="N9" s="1036"/>
      <c r="O9" s="1036"/>
      <c r="P9" s="1037"/>
    </row>
    <row r="10" spans="2:19" ht="12.75">
      <c r="B10" s="124" t="s">
        <v>21</v>
      </c>
      <c r="C10" s="125" t="s">
        <v>235</v>
      </c>
      <c r="D10" s="126">
        <v>50</v>
      </c>
      <c r="E10" s="126">
        <f>D10</f>
        <v>50</v>
      </c>
      <c r="F10" s="126">
        <f aca="true" t="shared" si="0" ref="F10:O10">E10</f>
        <v>50</v>
      </c>
      <c r="G10" s="126">
        <f t="shared" si="0"/>
        <v>50</v>
      </c>
      <c r="H10" s="126">
        <f t="shared" si="0"/>
        <v>50</v>
      </c>
      <c r="I10" s="126">
        <f t="shared" si="0"/>
        <v>50</v>
      </c>
      <c r="J10" s="126">
        <f t="shared" si="0"/>
        <v>50</v>
      </c>
      <c r="K10" s="126">
        <f t="shared" si="0"/>
        <v>50</v>
      </c>
      <c r="L10" s="126">
        <f t="shared" si="0"/>
        <v>50</v>
      </c>
      <c r="M10" s="126">
        <f t="shared" si="0"/>
        <v>50</v>
      </c>
      <c r="N10" s="126">
        <f t="shared" si="0"/>
        <v>50</v>
      </c>
      <c r="O10" s="126">
        <f t="shared" si="0"/>
        <v>50</v>
      </c>
      <c r="P10" s="127">
        <f>SUM(D10:O10)</f>
        <v>600</v>
      </c>
      <c r="Q10">
        <f>+'3.mell. bevétel'!D22</f>
        <v>6486</v>
      </c>
      <c r="R10">
        <f>+Q10/12</f>
        <v>540.5</v>
      </c>
      <c r="S10" s="37">
        <f>+Q10-P10</f>
        <v>5886</v>
      </c>
    </row>
    <row r="11" spans="2:16" ht="12.75">
      <c r="B11" s="128" t="s">
        <v>22</v>
      </c>
      <c r="C11" s="129" t="s">
        <v>236</v>
      </c>
      <c r="D11" s="130">
        <v>540</v>
      </c>
      <c r="E11" s="130">
        <f>D11</f>
        <v>540</v>
      </c>
      <c r="F11" s="130">
        <f aca="true" t="shared" si="1" ref="F11:N11">E11</f>
        <v>540</v>
      </c>
      <c r="G11" s="130">
        <f t="shared" si="1"/>
        <v>540</v>
      </c>
      <c r="H11" s="130">
        <f t="shared" si="1"/>
        <v>540</v>
      </c>
      <c r="I11" s="130">
        <f t="shared" si="1"/>
        <v>540</v>
      </c>
      <c r="J11" s="130">
        <f t="shared" si="1"/>
        <v>540</v>
      </c>
      <c r="K11" s="130">
        <f t="shared" si="1"/>
        <v>540</v>
      </c>
      <c r="L11" s="130">
        <f t="shared" si="1"/>
        <v>540</v>
      </c>
      <c r="M11" s="130">
        <f t="shared" si="1"/>
        <v>540</v>
      </c>
      <c r="N11" s="130">
        <f t="shared" si="1"/>
        <v>540</v>
      </c>
      <c r="O11" s="130">
        <f>N11+2+4</f>
        <v>546</v>
      </c>
      <c r="P11" s="131">
        <f aca="true" t="shared" si="2" ref="P11:P17">SUM(D11:O11)</f>
        <v>6486</v>
      </c>
    </row>
    <row r="12" spans="2:16" ht="12.75">
      <c r="B12" s="128" t="s">
        <v>23</v>
      </c>
      <c r="C12" s="132" t="s">
        <v>237</v>
      </c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1">
        <f t="shared" si="2"/>
        <v>0</v>
      </c>
    </row>
    <row r="13" spans="2:19" ht="12.75">
      <c r="B13" s="128" t="s">
        <v>24</v>
      </c>
      <c r="C13" s="129" t="s">
        <v>238</v>
      </c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1">
        <f>SUM(D13:O13)</f>
        <v>0</v>
      </c>
      <c r="Q13" s="37">
        <f>+'3.mell. bevétel'!F22</f>
        <v>0</v>
      </c>
      <c r="S13" s="37"/>
    </row>
    <row r="14" spans="2:16" ht="12.75">
      <c r="B14" s="128" t="s">
        <v>25</v>
      </c>
      <c r="C14" s="129" t="s">
        <v>239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1">
        <f t="shared" si="2"/>
        <v>0</v>
      </c>
    </row>
    <row r="15" spans="2:16" ht="12.75">
      <c r="B15" s="128" t="s">
        <v>26</v>
      </c>
      <c r="C15" s="129" t="s">
        <v>240</v>
      </c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1">
        <f t="shared" si="2"/>
        <v>0</v>
      </c>
    </row>
    <row r="16" spans="2:16" ht="12.75">
      <c r="B16" s="128" t="s">
        <v>27</v>
      </c>
      <c r="C16" s="129" t="s">
        <v>241</v>
      </c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1">
        <f t="shared" si="2"/>
        <v>0</v>
      </c>
    </row>
    <row r="17" spans="2:16" ht="12.75">
      <c r="B17" s="128" t="s">
        <v>28</v>
      </c>
      <c r="C17" s="134" t="s">
        <v>242</v>
      </c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1">
        <f t="shared" si="2"/>
        <v>0</v>
      </c>
    </row>
    <row r="18" spans="2:18" ht="13.5" thickBot="1">
      <c r="B18" s="128" t="s">
        <v>29</v>
      </c>
      <c r="C18" s="129" t="s">
        <v>187</v>
      </c>
      <c r="D18" s="130">
        <f>+D32-D10-D11-D12-D13-D14-D15-D16-D17</f>
        <v>16210.849999999999</v>
      </c>
      <c r="E18" s="130">
        <f aca="true" t="shared" si="3" ref="E18:O18">+E32-E10-E11-E12-E13-E14-E15-E16-E17</f>
        <v>18325.15</v>
      </c>
      <c r="F18" s="130">
        <f t="shared" si="3"/>
        <v>16367.059999999998</v>
      </c>
      <c r="G18" s="130">
        <f t="shared" si="3"/>
        <v>16383.57</v>
      </c>
      <c r="H18" s="130">
        <f t="shared" si="3"/>
        <v>16734.370000000003</v>
      </c>
      <c r="I18" s="130">
        <f t="shared" si="3"/>
        <v>16502.63</v>
      </c>
      <c r="J18" s="130">
        <f t="shared" si="3"/>
        <v>16519.14</v>
      </c>
      <c r="K18" s="130">
        <f t="shared" si="3"/>
        <v>16853.43</v>
      </c>
      <c r="L18" s="130">
        <f t="shared" si="3"/>
        <v>16567.4</v>
      </c>
      <c r="M18" s="130">
        <f t="shared" si="3"/>
        <v>16582.64</v>
      </c>
      <c r="N18" s="130">
        <f t="shared" si="3"/>
        <v>16592.8</v>
      </c>
      <c r="O18" s="130">
        <f t="shared" si="3"/>
        <v>17112.05</v>
      </c>
      <c r="P18" s="135">
        <f>SUM(D18:O18)</f>
        <v>200751.08999999997</v>
      </c>
      <c r="Q18" s="37">
        <f>+'3.mell. bevétel'!I22</f>
        <v>200751</v>
      </c>
      <c r="R18" s="37"/>
    </row>
    <row r="19" spans="2:17" ht="13.5" thickBot="1">
      <c r="B19" s="121" t="s">
        <v>30</v>
      </c>
      <c r="C19" s="136" t="s">
        <v>243</v>
      </c>
      <c r="D19" s="137">
        <f>SUM(D10:D18)</f>
        <v>16800.85</v>
      </c>
      <c r="E19" s="137">
        <f aca="true" t="shared" si="4" ref="E19:O19">SUM(E10:E18)</f>
        <v>18915.15</v>
      </c>
      <c r="F19" s="137">
        <f t="shared" si="4"/>
        <v>16957.059999999998</v>
      </c>
      <c r="G19" s="137">
        <f t="shared" si="4"/>
        <v>16973.57</v>
      </c>
      <c r="H19" s="137">
        <f t="shared" si="4"/>
        <v>17324.370000000003</v>
      </c>
      <c r="I19" s="137">
        <f t="shared" si="4"/>
        <v>17092.63</v>
      </c>
      <c r="J19" s="137">
        <f t="shared" si="4"/>
        <v>17109.14</v>
      </c>
      <c r="K19" s="137">
        <f t="shared" si="4"/>
        <v>17443.43</v>
      </c>
      <c r="L19" s="137">
        <f t="shared" si="4"/>
        <v>17157.4</v>
      </c>
      <c r="M19" s="137">
        <f t="shared" si="4"/>
        <v>17172.64</v>
      </c>
      <c r="N19" s="137">
        <f t="shared" si="4"/>
        <v>17182.8</v>
      </c>
      <c r="O19" s="137">
        <f t="shared" si="4"/>
        <v>17708.05</v>
      </c>
      <c r="P19" s="137">
        <f>SUM(P10:P18)</f>
        <v>207837.08999999997</v>
      </c>
      <c r="Q19" s="204">
        <f>+'3.mell. bevétel'!K22</f>
        <v>207837</v>
      </c>
    </row>
    <row r="20" spans="2:16" ht="13.5" thickBot="1">
      <c r="B20" s="121" t="s">
        <v>31</v>
      </c>
      <c r="C20" s="1035"/>
      <c r="D20" s="1036"/>
      <c r="E20" s="1036"/>
      <c r="F20" s="1036"/>
      <c r="G20" s="1036"/>
      <c r="H20" s="1036"/>
      <c r="I20" s="1036"/>
      <c r="J20" s="1036"/>
      <c r="K20" s="1036"/>
      <c r="L20" s="1036"/>
      <c r="M20" s="1036"/>
      <c r="N20" s="1036"/>
      <c r="O20" s="1036"/>
      <c r="P20" s="1038"/>
    </row>
    <row r="21" spans="2:24" ht="12.75">
      <c r="B21" s="139" t="s">
        <v>32</v>
      </c>
      <c r="C21" s="140" t="s">
        <v>180</v>
      </c>
      <c r="D21" s="133">
        <f>8475-45-25-50</f>
        <v>8355</v>
      </c>
      <c r="E21" s="133">
        <f>8540-35-25-35</f>
        <v>8445</v>
      </c>
      <c r="F21" s="133">
        <f>8543-5-25-35</f>
        <v>8478</v>
      </c>
      <c r="G21" s="133">
        <f>8576-20-25-40</f>
        <v>8491</v>
      </c>
      <c r="H21" s="133">
        <f>8601-20-50</f>
        <v>8531</v>
      </c>
      <c r="I21" s="133">
        <f>8619-50</f>
        <v>8569</v>
      </c>
      <c r="J21" s="133">
        <f>8632-50</f>
        <v>8582</v>
      </c>
      <c r="K21" s="133">
        <f>8659-50</f>
        <v>8609</v>
      </c>
      <c r="L21" s="133">
        <f>8670-50</f>
        <v>8620</v>
      </c>
      <c r="M21" s="133">
        <f>8682-50</f>
        <v>8632</v>
      </c>
      <c r="N21" s="133">
        <f>8690-50</f>
        <v>8640</v>
      </c>
      <c r="O21" s="133">
        <f>8765-50</f>
        <v>8715</v>
      </c>
      <c r="P21" s="141">
        <f>SUM(D21:O21)</f>
        <v>102667</v>
      </c>
      <c r="Q21" s="203">
        <f>+'4.mell. kiadás'!D26</f>
        <v>102667</v>
      </c>
      <c r="R21">
        <f>+Q21/12</f>
        <v>8555.583333333334</v>
      </c>
      <c r="S21" s="37">
        <f>+Q21-P21</f>
        <v>0</v>
      </c>
      <c r="X21" s="37"/>
    </row>
    <row r="22" spans="2:24" ht="12.75">
      <c r="B22" s="128" t="s">
        <v>33</v>
      </c>
      <c r="C22" s="134" t="s">
        <v>244</v>
      </c>
      <c r="D22" s="130">
        <f>D21*27%</f>
        <v>2255.8500000000004</v>
      </c>
      <c r="E22" s="130">
        <f>E21*27%</f>
        <v>2280.15</v>
      </c>
      <c r="F22" s="130">
        <f>F21*27%</f>
        <v>2289.06</v>
      </c>
      <c r="G22" s="130">
        <f>G21*27%</f>
        <v>2292.57</v>
      </c>
      <c r="H22" s="130">
        <f>H21*27%</f>
        <v>2303.3700000000003</v>
      </c>
      <c r="I22" s="130">
        <f aca="true" t="shared" si="5" ref="I22:N22">I21*27%+20</f>
        <v>2333.63</v>
      </c>
      <c r="J22" s="130">
        <f t="shared" si="5"/>
        <v>2337.1400000000003</v>
      </c>
      <c r="K22" s="130">
        <f t="shared" si="5"/>
        <v>2344.4300000000003</v>
      </c>
      <c r="L22" s="130">
        <f t="shared" si="5"/>
        <v>2347.4</v>
      </c>
      <c r="M22" s="130">
        <f t="shared" si="5"/>
        <v>2350.6400000000003</v>
      </c>
      <c r="N22" s="130">
        <f t="shared" si="5"/>
        <v>2352.8</v>
      </c>
      <c r="O22" s="130">
        <f>O21*27%+36</f>
        <v>2389.05</v>
      </c>
      <c r="P22" s="141">
        <f aca="true" t="shared" si="6" ref="P22:P30">SUM(D22:O22)</f>
        <v>27876.09</v>
      </c>
      <c r="Q22" s="203">
        <f>+'4.mell. kiadás'!E26</f>
        <v>27876</v>
      </c>
      <c r="R22">
        <f>+Q22/12</f>
        <v>2323</v>
      </c>
      <c r="S22" s="37">
        <f>+Q22-P22</f>
        <v>-0.09000000000014552</v>
      </c>
      <c r="T22" s="37"/>
      <c r="X22" s="37"/>
    </row>
    <row r="23" spans="2:19" ht="12.75">
      <c r="B23" s="128" t="s">
        <v>34</v>
      </c>
      <c r="C23" s="129" t="s">
        <v>202</v>
      </c>
      <c r="D23" s="130">
        <v>2571</v>
      </c>
      <c r="E23" s="130">
        <f>+D23</f>
        <v>2571</v>
      </c>
      <c r="F23" s="130">
        <f aca="true" t="shared" si="7" ref="F23:N23">+E23</f>
        <v>2571</v>
      </c>
      <c r="G23" s="130">
        <f t="shared" si="7"/>
        <v>2571</v>
      </c>
      <c r="H23" s="130">
        <f t="shared" si="7"/>
        <v>2571</v>
      </c>
      <c r="I23" s="130">
        <f t="shared" si="7"/>
        <v>2571</v>
      </c>
      <c r="J23" s="130">
        <f t="shared" si="7"/>
        <v>2571</v>
      </c>
      <c r="K23" s="130">
        <f t="shared" si="7"/>
        <v>2571</v>
      </c>
      <c r="L23" s="130">
        <f t="shared" si="7"/>
        <v>2571</v>
      </c>
      <c r="M23" s="130">
        <f t="shared" si="7"/>
        <v>2571</v>
      </c>
      <c r="N23" s="130">
        <f t="shared" si="7"/>
        <v>2571</v>
      </c>
      <c r="O23" s="130">
        <f>+N23+4</f>
        <v>2575</v>
      </c>
      <c r="P23" s="141">
        <f t="shared" si="6"/>
        <v>30856</v>
      </c>
      <c r="Q23">
        <f>+'4.mell. kiadás'!F26</f>
        <v>30856</v>
      </c>
      <c r="R23">
        <f>+Q23/12</f>
        <v>2571.3333333333335</v>
      </c>
      <c r="S23" s="37">
        <f>+Q23-P23</f>
        <v>0</v>
      </c>
    </row>
    <row r="24" spans="2:16" ht="12.75">
      <c r="B24" s="128" t="s">
        <v>35</v>
      </c>
      <c r="C24" s="129" t="s">
        <v>245</v>
      </c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41">
        <f t="shared" si="6"/>
        <v>0</v>
      </c>
    </row>
    <row r="25" spans="2:19" ht="12.75">
      <c r="B25" s="128" t="s">
        <v>36</v>
      </c>
      <c r="C25" s="129" t="s">
        <v>246</v>
      </c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41">
        <f t="shared" si="6"/>
        <v>0</v>
      </c>
      <c r="S25" s="37"/>
    </row>
    <row r="26" spans="2:22" ht="12.75">
      <c r="B26" s="128" t="s">
        <v>37</v>
      </c>
      <c r="C26" s="129" t="s">
        <v>247</v>
      </c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41">
        <f t="shared" si="6"/>
        <v>0</v>
      </c>
      <c r="V26" s="37"/>
    </row>
    <row r="27" spans="2:19" ht="12.75">
      <c r="B27" s="128" t="s">
        <v>39</v>
      </c>
      <c r="C27" s="134" t="s">
        <v>248</v>
      </c>
      <c r="D27" s="130">
        <v>3619</v>
      </c>
      <c r="E27" s="130">
        <f>+D27</f>
        <v>3619</v>
      </c>
      <c r="F27" s="130">
        <f aca="true" t="shared" si="8" ref="F27:N27">+E27</f>
        <v>3619</v>
      </c>
      <c r="G27" s="130">
        <f t="shared" si="8"/>
        <v>3619</v>
      </c>
      <c r="H27" s="130">
        <f t="shared" si="8"/>
        <v>3619</v>
      </c>
      <c r="I27" s="130">
        <f t="shared" si="8"/>
        <v>3619</v>
      </c>
      <c r="J27" s="130">
        <f t="shared" si="8"/>
        <v>3619</v>
      </c>
      <c r="K27" s="130">
        <f t="shared" si="8"/>
        <v>3619</v>
      </c>
      <c r="L27" s="130">
        <f t="shared" si="8"/>
        <v>3619</v>
      </c>
      <c r="M27" s="130">
        <f t="shared" si="8"/>
        <v>3619</v>
      </c>
      <c r="N27" s="130">
        <f t="shared" si="8"/>
        <v>3619</v>
      </c>
      <c r="O27" s="130">
        <f>+N27-4+9+5</f>
        <v>3629</v>
      </c>
      <c r="P27" s="141">
        <f>SUM(D27:O27)</f>
        <v>43438</v>
      </c>
      <c r="Q27" s="37">
        <f>'4.mell. kiadás'!H26</f>
        <v>43438</v>
      </c>
      <c r="R27">
        <f>+Q27/12</f>
        <v>3619.8333333333335</v>
      </c>
      <c r="S27" s="37">
        <f>+Q27-P27</f>
        <v>0</v>
      </c>
    </row>
    <row r="28" spans="2:16" ht="12.75">
      <c r="B28" s="128" t="s">
        <v>41</v>
      </c>
      <c r="C28" s="129" t="s">
        <v>249</v>
      </c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41">
        <f t="shared" si="6"/>
        <v>0</v>
      </c>
    </row>
    <row r="29" spans="2:16" ht="12.75">
      <c r="B29" s="128" t="s">
        <v>42</v>
      </c>
      <c r="C29" s="129" t="s">
        <v>250</v>
      </c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41">
        <f t="shared" si="6"/>
        <v>0</v>
      </c>
    </row>
    <row r="30" spans="2:17" ht="12.75">
      <c r="B30" s="128" t="s">
        <v>43</v>
      </c>
      <c r="C30" s="129" t="s">
        <v>251</v>
      </c>
      <c r="D30" s="130"/>
      <c r="E30" s="130">
        <v>2000</v>
      </c>
      <c r="F30" s="130"/>
      <c r="G30" s="130"/>
      <c r="H30" s="130">
        <v>300</v>
      </c>
      <c r="I30" s="130"/>
      <c r="J30" s="130"/>
      <c r="K30" s="130">
        <v>300</v>
      </c>
      <c r="L30" s="130"/>
      <c r="M30" s="130"/>
      <c r="N30" s="130"/>
      <c r="O30" s="130">
        <v>400</v>
      </c>
      <c r="P30" s="141">
        <f t="shared" si="6"/>
        <v>3000</v>
      </c>
      <c r="Q30" s="37">
        <f>'4.mell. kiadás'!J26+'4.mell. kiadás'!K26</f>
        <v>3000</v>
      </c>
    </row>
    <row r="31" spans="2:16" ht="13.5" thickBot="1">
      <c r="B31" s="128" t="s">
        <v>44</v>
      </c>
      <c r="C31" s="129" t="s">
        <v>252</v>
      </c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41">
        <f>SUM(D31:O31)</f>
        <v>0</v>
      </c>
    </row>
    <row r="32" spans="2:17" ht="13.5" thickBot="1">
      <c r="B32" s="142" t="s">
        <v>45</v>
      </c>
      <c r="C32" s="136" t="s">
        <v>253</v>
      </c>
      <c r="D32" s="137">
        <f>SUM(D21:D31)</f>
        <v>16800.85</v>
      </c>
      <c r="E32" s="137">
        <f aca="true" t="shared" si="9" ref="E32:O32">SUM(E21:E31)</f>
        <v>18915.15</v>
      </c>
      <c r="F32" s="137">
        <f t="shared" si="9"/>
        <v>16957.059999999998</v>
      </c>
      <c r="G32" s="137">
        <f t="shared" si="9"/>
        <v>16973.57</v>
      </c>
      <c r="H32" s="137">
        <f t="shared" si="9"/>
        <v>17324.370000000003</v>
      </c>
      <c r="I32" s="137">
        <f t="shared" si="9"/>
        <v>17092.63</v>
      </c>
      <c r="J32" s="137">
        <f t="shared" si="9"/>
        <v>17109.14</v>
      </c>
      <c r="K32" s="137">
        <f t="shared" si="9"/>
        <v>17443.43</v>
      </c>
      <c r="L32" s="137">
        <f t="shared" si="9"/>
        <v>17157.4</v>
      </c>
      <c r="M32" s="137">
        <f t="shared" si="9"/>
        <v>17172.64</v>
      </c>
      <c r="N32" s="137">
        <f t="shared" si="9"/>
        <v>17182.8</v>
      </c>
      <c r="O32" s="137">
        <f t="shared" si="9"/>
        <v>17708.05</v>
      </c>
      <c r="P32" s="137">
        <f>SUM(P21:P31)</f>
        <v>207837.09</v>
      </c>
      <c r="Q32" s="205">
        <f>SUM(Q21:Q31)</f>
        <v>207837</v>
      </c>
    </row>
    <row r="33" spans="2:17" ht="13.5" thickBot="1">
      <c r="B33" s="142" t="s">
        <v>46</v>
      </c>
      <c r="C33" s="144" t="s">
        <v>254</v>
      </c>
      <c r="D33" s="145">
        <f>+D19-D32</f>
        <v>0</v>
      </c>
      <c r="E33" s="145">
        <f aca="true" t="shared" si="10" ref="E33:P33">+E19-E32</f>
        <v>0</v>
      </c>
      <c r="F33" s="145">
        <f t="shared" si="10"/>
        <v>0</v>
      </c>
      <c r="G33" s="145">
        <f t="shared" si="10"/>
        <v>0</v>
      </c>
      <c r="H33" s="145">
        <f t="shared" si="10"/>
        <v>0</v>
      </c>
      <c r="I33" s="145">
        <f t="shared" si="10"/>
        <v>0</v>
      </c>
      <c r="J33" s="145">
        <f t="shared" si="10"/>
        <v>0</v>
      </c>
      <c r="K33" s="145">
        <f t="shared" si="10"/>
        <v>0</v>
      </c>
      <c r="L33" s="145">
        <f t="shared" si="10"/>
        <v>0</v>
      </c>
      <c r="M33" s="145">
        <f t="shared" si="10"/>
        <v>0</v>
      </c>
      <c r="N33" s="145">
        <f t="shared" si="10"/>
        <v>0</v>
      </c>
      <c r="O33" s="145">
        <f t="shared" si="10"/>
        <v>0</v>
      </c>
      <c r="P33" s="145">
        <f t="shared" si="10"/>
        <v>0</v>
      </c>
      <c r="Q33" s="231">
        <f>+'4.mell. kiadás'!M26</f>
        <v>207837</v>
      </c>
    </row>
    <row r="34" spans="2:16" ht="15.75">
      <c r="B34" s="14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206"/>
    </row>
    <row r="35" spans="2:16" ht="15.75">
      <c r="B35" s="115"/>
      <c r="C35" s="147"/>
      <c r="D35" s="148"/>
      <c r="E35" s="148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5"/>
    </row>
  </sheetData>
  <sheetProtection/>
  <mergeCells count="6">
    <mergeCell ref="C9:P9"/>
    <mergeCell ref="C20:P20"/>
    <mergeCell ref="O1:P1"/>
    <mergeCell ref="B2:P2"/>
    <mergeCell ref="B3:P3"/>
    <mergeCell ref="B5:P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  <headerFooter alignWithMargins="0">
    <oddHeader>&amp;L17. melléklet a 2015. évi 3/2015.(II.25.) Önkormányzati költségvetési rendelethez&amp;R2015.02.25</oddHeader>
    <oddFooter>&amp;R&amp;F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36"/>
  <sheetViews>
    <sheetView view="pageLayout" zoomScaleSheetLayoutView="100" workbookViewId="0" topLeftCell="A1">
      <selection activeCell="F11" sqref="F11"/>
    </sheetView>
  </sheetViews>
  <sheetFormatPr defaultColWidth="9.140625" defaultRowHeight="21.75" customHeight="1"/>
  <cols>
    <col min="1" max="1" width="5.28125" style="97" customWidth="1"/>
    <col min="2" max="2" width="5.00390625" style="97" customWidth="1"/>
    <col min="3" max="3" width="50.421875" style="97" customWidth="1"/>
    <col min="4" max="4" width="10.8515625" style="97" bestFit="1" customWidth="1"/>
    <col min="5" max="5" width="14.57421875" style="97" customWidth="1"/>
    <col min="6" max="6" width="14.7109375" style="97" customWidth="1"/>
    <col min="7" max="7" width="14.7109375" style="467" customWidth="1"/>
    <col min="8" max="10" width="14.7109375" style="97" customWidth="1"/>
    <col min="11" max="11" width="9.140625" style="97" customWidth="1"/>
    <col min="12" max="12" width="10.28125" style="97" bestFit="1" customWidth="1"/>
    <col min="13" max="13" width="9.140625" style="464" customWidth="1"/>
    <col min="14" max="14" width="9.140625" style="97" customWidth="1"/>
    <col min="15" max="15" width="10.421875" style="97" bestFit="1" customWidth="1"/>
    <col min="16" max="16" width="9.140625" style="97" customWidth="1"/>
    <col min="17" max="19" width="10.140625" style="97" bestFit="1" customWidth="1"/>
    <col min="20" max="16384" width="9.140625" style="97" customWidth="1"/>
  </cols>
  <sheetData>
    <row r="1" spans="1:10" ht="21.75" customHeight="1">
      <c r="A1" s="459" t="s">
        <v>113</v>
      </c>
      <c r="B1" s="460"/>
      <c r="C1" s="460"/>
      <c r="D1" s="461" t="s">
        <v>313</v>
      </c>
      <c r="E1" s="461" t="s">
        <v>369</v>
      </c>
      <c r="F1" s="462"/>
      <c r="G1" s="463"/>
      <c r="H1" s="462"/>
      <c r="I1" s="462"/>
      <c r="J1" s="462"/>
    </row>
    <row r="2" spans="2:10" ht="21.75" customHeight="1">
      <c r="B2" s="465"/>
      <c r="C2" s="465"/>
      <c r="D2" s="461" t="s">
        <v>454</v>
      </c>
      <c r="E2" s="461" t="s">
        <v>454</v>
      </c>
      <c r="F2" s="462"/>
      <c r="G2" s="463"/>
      <c r="H2" s="462"/>
      <c r="I2" s="462"/>
      <c r="J2" s="462"/>
    </row>
    <row r="3" spans="2:4" ht="21.75" customHeight="1">
      <c r="B3" s="465"/>
      <c r="C3" s="466"/>
      <c r="D3" s="466"/>
    </row>
    <row r="4" spans="2:10" ht="21.75" customHeight="1">
      <c r="B4" s="465" t="s">
        <v>114</v>
      </c>
      <c r="C4" s="465" t="s">
        <v>636</v>
      </c>
      <c r="D4" s="741">
        <f>SUM(D5:D10)</f>
        <v>514345</v>
      </c>
      <c r="E4" s="741">
        <f>SUM(E5:E9)</f>
        <v>543077</v>
      </c>
      <c r="F4" s="741">
        <f>'4.mell. kiadás'!G30</f>
        <v>543077</v>
      </c>
      <c r="G4" s="452">
        <f>E4/D4</f>
        <v>1.0558613382068456</v>
      </c>
      <c r="H4" s="741"/>
      <c r="I4" s="453"/>
      <c r="J4" s="453"/>
    </row>
    <row r="5" spans="2:15" ht="21.75" customHeight="1">
      <c r="B5" s="465"/>
      <c r="C5" s="743" t="s">
        <v>209</v>
      </c>
      <c r="D5" s="98">
        <v>179916</v>
      </c>
      <c r="E5" s="98">
        <f>'4.mell. kiadás'!G7</f>
        <v>191835</v>
      </c>
      <c r="F5" s="301"/>
      <c r="G5" s="452"/>
      <c r="H5" s="744"/>
      <c r="I5" s="745"/>
      <c r="J5" s="745"/>
      <c r="O5" s="98"/>
    </row>
    <row r="6" spans="2:10" ht="21.75" customHeight="1">
      <c r="B6" s="465"/>
      <c r="C6" s="746" t="s">
        <v>122</v>
      </c>
      <c r="D6" s="747">
        <v>126268</v>
      </c>
      <c r="E6" s="98">
        <f>'4.mell. kiadás'!G11</f>
        <v>127862</v>
      </c>
      <c r="F6" s="301"/>
      <c r="G6" s="452"/>
      <c r="H6" s="744"/>
      <c r="I6" s="745"/>
      <c r="J6" s="745"/>
    </row>
    <row r="7" spans="2:10" ht="21.75" customHeight="1">
      <c r="B7" s="465"/>
      <c r="C7" s="746" t="s">
        <v>56</v>
      </c>
      <c r="D7" s="747">
        <v>21518</v>
      </c>
      <c r="E7" s="98">
        <f>'4.mell. kiadás'!G15</f>
        <v>25568</v>
      </c>
      <c r="F7" s="301"/>
      <c r="G7" s="452"/>
      <c r="H7" s="744"/>
      <c r="I7" s="745"/>
      <c r="J7" s="745"/>
    </row>
    <row r="8" spans="2:10" ht="21.75" customHeight="1">
      <c r="B8" s="465"/>
      <c r="C8" s="743" t="s">
        <v>40</v>
      </c>
      <c r="D8" s="98">
        <f>+'[12]kiadás'!G24</f>
        <v>18936</v>
      </c>
      <c r="E8" s="98">
        <f>'4.mell. kiadás'!G19</f>
        <v>36413</v>
      </c>
      <c r="F8" s="301"/>
      <c r="G8" s="452"/>
      <c r="H8" s="744"/>
      <c r="I8" s="745"/>
      <c r="J8" s="745"/>
    </row>
    <row r="9" spans="2:10" ht="21.75" customHeight="1">
      <c r="B9" s="465"/>
      <c r="C9" s="743" t="s">
        <v>269</v>
      </c>
      <c r="D9" s="98">
        <f>+'[12]kiadás'!G29</f>
        <v>167707</v>
      </c>
      <c r="E9" s="98">
        <f>'4.mell. kiadás'!G26</f>
        <v>161399</v>
      </c>
      <c r="F9" s="301"/>
      <c r="G9" s="452"/>
      <c r="H9" s="744"/>
      <c r="I9" s="745"/>
      <c r="J9" s="745"/>
    </row>
    <row r="10" spans="4:8" ht="21.75" customHeight="1">
      <c r="D10" s="98"/>
      <c r="E10" s="98"/>
      <c r="F10" s="98"/>
      <c r="G10" s="452"/>
      <c r="H10" s="98"/>
    </row>
    <row r="11" spans="2:10" ht="21.75" customHeight="1">
      <c r="B11" s="465" t="s">
        <v>121</v>
      </c>
      <c r="C11" s="465" t="s">
        <v>621</v>
      </c>
      <c r="D11" s="741">
        <f>SUM(D12:D13)</f>
        <v>118339</v>
      </c>
      <c r="E11" s="741">
        <f>SUM(E12:E13)</f>
        <v>48438</v>
      </c>
      <c r="F11" s="741" t="e">
        <f>'4.mell. kiadás'!#REF!</f>
        <v>#REF!</v>
      </c>
      <c r="G11" s="452">
        <f>E11/D11</f>
        <v>0.409315610238383</v>
      </c>
      <c r="H11" s="741"/>
      <c r="I11" s="453"/>
      <c r="J11" s="453"/>
    </row>
    <row r="12" spans="2:10" ht="21.75" customHeight="1">
      <c r="B12" s="465"/>
      <c r="C12" s="466" t="s">
        <v>125</v>
      </c>
      <c r="D12" s="225">
        <v>23787</v>
      </c>
      <c r="E12" s="225">
        <f>'6.mell. segélyek'!I32</f>
        <v>24800.1</v>
      </c>
      <c r="F12" s="741"/>
      <c r="G12" s="452"/>
      <c r="H12" s="741"/>
      <c r="I12" s="741"/>
      <c r="J12" s="741"/>
    </row>
    <row r="13" spans="2:10" ht="21.75" customHeight="1">
      <c r="B13" s="465"/>
      <c r="C13" s="466" t="s">
        <v>126</v>
      </c>
      <c r="D13" s="225">
        <v>94552</v>
      </c>
      <c r="E13" s="225">
        <f>'6.mell. segélyek'!J32</f>
        <v>23637.9</v>
      </c>
      <c r="F13" s="741"/>
      <c r="G13" s="452"/>
      <c r="H13" s="741"/>
      <c r="I13" s="741"/>
      <c r="J13" s="741"/>
    </row>
    <row r="14" spans="2:8" ht="21.75" customHeight="1">
      <c r="B14" s="465"/>
      <c r="C14" s="466"/>
      <c r="D14" s="741"/>
      <c r="E14" s="98"/>
      <c r="F14" s="98"/>
      <c r="G14" s="452"/>
      <c r="H14" s="98"/>
    </row>
    <row r="15" spans="2:10" ht="21.75" customHeight="1">
      <c r="B15" s="465" t="s">
        <v>119</v>
      </c>
      <c r="C15" s="465" t="s">
        <v>611</v>
      </c>
      <c r="D15" s="741">
        <f>SUM(D16:D17)</f>
        <v>29169</v>
      </c>
      <c r="E15" s="744">
        <f>SUM(E16:E17)</f>
        <v>120174</v>
      </c>
      <c r="F15" s="744">
        <f>'5.mell. átadott'!C27</f>
        <v>120174</v>
      </c>
      <c r="G15" s="452">
        <f>E15/D15</f>
        <v>4.119921834824643</v>
      </c>
      <c r="H15" s="744"/>
      <c r="I15" s="744"/>
      <c r="J15" s="744"/>
    </row>
    <row r="16" spans="2:8" ht="21.75" customHeight="1">
      <c r="B16" s="465"/>
      <c r="C16" s="223" t="s">
        <v>127</v>
      </c>
      <c r="D16" s="478">
        <v>26169</v>
      </c>
      <c r="E16" s="478">
        <f>'4.mell. kiadás'!I19</f>
        <v>45794</v>
      </c>
      <c r="F16" s="478"/>
      <c r="G16" s="452"/>
      <c r="H16" s="98"/>
    </row>
    <row r="17" spans="2:10" ht="21.75" customHeight="1">
      <c r="B17" s="465"/>
      <c r="C17" s="223" t="s">
        <v>128</v>
      </c>
      <c r="D17" s="478">
        <v>3000</v>
      </c>
      <c r="E17" s="478">
        <f>'5.mell. átadott'!C23</f>
        <v>74380</v>
      </c>
      <c r="F17" s="301"/>
      <c r="G17" s="452"/>
      <c r="H17" s="744"/>
      <c r="I17" s="744"/>
      <c r="J17" s="744"/>
    </row>
    <row r="18" spans="2:8" ht="21.75" customHeight="1">
      <c r="B18" s="465"/>
      <c r="C18" s="466"/>
      <c r="D18" s="98"/>
      <c r="E18" s="98"/>
      <c r="F18" s="98"/>
      <c r="G18" s="452"/>
      <c r="H18" s="98"/>
    </row>
    <row r="19" spans="2:10" ht="21.75" customHeight="1">
      <c r="B19" s="465" t="s">
        <v>120</v>
      </c>
      <c r="C19" s="465" t="s">
        <v>129</v>
      </c>
      <c r="D19" s="741">
        <f>SUM(D20:D21)</f>
        <v>35878</v>
      </c>
      <c r="E19" s="741">
        <f>SUM(E20:E21)</f>
        <v>31500</v>
      </c>
      <c r="F19" s="748">
        <f>'7.mell. felhalmozási kiadás'!C18</f>
        <v>32500</v>
      </c>
      <c r="G19" s="452">
        <f>E19/D19</f>
        <v>0.8779753609454262</v>
      </c>
      <c r="H19" s="741"/>
      <c r="I19" s="453"/>
      <c r="J19" s="453"/>
    </row>
    <row r="20" spans="2:10" ht="21.75" customHeight="1">
      <c r="B20" s="465"/>
      <c r="C20" s="466" t="s">
        <v>130</v>
      </c>
      <c r="D20" s="98">
        <v>22241</v>
      </c>
      <c r="E20" s="98">
        <f>'7.mell. felhalmozási kiadás'!C9</f>
        <v>3000</v>
      </c>
      <c r="F20" s="98"/>
      <c r="G20" s="452"/>
      <c r="H20" s="98"/>
      <c r="I20" s="98"/>
      <c r="J20" s="98"/>
    </row>
    <row r="21" spans="2:8" ht="21.75" customHeight="1">
      <c r="B21" s="465"/>
      <c r="C21" s="466" t="s">
        <v>131</v>
      </c>
      <c r="D21" s="98">
        <v>13637</v>
      </c>
      <c r="E21" s="98">
        <f>'7.mell. felhalmozási kiadás'!C14</f>
        <v>28500</v>
      </c>
      <c r="F21" s="98"/>
      <c r="G21" s="452"/>
      <c r="H21" s="98"/>
    </row>
    <row r="22" spans="2:8" ht="21.75" customHeight="1">
      <c r="B22" s="465"/>
      <c r="C22" s="466"/>
      <c r="D22" s="98"/>
      <c r="E22" s="98"/>
      <c r="F22" s="98"/>
      <c r="G22" s="452"/>
      <c r="H22" s="98"/>
    </row>
    <row r="23" spans="2:8" ht="21.75" customHeight="1">
      <c r="B23" s="465" t="s">
        <v>123</v>
      </c>
      <c r="C23" s="197" t="s">
        <v>622</v>
      </c>
      <c r="D23" s="98"/>
      <c r="E23" s="301">
        <f>E24</f>
        <v>1000</v>
      </c>
      <c r="F23" s="98"/>
      <c r="G23" s="452"/>
      <c r="H23" s="98"/>
    </row>
    <row r="24" spans="2:8" ht="21.75" customHeight="1">
      <c r="B24" s="465"/>
      <c r="C24" s="749" t="s">
        <v>604</v>
      </c>
      <c r="D24" s="419"/>
      <c r="E24" s="98">
        <v>1000</v>
      </c>
      <c r="F24" s="98"/>
      <c r="G24" s="452"/>
      <c r="H24" s="98"/>
    </row>
    <row r="25" spans="2:9" ht="21.75" customHeight="1">
      <c r="B25" s="465"/>
      <c r="C25" s="466"/>
      <c r="D25" s="98"/>
      <c r="E25" s="98"/>
      <c r="F25" s="98"/>
      <c r="G25" s="452"/>
      <c r="H25" s="98"/>
      <c r="I25" s="466"/>
    </row>
    <row r="26" spans="1:10" s="745" customFormat="1" ht="21.75" customHeight="1">
      <c r="A26" s="97"/>
      <c r="B26" s="465" t="s">
        <v>124</v>
      </c>
      <c r="C26" s="465" t="s">
        <v>133</v>
      </c>
      <c r="D26" s="744">
        <f>D4+D11+D15+D19</f>
        <v>697731</v>
      </c>
      <c r="E26" s="744">
        <f>E4+E11+E15+E19+E23</f>
        <v>744189</v>
      </c>
      <c r="F26" s="744">
        <f>'4.mell. kiadás'!M30</f>
        <v>744189</v>
      </c>
      <c r="G26" s="452">
        <f>E26/D26</f>
        <v>1.0665844000051596</v>
      </c>
      <c r="H26" s="744"/>
      <c r="I26" s="744"/>
      <c r="J26" s="744"/>
    </row>
    <row r="27" spans="1:10" s="745" customFormat="1" ht="21.75" customHeight="1">
      <c r="A27" s="97"/>
      <c r="B27" s="465"/>
      <c r="C27" s="465"/>
      <c r="D27" s="744"/>
      <c r="E27" s="744"/>
      <c r="F27" s="744"/>
      <c r="G27" s="750"/>
      <c r="H27" s="744"/>
      <c r="I27" s="744"/>
      <c r="J27" s="744"/>
    </row>
    <row r="28" spans="1:10" s="745" customFormat="1" ht="21.75" customHeight="1">
      <c r="A28" s="97"/>
      <c r="B28" s="465"/>
      <c r="C28" s="465"/>
      <c r="D28" s="744"/>
      <c r="E28" s="744"/>
      <c r="F28" s="744"/>
      <c r="G28" s="750"/>
      <c r="H28" s="744"/>
      <c r="I28" s="744"/>
      <c r="J28" s="744"/>
    </row>
    <row r="29" spans="2:8" ht="21.75" customHeight="1">
      <c r="B29" s="465"/>
      <c r="C29" s="465" t="s">
        <v>110</v>
      </c>
      <c r="D29" s="301">
        <f>'4.mell. kiadás'!M28</f>
        <v>697731</v>
      </c>
      <c r="E29" s="301">
        <f>'4.mell. kiadás'!M30</f>
        <v>744189</v>
      </c>
      <c r="F29" s="98"/>
      <c r="H29" s="98"/>
    </row>
    <row r="30" spans="2:12" ht="21.75" customHeight="1">
      <c r="B30" s="465"/>
      <c r="C30" s="466"/>
      <c r="D30" s="741"/>
      <c r="E30" s="741"/>
      <c r="F30" s="741"/>
      <c r="G30" s="452"/>
      <c r="H30" s="741"/>
      <c r="I30" s="741"/>
      <c r="J30" s="741"/>
      <c r="L30" s="98"/>
    </row>
    <row r="31" spans="4:10" ht="21.75" customHeight="1">
      <c r="D31" s="747"/>
      <c r="E31" s="98"/>
      <c r="F31" s="98"/>
      <c r="H31" s="98"/>
      <c r="I31" s="98"/>
      <c r="J31" s="98"/>
    </row>
    <row r="32" spans="4:8" ht="21.75" customHeight="1">
      <c r="D32" s="98"/>
      <c r="E32" s="98"/>
      <c r="F32" s="98"/>
      <c r="H32" s="98"/>
    </row>
    <row r="33" spans="4:10" ht="21.75" customHeight="1">
      <c r="D33" s="98"/>
      <c r="E33" s="98">
        <f>+E31-E30</f>
        <v>0</v>
      </c>
      <c r="F33" s="98"/>
      <c r="G33" s="467">
        <f>48000*11*1.27</f>
        <v>670560</v>
      </c>
      <c r="H33" s="98"/>
      <c r="I33" s="751"/>
      <c r="J33" s="751"/>
    </row>
    <row r="34" spans="4:8" ht="21.75" customHeight="1">
      <c r="D34" s="98"/>
      <c r="E34" s="98"/>
      <c r="F34" s="98"/>
      <c r="H34" s="98"/>
    </row>
    <row r="35" spans="4:10" ht="21.75" customHeight="1">
      <c r="D35" s="98"/>
      <c r="E35" s="98" t="s">
        <v>353</v>
      </c>
      <c r="F35" s="98"/>
      <c r="H35" s="98"/>
      <c r="I35" s="98"/>
      <c r="J35" s="98"/>
    </row>
    <row r="36" spans="4:8" ht="21.75" customHeight="1">
      <c r="D36" s="98"/>
      <c r="E36" s="98"/>
      <c r="F36" s="98"/>
      <c r="H36" s="9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  <headerFooter alignWithMargins="0">
    <oddHeader>&amp;L2. melléklet a 2015. évi 3/2015.(II.25.) Önkormányzati költségvetési rendelethez&amp;R2015.02.25</oddHeader>
    <oddFooter>&amp;R&amp;F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B1:S33"/>
  <sheetViews>
    <sheetView view="pageLayout" zoomScale="60" zoomScalePageLayoutView="60" workbookViewId="0" topLeftCell="A1">
      <selection activeCell="E35" sqref="E35"/>
    </sheetView>
  </sheetViews>
  <sheetFormatPr defaultColWidth="9.140625" defaultRowHeight="12.75"/>
  <cols>
    <col min="1" max="1" width="3.421875" style="0" customWidth="1"/>
    <col min="2" max="2" width="4.8515625" style="0" bestFit="1" customWidth="1"/>
    <col min="3" max="3" width="35.57421875" style="0" customWidth="1"/>
  </cols>
  <sheetData>
    <row r="1" spans="15:16" ht="12.75">
      <c r="O1" s="1039"/>
      <c r="P1" s="1039"/>
    </row>
    <row r="2" spans="2:16" ht="15.75">
      <c r="B2" s="1040" t="s">
        <v>285</v>
      </c>
      <c r="C2" s="1041"/>
      <c r="D2" s="1041"/>
      <c r="E2" s="1041"/>
      <c r="F2" s="1041"/>
      <c r="G2" s="1041"/>
      <c r="H2" s="1041"/>
      <c r="I2" s="1041"/>
      <c r="J2" s="1041"/>
      <c r="K2" s="1041"/>
      <c r="L2" s="1041"/>
      <c r="M2" s="1041"/>
      <c r="N2" s="1041"/>
      <c r="O2" s="1041"/>
      <c r="P2" s="1041"/>
    </row>
    <row r="3" spans="2:16" ht="15.75">
      <c r="B3" s="1040" t="s">
        <v>601</v>
      </c>
      <c r="C3" s="1040"/>
      <c r="D3" s="1040"/>
      <c r="E3" s="1040"/>
      <c r="F3" s="1040"/>
      <c r="G3" s="1040"/>
      <c r="H3" s="1040"/>
      <c r="I3" s="1040"/>
      <c r="J3" s="1040"/>
      <c r="K3" s="1040"/>
      <c r="L3" s="1040"/>
      <c r="M3" s="1040"/>
      <c r="N3" s="1040"/>
      <c r="O3" s="1040"/>
      <c r="P3" s="1040"/>
    </row>
    <row r="4" spans="2:16" ht="15.75"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7" t="s">
        <v>220</v>
      </c>
    </row>
    <row r="5" spans="2:16" ht="16.5" thickBot="1">
      <c r="B5" s="217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</row>
    <row r="6" spans="2:16" ht="24.75" thickBot="1">
      <c r="B6" s="118" t="s">
        <v>221</v>
      </c>
      <c r="C6" s="119" t="s">
        <v>60</v>
      </c>
      <c r="D6" s="119" t="s">
        <v>222</v>
      </c>
      <c r="E6" s="119" t="s">
        <v>223</v>
      </c>
      <c r="F6" s="119" t="s">
        <v>224</v>
      </c>
      <c r="G6" s="119" t="s">
        <v>225</v>
      </c>
      <c r="H6" s="119" t="s">
        <v>226</v>
      </c>
      <c r="I6" s="119" t="s">
        <v>227</v>
      </c>
      <c r="J6" s="119" t="s">
        <v>228</v>
      </c>
      <c r="K6" s="119" t="s">
        <v>229</v>
      </c>
      <c r="L6" s="119" t="s">
        <v>230</v>
      </c>
      <c r="M6" s="119" t="s">
        <v>231</v>
      </c>
      <c r="N6" s="119" t="s">
        <v>232</v>
      </c>
      <c r="O6" s="119" t="s">
        <v>233</v>
      </c>
      <c r="P6" s="120" t="s">
        <v>234</v>
      </c>
    </row>
    <row r="7" spans="2:16" ht="13.5" thickBot="1">
      <c r="B7" s="121" t="s">
        <v>20</v>
      </c>
      <c r="C7" s="1035" t="s">
        <v>92</v>
      </c>
      <c r="D7" s="1036"/>
      <c r="E7" s="1036"/>
      <c r="F7" s="1036"/>
      <c r="G7" s="1036"/>
      <c r="H7" s="1036"/>
      <c r="I7" s="1036"/>
      <c r="J7" s="1036"/>
      <c r="K7" s="1036"/>
      <c r="L7" s="1036"/>
      <c r="M7" s="1036"/>
      <c r="N7" s="1036"/>
      <c r="O7" s="1036"/>
      <c r="P7" s="1037"/>
    </row>
    <row r="8" spans="2:16" ht="12.75">
      <c r="B8" s="124" t="s">
        <v>21</v>
      </c>
      <c r="C8" s="125" t="s">
        <v>235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7">
        <f>SUM(D8:O8)</f>
        <v>0</v>
      </c>
    </row>
    <row r="9" spans="2:19" ht="12.75">
      <c r="B9" s="128" t="s">
        <v>22</v>
      </c>
      <c r="C9" s="129" t="s">
        <v>236</v>
      </c>
      <c r="D9" s="130">
        <v>869</v>
      </c>
      <c r="E9" s="130">
        <f>+D9</f>
        <v>869</v>
      </c>
      <c r="F9" s="130">
        <f aca="true" t="shared" si="0" ref="F9:N9">+E9</f>
        <v>869</v>
      </c>
      <c r="G9" s="130">
        <f t="shared" si="0"/>
        <v>869</v>
      </c>
      <c r="H9" s="130">
        <f t="shared" si="0"/>
        <v>869</v>
      </c>
      <c r="I9" s="130">
        <f t="shared" si="0"/>
        <v>869</v>
      </c>
      <c r="J9" s="130">
        <f t="shared" si="0"/>
        <v>869</v>
      </c>
      <c r="K9" s="130">
        <f t="shared" si="0"/>
        <v>869</v>
      </c>
      <c r="L9" s="130">
        <f t="shared" si="0"/>
        <v>869</v>
      </c>
      <c r="M9" s="130">
        <f t="shared" si="0"/>
        <v>869</v>
      </c>
      <c r="N9" s="130">
        <f t="shared" si="0"/>
        <v>869</v>
      </c>
      <c r="O9" s="130">
        <f>+N9-1+10</f>
        <v>878</v>
      </c>
      <c r="P9" s="131">
        <f aca="true" t="shared" si="1" ref="P9:P15">SUM(D9:O9)</f>
        <v>10437</v>
      </c>
      <c r="Q9" s="37">
        <f>+'3.mell. bevétel'!D10</f>
        <v>10437</v>
      </c>
      <c r="R9">
        <f>+Q9/12</f>
        <v>869.75</v>
      </c>
      <c r="S9" s="37">
        <f>+Q9-P9</f>
        <v>0</v>
      </c>
    </row>
    <row r="10" spans="2:19" ht="12.75">
      <c r="B10" s="128" t="s">
        <v>23</v>
      </c>
      <c r="C10" s="132" t="s">
        <v>237</v>
      </c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1">
        <f t="shared" si="1"/>
        <v>0</v>
      </c>
      <c r="S10" s="37">
        <f>+Q10-P10</f>
        <v>0</v>
      </c>
    </row>
    <row r="11" spans="2:19" ht="12.75">
      <c r="B11" s="128" t="s">
        <v>24</v>
      </c>
      <c r="C11" s="129" t="s">
        <v>238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1">
        <f t="shared" si="1"/>
        <v>0</v>
      </c>
      <c r="R11">
        <f>+Q13/12</f>
        <v>3333.3333333333335</v>
      </c>
      <c r="S11" s="37">
        <f>+Q13-P11</f>
        <v>40000</v>
      </c>
    </row>
    <row r="12" spans="2:19" ht="12.75">
      <c r="B12" s="128" t="s">
        <v>25</v>
      </c>
      <c r="C12" s="129" t="s">
        <v>239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1">
        <f t="shared" si="1"/>
        <v>0</v>
      </c>
      <c r="S12" s="37">
        <f>+Q12-P12</f>
        <v>0</v>
      </c>
    </row>
    <row r="13" spans="2:19" ht="12.75">
      <c r="B13" s="128" t="s">
        <v>26</v>
      </c>
      <c r="C13" s="129" t="s">
        <v>240</v>
      </c>
      <c r="D13" s="130">
        <v>3333</v>
      </c>
      <c r="E13" s="130">
        <f>+D13</f>
        <v>3333</v>
      </c>
      <c r="F13" s="130">
        <f aca="true" t="shared" si="2" ref="F13:N13">+E13</f>
        <v>3333</v>
      </c>
      <c r="G13" s="130">
        <f t="shared" si="2"/>
        <v>3333</v>
      </c>
      <c r="H13" s="130">
        <f t="shared" si="2"/>
        <v>3333</v>
      </c>
      <c r="I13" s="130">
        <f t="shared" si="2"/>
        <v>3333</v>
      </c>
      <c r="J13" s="130">
        <f t="shared" si="2"/>
        <v>3333</v>
      </c>
      <c r="K13" s="130">
        <f t="shared" si="2"/>
        <v>3333</v>
      </c>
      <c r="L13" s="130">
        <f t="shared" si="2"/>
        <v>3333</v>
      </c>
      <c r="M13" s="130">
        <f t="shared" si="2"/>
        <v>3333</v>
      </c>
      <c r="N13" s="130">
        <f t="shared" si="2"/>
        <v>3333</v>
      </c>
      <c r="O13" s="130">
        <f>+N13+4</f>
        <v>3337</v>
      </c>
      <c r="P13" s="131">
        <f t="shared" si="1"/>
        <v>40000</v>
      </c>
      <c r="Q13" s="37">
        <f>+'3.mell. bevétel'!F10</f>
        <v>40000</v>
      </c>
      <c r="S13" s="37">
        <f>+Q13-P13</f>
        <v>0</v>
      </c>
    </row>
    <row r="14" spans="2:16" ht="12.75">
      <c r="B14" s="128" t="s">
        <v>27</v>
      </c>
      <c r="C14" s="129" t="s">
        <v>241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1">
        <f t="shared" si="1"/>
        <v>0</v>
      </c>
    </row>
    <row r="15" spans="2:16" ht="22.5">
      <c r="B15" s="128" t="s">
        <v>28</v>
      </c>
      <c r="C15" s="134" t="s">
        <v>242</v>
      </c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1">
        <f t="shared" si="1"/>
        <v>0</v>
      </c>
    </row>
    <row r="16" spans="2:18" ht="13.5" thickBot="1">
      <c r="B16" s="128" t="s">
        <v>29</v>
      </c>
      <c r="C16" s="129" t="s">
        <v>187</v>
      </c>
      <c r="D16" s="130">
        <f>+D30-D8-D9-D10-D11-D12-D13-D14-D15</f>
        <v>6453</v>
      </c>
      <c r="E16" s="130">
        <f aca="true" t="shared" si="3" ref="E16:N16">+E30-E8-E9-E10-E11-E12-E13-E14-E15</f>
        <v>6453</v>
      </c>
      <c r="F16" s="130">
        <f t="shared" si="3"/>
        <v>6453</v>
      </c>
      <c r="G16" s="130">
        <f t="shared" si="3"/>
        <v>6453</v>
      </c>
      <c r="H16" s="130">
        <f t="shared" si="3"/>
        <v>6453</v>
      </c>
      <c r="I16" s="130">
        <f t="shared" si="3"/>
        <v>6453</v>
      </c>
      <c r="J16" s="130">
        <f t="shared" si="3"/>
        <v>6453</v>
      </c>
      <c r="K16" s="130">
        <f t="shared" si="3"/>
        <v>6453</v>
      </c>
      <c r="L16" s="130">
        <f t="shared" si="3"/>
        <v>6453</v>
      </c>
      <c r="M16" s="130">
        <f t="shared" si="3"/>
        <v>6453</v>
      </c>
      <c r="N16" s="130">
        <f t="shared" si="3"/>
        <v>6453</v>
      </c>
      <c r="O16" s="130">
        <f>+O30-O8-O9-O10-O11-O12-O13-O14-O15</f>
        <v>6442</v>
      </c>
      <c r="P16" s="135">
        <f>SUM(D16:O16)</f>
        <v>77425</v>
      </c>
      <c r="Q16" s="37">
        <f>+'3.mell. bevétel'!I10</f>
        <v>77425</v>
      </c>
      <c r="R16" s="37">
        <f>+Q16-P16</f>
        <v>0</v>
      </c>
    </row>
    <row r="17" spans="2:18" ht="13.5" thickBot="1">
      <c r="B17" s="121" t="s">
        <v>30</v>
      </c>
      <c r="C17" s="136" t="s">
        <v>243</v>
      </c>
      <c r="D17" s="137">
        <f>SUM(D8:D16)</f>
        <v>10655</v>
      </c>
      <c r="E17" s="137">
        <f aca="true" t="shared" si="4" ref="E17:P17">SUM(E8:E16)</f>
        <v>10655</v>
      </c>
      <c r="F17" s="137">
        <f t="shared" si="4"/>
        <v>10655</v>
      </c>
      <c r="G17" s="137">
        <f t="shared" si="4"/>
        <v>10655</v>
      </c>
      <c r="H17" s="137">
        <f t="shared" si="4"/>
        <v>10655</v>
      </c>
      <c r="I17" s="137">
        <f t="shared" si="4"/>
        <v>10655</v>
      </c>
      <c r="J17" s="137">
        <f t="shared" si="4"/>
        <v>10655</v>
      </c>
      <c r="K17" s="137">
        <f t="shared" si="4"/>
        <v>10655</v>
      </c>
      <c r="L17" s="137">
        <f t="shared" si="4"/>
        <v>10655</v>
      </c>
      <c r="M17" s="137">
        <f t="shared" si="4"/>
        <v>10655</v>
      </c>
      <c r="N17" s="137">
        <f t="shared" si="4"/>
        <v>10655</v>
      </c>
      <c r="O17" s="137">
        <f t="shared" si="4"/>
        <v>10657</v>
      </c>
      <c r="P17" s="137">
        <f t="shared" si="4"/>
        <v>127862</v>
      </c>
      <c r="Q17" s="204">
        <f>+'3.mell. bevétel'!K10</f>
        <v>127862</v>
      </c>
      <c r="R17" s="37">
        <f>+Q17-P17</f>
        <v>0</v>
      </c>
    </row>
    <row r="18" spans="2:16" ht="13.5" thickBot="1">
      <c r="B18" s="121" t="s">
        <v>31</v>
      </c>
      <c r="C18" s="1035" t="s">
        <v>113</v>
      </c>
      <c r="D18" s="1036"/>
      <c r="E18" s="1036"/>
      <c r="F18" s="1036"/>
      <c r="G18" s="1036"/>
      <c r="H18" s="1036"/>
      <c r="I18" s="1036"/>
      <c r="J18" s="1036"/>
      <c r="K18" s="1036"/>
      <c r="L18" s="1036"/>
      <c r="M18" s="1036"/>
      <c r="N18" s="1036"/>
      <c r="O18" s="1036"/>
      <c r="P18" s="1038"/>
    </row>
    <row r="19" spans="2:19" ht="12.75">
      <c r="B19" s="139" t="s">
        <v>32</v>
      </c>
      <c r="C19" s="140" t="s">
        <v>180</v>
      </c>
      <c r="D19" s="133">
        <v>5660</v>
      </c>
      <c r="E19" s="133">
        <f>+D19</f>
        <v>5660</v>
      </c>
      <c r="F19" s="133">
        <f aca="true" t="shared" si="5" ref="F19:N19">+E19</f>
        <v>5660</v>
      </c>
      <c r="G19" s="133">
        <f t="shared" si="5"/>
        <v>5660</v>
      </c>
      <c r="H19" s="133">
        <f t="shared" si="5"/>
        <v>5660</v>
      </c>
      <c r="I19" s="133">
        <f t="shared" si="5"/>
        <v>5660</v>
      </c>
      <c r="J19" s="133">
        <f t="shared" si="5"/>
        <v>5660</v>
      </c>
      <c r="K19" s="133">
        <f t="shared" si="5"/>
        <v>5660</v>
      </c>
      <c r="L19" s="133">
        <f t="shared" si="5"/>
        <v>5660</v>
      </c>
      <c r="M19" s="133">
        <f t="shared" si="5"/>
        <v>5660</v>
      </c>
      <c r="N19" s="133">
        <f t="shared" si="5"/>
        <v>5660</v>
      </c>
      <c r="O19" s="133">
        <f>+N19-2+4</f>
        <v>5662</v>
      </c>
      <c r="P19" s="141">
        <f>SUM(D19:O19)</f>
        <v>67922</v>
      </c>
      <c r="Q19" s="37">
        <f>+'4.mell. kiadás'!D11</f>
        <v>67922</v>
      </c>
      <c r="R19">
        <f>+Q19/12</f>
        <v>5660.166666666667</v>
      </c>
      <c r="S19" s="37">
        <f>+Q19-P19</f>
        <v>0</v>
      </c>
    </row>
    <row r="20" spans="2:19" ht="24.75" customHeight="1">
      <c r="B20" s="128" t="s">
        <v>33</v>
      </c>
      <c r="C20" s="134" t="s">
        <v>244</v>
      </c>
      <c r="D20" s="130">
        <v>1496</v>
      </c>
      <c r="E20" s="130">
        <f>+D20</f>
        <v>1496</v>
      </c>
      <c r="F20" s="130">
        <f aca="true" t="shared" si="6" ref="F20:N20">+E20</f>
        <v>1496</v>
      </c>
      <c r="G20" s="130">
        <f t="shared" si="6"/>
        <v>1496</v>
      </c>
      <c r="H20" s="130">
        <f t="shared" si="6"/>
        <v>1496</v>
      </c>
      <c r="I20" s="130">
        <f t="shared" si="6"/>
        <v>1496</v>
      </c>
      <c r="J20" s="130">
        <f t="shared" si="6"/>
        <v>1496</v>
      </c>
      <c r="K20" s="130">
        <f t="shared" si="6"/>
        <v>1496</v>
      </c>
      <c r="L20" s="130">
        <f t="shared" si="6"/>
        <v>1496</v>
      </c>
      <c r="M20" s="130">
        <f t="shared" si="6"/>
        <v>1496</v>
      </c>
      <c r="N20" s="130">
        <f t="shared" si="6"/>
        <v>1496</v>
      </c>
      <c r="O20" s="130">
        <f>+N20-1</f>
        <v>1495</v>
      </c>
      <c r="P20" s="141">
        <f aca="true" t="shared" si="7" ref="P20:P28">SUM(D20:O20)</f>
        <v>17951</v>
      </c>
      <c r="Q20" s="37">
        <f>+'4.mell. kiadás'!E11</f>
        <v>17951</v>
      </c>
      <c r="R20">
        <f>+Q20/12</f>
        <v>1495.9166666666667</v>
      </c>
      <c r="S20" s="37">
        <f>+Q20-P20</f>
        <v>0</v>
      </c>
    </row>
    <row r="21" spans="2:19" ht="12.75">
      <c r="B21" s="128" t="s">
        <v>34</v>
      </c>
      <c r="C21" s="129" t="s">
        <v>202</v>
      </c>
      <c r="D21" s="130">
        <v>3499</v>
      </c>
      <c r="E21" s="130">
        <f>+D21</f>
        <v>3499</v>
      </c>
      <c r="F21" s="130">
        <f aca="true" t="shared" si="8" ref="F21:N21">+E21</f>
        <v>3499</v>
      </c>
      <c r="G21" s="130">
        <f t="shared" si="8"/>
        <v>3499</v>
      </c>
      <c r="H21" s="130">
        <f t="shared" si="8"/>
        <v>3499</v>
      </c>
      <c r="I21" s="130">
        <f t="shared" si="8"/>
        <v>3499</v>
      </c>
      <c r="J21" s="130">
        <f t="shared" si="8"/>
        <v>3499</v>
      </c>
      <c r="K21" s="130">
        <f t="shared" si="8"/>
        <v>3499</v>
      </c>
      <c r="L21" s="130">
        <f t="shared" si="8"/>
        <v>3499</v>
      </c>
      <c r="M21" s="130">
        <f t="shared" si="8"/>
        <v>3499</v>
      </c>
      <c r="N21" s="130">
        <f t="shared" si="8"/>
        <v>3499</v>
      </c>
      <c r="O21" s="130">
        <f>+N21-4+5</f>
        <v>3500</v>
      </c>
      <c r="P21" s="141">
        <f t="shared" si="7"/>
        <v>41989</v>
      </c>
      <c r="Q21" s="37">
        <f>+'4.mell. kiadás'!F11</f>
        <v>41989</v>
      </c>
      <c r="R21">
        <f>+Q21/12</f>
        <v>3499.0833333333335</v>
      </c>
      <c r="S21" s="37">
        <f>+Q21-P21</f>
        <v>0</v>
      </c>
    </row>
    <row r="22" spans="2:16" ht="12.75">
      <c r="B22" s="128" t="s">
        <v>35</v>
      </c>
      <c r="C22" s="129" t="s">
        <v>245</v>
      </c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41">
        <f t="shared" si="7"/>
        <v>0</v>
      </c>
    </row>
    <row r="23" spans="2:16" ht="12.75">
      <c r="B23" s="128" t="s">
        <v>36</v>
      </c>
      <c r="C23" s="129" t="s">
        <v>246</v>
      </c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41">
        <f t="shared" si="7"/>
        <v>0</v>
      </c>
    </row>
    <row r="24" spans="2:16" ht="12.75">
      <c r="B24" s="128" t="s">
        <v>37</v>
      </c>
      <c r="C24" s="129" t="s">
        <v>247</v>
      </c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41">
        <f t="shared" si="7"/>
        <v>0</v>
      </c>
    </row>
    <row r="25" spans="2:16" ht="21" customHeight="1">
      <c r="B25" s="128" t="s">
        <v>39</v>
      </c>
      <c r="C25" s="134" t="s">
        <v>248</v>
      </c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41">
        <f t="shared" si="7"/>
        <v>0</v>
      </c>
    </row>
    <row r="26" spans="2:16" ht="12.75">
      <c r="B26" s="128" t="s">
        <v>41</v>
      </c>
      <c r="C26" s="129" t="s">
        <v>249</v>
      </c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41">
        <f t="shared" si="7"/>
        <v>0</v>
      </c>
    </row>
    <row r="27" spans="2:16" ht="12.75">
      <c r="B27" s="128" t="s">
        <v>42</v>
      </c>
      <c r="C27" s="129" t="s">
        <v>250</v>
      </c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41">
        <f t="shared" si="7"/>
        <v>0</v>
      </c>
    </row>
    <row r="28" spans="2:16" ht="12.75">
      <c r="B28" s="128" t="s">
        <v>43</v>
      </c>
      <c r="C28" s="129" t="s">
        <v>251</v>
      </c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41">
        <f t="shared" si="7"/>
        <v>0</v>
      </c>
    </row>
    <row r="29" spans="2:16" ht="13.5" thickBot="1">
      <c r="B29" s="128" t="s">
        <v>44</v>
      </c>
      <c r="C29" s="129" t="s">
        <v>252</v>
      </c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41">
        <f>SUM(D29:O29)</f>
        <v>0</v>
      </c>
    </row>
    <row r="30" spans="2:18" ht="13.5" thickBot="1">
      <c r="B30" s="142" t="s">
        <v>45</v>
      </c>
      <c r="C30" s="136" t="s">
        <v>253</v>
      </c>
      <c r="D30" s="137">
        <f>SUM(D19:D29)</f>
        <v>10655</v>
      </c>
      <c r="E30" s="137">
        <f aca="true" t="shared" si="9" ref="E30:O30">SUM(E19:E29)</f>
        <v>10655</v>
      </c>
      <c r="F30" s="137">
        <f t="shared" si="9"/>
        <v>10655</v>
      </c>
      <c r="G30" s="137">
        <f t="shared" si="9"/>
        <v>10655</v>
      </c>
      <c r="H30" s="137">
        <f t="shared" si="9"/>
        <v>10655</v>
      </c>
      <c r="I30" s="137">
        <f t="shared" si="9"/>
        <v>10655</v>
      </c>
      <c r="J30" s="137">
        <f t="shared" si="9"/>
        <v>10655</v>
      </c>
      <c r="K30" s="137">
        <f t="shared" si="9"/>
        <v>10655</v>
      </c>
      <c r="L30" s="137">
        <f t="shared" si="9"/>
        <v>10655</v>
      </c>
      <c r="M30" s="137">
        <f t="shared" si="9"/>
        <v>10655</v>
      </c>
      <c r="N30" s="137">
        <f t="shared" si="9"/>
        <v>10655</v>
      </c>
      <c r="O30" s="137">
        <f t="shared" si="9"/>
        <v>10657</v>
      </c>
      <c r="P30" s="143">
        <f>SUM(P19:P29)</f>
        <v>127862</v>
      </c>
      <c r="Q30" s="205">
        <f>SUM(Q19:Q29)</f>
        <v>127862</v>
      </c>
      <c r="R30" s="37">
        <f>+Q30-P30</f>
        <v>0</v>
      </c>
    </row>
    <row r="31" spans="2:17" ht="13.5" thickBot="1">
      <c r="B31" s="142" t="s">
        <v>46</v>
      </c>
      <c r="C31" s="144" t="s">
        <v>254</v>
      </c>
      <c r="D31" s="145">
        <f>+D30-D17</f>
        <v>0</v>
      </c>
      <c r="E31" s="145">
        <f aca="true" t="shared" si="10" ref="E31:P31">+E30-E17</f>
        <v>0</v>
      </c>
      <c r="F31" s="145">
        <f t="shared" si="10"/>
        <v>0</v>
      </c>
      <c r="G31" s="145">
        <f t="shared" si="10"/>
        <v>0</v>
      </c>
      <c r="H31" s="145">
        <f t="shared" si="10"/>
        <v>0</v>
      </c>
      <c r="I31" s="145">
        <f t="shared" si="10"/>
        <v>0</v>
      </c>
      <c r="J31" s="145">
        <f t="shared" si="10"/>
        <v>0</v>
      </c>
      <c r="K31" s="145">
        <f t="shared" si="10"/>
        <v>0</v>
      </c>
      <c r="L31" s="145">
        <f t="shared" si="10"/>
        <v>0</v>
      </c>
      <c r="M31" s="145">
        <f t="shared" si="10"/>
        <v>0</v>
      </c>
      <c r="N31" s="145">
        <f t="shared" si="10"/>
        <v>0</v>
      </c>
      <c r="O31" s="145">
        <f t="shared" si="10"/>
        <v>0</v>
      </c>
      <c r="P31" s="145">
        <f t="shared" si="10"/>
        <v>0</v>
      </c>
      <c r="Q31" s="37">
        <f>+'4.mell. kiadás'!M11</f>
        <v>127862</v>
      </c>
    </row>
    <row r="32" spans="2:16" ht="15.75">
      <c r="B32" s="14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5"/>
    </row>
    <row r="33" spans="2:16" ht="15.75">
      <c r="B33" s="115"/>
      <c r="C33" s="147"/>
      <c r="D33" s="149"/>
      <c r="E33" s="148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5"/>
    </row>
  </sheetData>
  <sheetProtection/>
  <mergeCells count="5">
    <mergeCell ref="C7:P7"/>
    <mergeCell ref="C18:P18"/>
    <mergeCell ref="O1:P1"/>
    <mergeCell ref="B2:P2"/>
    <mergeCell ref="B3:P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5" r:id="rId1"/>
  <headerFooter alignWithMargins="0">
    <oddHeader>&amp;L18. melléklet a 2015. évi 3/2015.(II.25.) Önkormányzati költségvetési rendelethez&amp;R2015.02.25</oddHeader>
    <oddFooter>&amp;R&amp;F</oddFooter>
  </headerFooter>
  <colBreaks count="1" manualBreakCount="1">
    <brk id="16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B1:S33"/>
  <sheetViews>
    <sheetView view="pageLayout" workbookViewId="0" topLeftCell="B1">
      <selection activeCell="O22" sqref="O22"/>
    </sheetView>
  </sheetViews>
  <sheetFormatPr defaultColWidth="9.140625" defaultRowHeight="12.75"/>
  <cols>
    <col min="1" max="1" width="5.57421875" style="0" customWidth="1"/>
    <col min="2" max="2" width="4.8515625" style="0" bestFit="1" customWidth="1"/>
    <col min="3" max="3" width="35.57421875" style="0" customWidth="1"/>
  </cols>
  <sheetData>
    <row r="1" spans="15:16" ht="12.75">
      <c r="O1" s="1039"/>
      <c r="P1" s="1039"/>
    </row>
    <row r="2" spans="2:16" ht="15.75">
      <c r="B2" s="1040" t="s">
        <v>286</v>
      </c>
      <c r="C2" s="1041"/>
      <c r="D2" s="1041"/>
      <c r="E2" s="1041"/>
      <c r="F2" s="1041"/>
      <c r="G2" s="1041"/>
      <c r="H2" s="1041"/>
      <c r="I2" s="1041"/>
      <c r="J2" s="1041"/>
      <c r="K2" s="1041"/>
      <c r="L2" s="1041"/>
      <c r="M2" s="1041"/>
      <c r="N2" s="1041"/>
      <c r="O2" s="1041"/>
      <c r="P2" s="1041"/>
    </row>
    <row r="3" spans="2:16" ht="15.75">
      <c r="B3" s="1040" t="s">
        <v>601</v>
      </c>
      <c r="C3" s="1040"/>
      <c r="D3" s="1040"/>
      <c r="E3" s="1040"/>
      <c r="F3" s="1040"/>
      <c r="G3" s="1040"/>
      <c r="H3" s="1040"/>
      <c r="I3" s="1040"/>
      <c r="J3" s="1040"/>
      <c r="K3" s="1040"/>
      <c r="L3" s="1040"/>
      <c r="M3" s="1040"/>
      <c r="N3" s="1040"/>
      <c r="O3" s="1040"/>
      <c r="P3" s="1040"/>
    </row>
    <row r="4" spans="2:16" ht="15.75"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7" t="s">
        <v>220</v>
      </c>
    </row>
    <row r="5" spans="2:16" ht="16.5" thickBot="1">
      <c r="B5" s="217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</row>
    <row r="6" spans="2:16" ht="24.75" thickBot="1">
      <c r="B6" s="118" t="s">
        <v>221</v>
      </c>
      <c r="C6" s="119" t="s">
        <v>60</v>
      </c>
      <c r="D6" s="119" t="s">
        <v>222</v>
      </c>
      <c r="E6" s="119" t="s">
        <v>223</v>
      </c>
      <c r="F6" s="119" t="s">
        <v>224</v>
      </c>
      <c r="G6" s="119" t="s">
        <v>225</v>
      </c>
      <c r="H6" s="119" t="s">
        <v>226</v>
      </c>
      <c r="I6" s="119" t="s">
        <v>227</v>
      </c>
      <c r="J6" s="119" t="s">
        <v>228</v>
      </c>
      <c r="K6" s="119" t="s">
        <v>229</v>
      </c>
      <c r="L6" s="119" t="s">
        <v>230</v>
      </c>
      <c r="M6" s="119" t="s">
        <v>231</v>
      </c>
      <c r="N6" s="119" t="s">
        <v>232</v>
      </c>
      <c r="O6" s="119" t="s">
        <v>233</v>
      </c>
      <c r="P6" s="120" t="s">
        <v>234</v>
      </c>
    </row>
    <row r="7" spans="2:16" ht="13.5" thickBot="1">
      <c r="B7" s="121" t="s">
        <v>20</v>
      </c>
      <c r="C7" s="1035" t="s">
        <v>92</v>
      </c>
      <c r="D7" s="1036"/>
      <c r="E7" s="1036"/>
      <c r="F7" s="1036"/>
      <c r="G7" s="1036"/>
      <c r="H7" s="1036"/>
      <c r="I7" s="1036"/>
      <c r="J7" s="1036"/>
      <c r="K7" s="1036"/>
      <c r="L7" s="1036"/>
      <c r="M7" s="1036"/>
      <c r="N7" s="1036"/>
      <c r="O7" s="1036"/>
      <c r="P7" s="1037"/>
    </row>
    <row r="8" spans="2:16" ht="12.75">
      <c r="B8" s="124" t="s">
        <v>21</v>
      </c>
      <c r="C8" s="125" t="s">
        <v>235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7">
        <f>SUM(D8:O8)</f>
        <v>0</v>
      </c>
    </row>
    <row r="9" spans="2:19" ht="12.75">
      <c r="B9" s="128" t="s">
        <v>22</v>
      </c>
      <c r="C9" s="129" t="s">
        <v>236</v>
      </c>
      <c r="D9" s="130">
        <v>6728</v>
      </c>
      <c r="E9" s="130">
        <f>+D9</f>
        <v>6728</v>
      </c>
      <c r="F9" s="130">
        <f aca="true" t="shared" si="0" ref="F9:N9">+E9</f>
        <v>6728</v>
      </c>
      <c r="G9" s="130">
        <f t="shared" si="0"/>
        <v>6728</v>
      </c>
      <c r="H9" s="130">
        <f t="shared" si="0"/>
        <v>6728</v>
      </c>
      <c r="I9" s="130">
        <f t="shared" si="0"/>
        <v>6728</v>
      </c>
      <c r="J9" s="130">
        <f t="shared" si="0"/>
        <v>6728</v>
      </c>
      <c r="K9" s="130">
        <f t="shared" si="0"/>
        <v>6728</v>
      </c>
      <c r="L9" s="130">
        <f t="shared" si="0"/>
        <v>6728</v>
      </c>
      <c r="M9" s="130">
        <f t="shared" si="0"/>
        <v>6728</v>
      </c>
      <c r="N9" s="130">
        <f t="shared" si="0"/>
        <v>6728</v>
      </c>
      <c r="O9" s="130">
        <f>+N9+4+7</f>
        <v>6739</v>
      </c>
      <c r="P9" s="131">
        <f>SUM(D9:O9)</f>
        <v>80747</v>
      </c>
      <c r="Q9">
        <f>+'3.mell. bevétel'!D6</f>
        <v>80747</v>
      </c>
      <c r="R9">
        <f>+Q9/12</f>
        <v>6728.916666666667</v>
      </c>
      <c r="S9" s="37">
        <f>+Q9-P9</f>
        <v>0</v>
      </c>
    </row>
    <row r="10" spans="2:16" ht="12.75">
      <c r="B10" s="128" t="s">
        <v>23</v>
      </c>
      <c r="C10" s="132" t="s">
        <v>237</v>
      </c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1">
        <f aca="true" t="shared" si="1" ref="P10:P16">SUM(D10:O10)</f>
        <v>0</v>
      </c>
    </row>
    <row r="11" spans="2:16" ht="12.75">
      <c r="B11" s="128" t="s">
        <v>24</v>
      </c>
      <c r="C11" s="129" t="s">
        <v>238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1">
        <f t="shared" si="1"/>
        <v>0</v>
      </c>
    </row>
    <row r="12" spans="2:16" ht="12.75">
      <c r="B12" s="128" t="s">
        <v>25</v>
      </c>
      <c r="C12" s="129" t="s">
        <v>239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1">
        <f t="shared" si="1"/>
        <v>0</v>
      </c>
    </row>
    <row r="13" spans="2:16" ht="12.75">
      <c r="B13" s="128" t="s">
        <v>26</v>
      </c>
      <c r="C13" s="129" t="s">
        <v>240</v>
      </c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1">
        <f t="shared" si="1"/>
        <v>0</v>
      </c>
    </row>
    <row r="14" spans="2:16" ht="12.75">
      <c r="B14" s="128" t="s">
        <v>27</v>
      </c>
      <c r="C14" s="129" t="s">
        <v>241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1">
        <f t="shared" si="1"/>
        <v>0</v>
      </c>
    </row>
    <row r="15" spans="2:18" ht="22.5">
      <c r="B15" s="128" t="s">
        <v>28</v>
      </c>
      <c r="C15" s="134" t="s">
        <v>242</v>
      </c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1">
        <f t="shared" si="1"/>
        <v>0</v>
      </c>
      <c r="R15">
        <f>SUM(Q9:Q16)</f>
        <v>191835</v>
      </c>
    </row>
    <row r="16" spans="2:19" ht="13.5" thickBot="1">
      <c r="B16" s="128" t="s">
        <v>29</v>
      </c>
      <c r="C16" s="129" t="s">
        <v>187</v>
      </c>
      <c r="D16" s="130">
        <f>+D30-D8-D9-D10-D11-D12-D13-D14</f>
        <v>9257</v>
      </c>
      <c r="E16" s="130">
        <f aca="true" t="shared" si="2" ref="E16:O16">+E30-E8-E9-E10-E11-E12-E13-E14</f>
        <v>9257</v>
      </c>
      <c r="F16" s="130">
        <f t="shared" si="2"/>
        <v>9257</v>
      </c>
      <c r="G16" s="130">
        <f t="shared" si="2"/>
        <v>9257</v>
      </c>
      <c r="H16" s="130">
        <f t="shared" si="2"/>
        <v>9257</v>
      </c>
      <c r="I16" s="130">
        <f t="shared" si="2"/>
        <v>9257</v>
      </c>
      <c r="J16" s="130">
        <f t="shared" si="2"/>
        <v>9257</v>
      </c>
      <c r="K16" s="130">
        <f t="shared" si="2"/>
        <v>9257</v>
      </c>
      <c r="L16" s="130">
        <f t="shared" si="2"/>
        <v>9257</v>
      </c>
      <c r="M16" s="130">
        <f t="shared" si="2"/>
        <v>9257</v>
      </c>
      <c r="N16" s="130">
        <f t="shared" si="2"/>
        <v>9257</v>
      </c>
      <c r="O16" s="130">
        <f t="shared" si="2"/>
        <v>9261</v>
      </c>
      <c r="P16" s="131">
        <f t="shared" si="1"/>
        <v>111088</v>
      </c>
      <c r="Q16" s="37">
        <f>+'3.mell. bevétel'!I6</f>
        <v>111088</v>
      </c>
      <c r="S16" s="37">
        <f>+Q16-P16</f>
        <v>0</v>
      </c>
    </row>
    <row r="17" spans="2:18" ht="13.5" thickBot="1">
      <c r="B17" s="121" t="s">
        <v>30</v>
      </c>
      <c r="C17" s="136" t="s">
        <v>243</v>
      </c>
      <c r="D17" s="137">
        <f>SUM(D8:D16)</f>
        <v>15985</v>
      </c>
      <c r="E17" s="137">
        <f aca="true" t="shared" si="3" ref="E17:P17">SUM(E8:E16)</f>
        <v>15985</v>
      </c>
      <c r="F17" s="137">
        <f t="shared" si="3"/>
        <v>15985</v>
      </c>
      <c r="G17" s="137">
        <f t="shared" si="3"/>
        <v>15985</v>
      </c>
      <c r="H17" s="137">
        <f t="shared" si="3"/>
        <v>15985</v>
      </c>
      <c r="I17" s="137">
        <f t="shared" si="3"/>
        <v>15985</v>
      </c>
      <c r="J17" s="137">
        <f t="shared" si="3"/>
        <v>15985</v>
      </c>
      <c r="K17" s="137">
        <f t="shared" si="3"/>
        <v>15985</v>
      </c>
      <c r="L17" s="137">
        <f t="shared" si="3"/>
        <v>15985</v>
      </c>
      <c r="M17" s="137">
        <f t="shared" si="3"/>
        <v>15985</v>
      </c>
      <c r="N17" s="137">
        <f t="shared" si="3"/>
        <v>15985</v>
      </c>
      <c r="O17" s="137">
        <f t="shared" si="3"/>
        <v>16000</v>
      </c>
      <c r="P17" s="137">
        <f t="shared" si="3"/>
        <v>191835</v>
      </c>
      <c r="Q17" s="204">
        <f>+'3.mell. bevétel'!K6</f>
        <v>191835</v>
      </c>
      <c r="R17" s="37">
        <f>+Q17-P17</f>
        <v>0</v>
      </c>
    </row>
    <row r="18" spans="2:16" ht="13.5" thickBot="1">
      <c r="B18" s="121" t="s">
        <v>31</v>
      </c>
      <c r="C18" s="1035" t="s">
        <v>113</v>
      </c>
      <c r="D18" s="1036"/>
      <c r="E18" s="1036"/>
      <c r="F18" s="1036"/>
      <c r="G18" s="1036"/>
      <c r="H18" s="1036"/>
      <c r="I18" s="1036"/>
      <c r="J18" s="1036"/>
      <c r="K18" s="1036"/>
      <c r="L18" s="1036"/>
      <c r="M18" s="1036"/>
      <c r="N18" s="1036"/>
      <c r="O18" s="1036"/>
      <c r="P18" s="1038"/>
    </row>
    <row r="19" spans="2:19" ht="12.75">
      <c r="B19" s="139" t="s">
        <v>32</v>
      </c>
      <c r="C19" s="140" t="s">
        <v>180</v>
      </c>
      <c r="D19" s="133">
        <v>3891</v>
      </c>
      <c r="E19" s="133">
        <f>+D19</f>
        <v>3891</v>
      </c>
      <c r="F19" s="133">
        <f aca="true" t="shared" si="4" ref="F19:N19">+E19</f>
        <v>3891</v>
      </c>
      <c r="G19" s="133">
        <f t="shared" si="4"/>
        <v>3891</v>
      </c>
      <c r="H19" s="133">
        <f t="shared" si="4"/>
        <v>3891</v>
      </c>
      <c r="I19" s="133">
        <f t="shared" si="4"/>
        <v>3891</v>
      </c>
      <c r="J19" s="133">
        <f t="shared" si="4"/>
        <v>3891</v>
      </c>
      <c r="K19" s="133">
        <f t="shared" si="4"/>
        <v>3891</v>
      </c>
      <c r="L19" s="133">
        <f t="shared" si="4"/>
        <v>3891</v>
      </c>
      <c r="M19" s="133">
        <f t="shared" si="4"/>
        <v>3891</v>
      </c>
      <c r="N19" s="133">
        <f t="shared" si="4"/>
        <v>3891</v>
      </c>
      <c r="O19" s="133">
        <f>+N19+1+7</f>
        <v>3899</v>
      </c>
      <c r="P19" s="141">
        <f>SUM(D19:O19)</f>
        <v>46700</v>
      </c>
      <c r="Q19">
        <f>+'4.mell. kiadás'!D7</f>
        <v>46700</v>
      </c>
      <c r="R19">
        <f>+Q19/12</f>
        <v>3891.6666666666665</v>
      </c>
      <c r="S19" s="37">
        <f>+Q19-P19</f>
        <v>0</v>
      </c>
    </row>
    <row r="20" spans="2:19" ht="24.75" customHeight="1">
      <c r="B20" s="128" t="s">
        <v>33</v>
      </c>
      <c r="C20" s="134" t="s">
        <v>244</v>
      </c>
      <c r="D20" s="130">
        <v>1097</v>
      </c>
      <c r="E20" s="130">
        <f>+D20</f>
        <v>1097</v>
      </c>
      <c r="F20" s="130">
        <f aca="true" t="shared" si="5" ref="F20:N20">+E20</f>
        <v>1097</v>
      </c>
      <c r="G20" s="130">
        <f t="shared" si="5"/>
        <v>1097</v>
      </c>
      <c r="H20" s="130">
        <f t="shared" si="5"/>
        <v>1097</v>
      </c>
      <c r="I20" s="130">
        <f t="shared" si="5"/>
        <v>1097</v>
      </c>
      <c r="J20" s="130">
        <f t="shared" si="5"/>
        <v>1097</v>
      </c>
      <c r="K20" s="130">
        <f t="shared" si="5"/>
        <v>1097</v>
      </c>
      <c r="L20" s="130">
        <f t="shared" si="5"/>
        <v>1097</v>
      </c>
      <c r="M20" s="130">
        <f t="shared" si="5"/>
        <v>1097</v>
      </c>
      <c r="N20" s="130">
        <f t="shared" si="5"/>
        <v>1097</v>
      </c>
      <c r="O20" s="130">
        <f>+N20+3</f>
        <v>1100</v>
      </c>
      <c r="P20" s="141">
        <f>SUM(D20:O20)</f>
        <v>13167</v>
      </c>
      <c r="Q20">
        <f>+'4.mell. kiadás'!E7</f>
        <v>13167</v>
      </c>
      <c r="R20">
        <f>+Q20/12</f>
        <v>1097.25</v>
      </c>
      <c r="S20" s="37">
        <f>+Q20-P20</f>
        <v>0</v>
      </c>
    </row>
    <row r="21" spans="2:19" ht="12.75">
      <c r="B21" s="128" t="s">
        <v>34</v>
      </c>
      <c r="C21" s="129" t="s">
        <v>202</v>
      </c>
      <c r="D21" s="130">
        <v>10997</v>
      </c>
      <c r="E21" s="130">
        <f>+D21</f>
        <v>10997</v>
      </c>
      <c r="F21" s="130">
        <f aca="true" t="shared" si="6" ref="F21:N21">+E21</f>
        <v>10997</v>
      </c>
      <c r="G21" s="130">
        <f t="shared" si="6"/>
        <v>10997</v>
      </c>
      <c r="H21" s="130">
        <f t="shared" si="6"/>
        <v>10997</v>
      </c>
      <c r="I21" s="130">
        <f t="shared" si="6"/>
        <v>10997</v>
      </c>
      <c r="J21" s="130">
        <f t="shared" si="6"/>
        <v>10997</v>
      </c>
      <c r="K21" s="130">
        <f t="shared" si="6"/>
        <v>10997</v>
      </c>
      <c r="L21" s="130">
        <f t="shared" si="6"/>
        <v>10997</v>
      </c>
      <c r="M21" s="130">
        <f t="shared" si="6"/>
        <v>10997</v>
      </c>
      <c r="N21" s="130">
        <f t="shared" si="6"/>
        <v>10997</v>
      </c>
      <c r="O21" s="130">
        <f>+N21-1+8-3</f>
        <v>11001</v>
      </c>
      <c r="P21" s="141">
        <f aca="true" t="shared" si="7" ref="P21:P28">SUM(D21:O21)</f>
        <v>131968</v>
      </c>
      <c r="Q21">
        <f>+'4.mell. kiadás'!F7</f>
        <v>131968</v>
      </c>
      <c r="R21">
        <f>+Q21/12</f>
        <v>10997.333333333334</v>
      </c>
      <c r="S21" s="37">
        <f>+Q21-P21</f>
        <v>0</v>
      </c>
    </row>
    <row r="22" spans="2:16" ht="12.75">
      <c r="B22" s="128" t="s">
        <v>35</v>
      </c>
      <c r="C22" s="129" t="s">
        <v>245</v>
      </c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41">
        <f t="shared" si="7"/>
        <v>0</v>
      </c>
    </row>
    <row r="23" spans="2:16" ht="12.75">
      <c r="B23" s="128" t="s">
        <v>36</v>
      </c>
      <c r="C23" s="129" t="s">
        <v>246</v>
      </c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41">
        <f t="shared" si="7"/>
        <v>0</v>
      </c>
    </row>
    <row r="24" spans="2:16" ht="12.75">
      <c r="B24" s="128" t="s">
        <v>37</v>
      </c>
      <c r="C24" s="129" t="s">
        <v>247</v>
      </c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41">
        <f t="shared" si="7"/>
        <v>0</v>
      </c>
    </row>
    <row r="25" spans="2:16" ht="21" customHeight="1">
      <c r="B25" s="128" t="s">
        <v>39</v>
      </c>
      <c r="C25" s="134" t="s">
        <v>248</v>
      </c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41">
        <f t="shared" si="7"/>
        <v>0</v>
      </c>
    </row>
    <row r="26" spans="2:16" ht="12.75">
      <c r="B26" s="128" t="s">
        <v>41</v>
      </c>
      <c r="C26" s="129" t="s">
        <v>249</v>
      </c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41">
        <f t="shared" si="7"/>
        <v>0</v>
      </c>
    </row>
    <row r="27" spans="2:16" ht="12.75">
      <c r="B27" s="128" t="s">
        <v>42</v>
      </c>
      <c r="C27" s="129" t="s">
        <v>250</v>
      </c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41">
        <f t="shared" si="7"/>
        <v>0</v>
      </c>
    </row>
    <row r="28" spans="2:16" ht="12.75">
      <c r="B28" s="128" t="s">
        <v>43</v>
      </c>
      <c r="C28" s="129" t="s">
        <v>251</v>
      </c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41">
        <f t="shared" si="7"/>
        <v>0</v>
      </c>
    </row>
    <row r="29" spans="2:16" ht="13.5" thickBot="1">
      <c r="B29" s="128" t="s">
        <v>44</v>
      </c>
      <c r="C29" s="129" t="s">
        <v>252</v>
      </c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41">
        <f>SUM(D29:O29)</f>
        <v>0</v>
      </c>
    </row>
    <row r="30" spans="2:17" ht="13.5" thickBot="1">
      <c r="B30" s="142" t="s">
        <v>45</v>
      </c>
      <c r="C30" s="136" t="s">
        <v>253</v>
      </c>
      <c r="D30" s="137">
        <f>SUM(D19:D29)</f>
        <v>15985</v>
      </c>
      <c r="E30" s="137">
        <f aca="true" t="shared" si="8" ref="E30:O30">SUM(E19:E29)</f>
        <v>15985</v>
      </c>
      <c r="F30" s="137">
        <f t="shared" si="8"/>
        <v>15985</v>
      </c>
      <c r="G30" s="137">
        <f t="shared" si="8"/>
        <v>15985</v>
      </c>
      <c r="H30" s="137">
        <f t="shared" si="8"/>
        <v>15985</v>
      </c>
      <c r="I30" s="137">
        <f t="shared" si="8"/>
        <v>15985</v>
      </c>
      <c r="J30" s="137">
        <f t="shared" si="8"/>
        <v>15985</v>
      </c>
      <c r="K30" s="137">
        <f t="shared" si="8"/>
        <v>15985</v>
      </c>
      <c r="L30" s="137">
        <f t="shared" si="8"/>
        <v>15985</v>
      </c>
      <c r="M30" s="137">
        <f t="shared" si="8"/>
        <v>15985</v>
      </c>
      <c r="N30" s="137">
        <f t="shared" si="8"/>
        <v>15985</v>
      </c>
      <c r="O30" s="137">
        <f t="shared" si="8"/>
        <v>16000</v>
      </c>
      <c r="P30" s="143">
        <f>SUM(P19:P29)</f>
        <v>191835</v>
      </c>
      <c r="Q30" s="205">
        <f>SUM(Q19:Q29)</f>
        <v>191835</v>
      </c>
    </row>
    <row r="31" spans="2:17" ht="13.5" thickBot="1">
      <c r="B31" s="142" t="s">
        <v>46</v>
      </c>
      <c r="C31" s="144" t="s">
        <v>254</v>
      </c>
      <c r="D31" s="145">
        <f>+D30-D17</f>
        <v>0</v>
      </c>
      <c r="E31" s="145">
        <f aca="true" t="shared" si="9" ref="E31:P31">+E30-E17</f>
        <v>0</v>
      </c>
      <c r="F31" s="145">
        <f t="shared" si="9"/>
        <v>0</v>
      </c>
      <c r="G31" s="145">
        <f t="shared" si="9"/>
        <v>0</v>
      </c>
      <c r="H31" s="145">
        <f t="shared" si="9"/>
        <v>0</v>
      </c>
      <c r="I31" s="145">
        <f t="shared" si="9"/>
        <v>0</v>
      </c>
      <c r="J31" s="145">
        <f t="shared" si="9"/>
        <v>0</v>
      </c>
      <c r="K31" s="145">
        <f t="shared" si="9"/>
        <v>0</v>
      </c>
      <c r="L31" s="145">
        <f t="shared" si="9"/>
        <v>0</v>
      </c>
      <c r="M31" s="145">
        <f t="shared" si="9"/>
        <v>0</v>
      </c>
      <c r="N31" s="145">
        <f t="shared" si="9"/>
        <v>0</v>
      </c>
      <c r="O31" s="145">
        <f t="shared" si="9"/>
        <v>0</v>
      </c>
      <c r="P31" s="145">
        <f t="shared" si="9"/>
        <v>0</v>
      </c>
      <c r="Q31" s="37">
        <f>+'4.mell. kiadás'!M7</f>
        <v>191835</v>
      </c>
    </row>
    <row r="32" spans="2:16" ht="15.75">
      <c r="B32" s="14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5"/>
    </row>
    <row r="33" spans="2:16" ht="15.75">
      <c r="B33" s="115"/>
      <c r="C33" s="147"/>
      <c r="D33" s="149">
        <f>-D31</f>
        <v>0</v>
      </c>
      <c r="E33" s="148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5"/>
    </row>
  </sheetData>
  <sheetProtection/>
  <mergeCells count="5">
    <mergeCell ref="C7:P7"/>
    <mergeCell ref="C18:P18"/>
    <mergeCell ref="O1:P1"/>
    <mergeCell ref="B2:P2"/>
    <mergeCell ref="B3:P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8" r:id="rId1"/>
  <headerFooter alignWithMargins="0">
    <oddHeader>&amp;L19. melléklet a 2015. évi 3/2015.(II.25.) Önkormányzati költségvetési rendelethez&amp;R2015.02.25</oddHeader>
    <oddFooter>&amp;R&amp;F</oddFooter>
  </headerFooter>
  <colBreaks count="1" manualBreakCount="1">
    <brk id="16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B1:S33"/>
  <sheetViews>
    <sheetView view="pageLayout" workbookViewId="0" topLeftCell="A1">
      <selection activeCell="E40" sqref="E40"/>
    </sheetView>
  </sheetViews>
  <sheetFormatPr defaultColWidth="9.140625" defaultRowHeight="12.75"/>
  <cols>
    <col min="1" max="1" width="4.8515625" style="0" customWidth="1"/>
    <col min="2" max="2" width="4.8515625" style="0" bestFit="1" customWidth="1"/>
    <col min="3" max="3" width="35.57421875" style="0" customWidth="1"/>
  </cols>
  <sheetData>
    <row r="1" spans="15:16" ht="12.75">
      <c r="O1" s="1039"/>
      <c r="P1" s="1039"/>
    </row>
    <row r="2" spans="2:16" ht="15.75">
      <c r="B2" s="1040" t="s">
        <v>287</v>
      </c>
      <c r="C2" s="1041"/>
      <c r="D2" s="1041"/>
      <c r="E2" s="1041"/>
      <c r="F2" s="1041"/>
      <c r="G2" s="1041"/>
      <c r="H2" s="1041"/>
      <c r="I2" s="1041"/>
      <c r="J2" s="1041"/>
      <c r="K2" s="1041"/>
      <c r="L2" s="1041"/>
      <c r="M2" s="1041"/>
      <c r="N2" s="1041"/>
      <c r="O2" s="1041"/>
      <c r="P2" s="1041"/>
    </row>
    <row r="3" spans="2:16" ht="15.75">
      <c r="B3" s="1040" t="s">
        <v>601</v>
      </c>
      <c r="C3" s="1040"/>
      <c r="D3" s="1040"/>
      <c r="E3" s="1040"/>
      <c r="F3" s="1040"/>
      <c r="G3" s="1040"/>
      <c r="H3" s="1040"/>
      <c r="I3" s="1040"/>
      <c r="J3" s="1040"/>
      <c r="K3" s="1040"/>
      <c r="L3" s="1040"/>
      <c r="M3" s="1040"/>
      <c r="N3" s="1040"/>
      <c r="O3" s="1040"/>
      <c r="P3" s="1040"/>
    </row>
    <row r="4" spans="2:16" ht="15.75"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7" t="s">
        <v>220</v>
      </c>
    </row>
    <row r="5" spans="2:16" ht="16.5" thickBot="1">
      <c r="B5" s="217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</row>
    <row r="6" spans="2:16" ht="24.75" thickBot="1">
      <c r="B6" s="118" t="s">
        <v>221</v>
      </c>
      <c r="C6" s="119" t="s">
        <v>60</v>
      </c>
      <c r="D6" s="119" t="s">
        <v>222</v>
      </c>
      <c r="E6" s="119" t="s">
        <v>223</v>
      </c>
      <c r="F6" s="119" t="s">
        <v>224</v>
      </c>
      <c r="G6" s="119" t="s">
        <v>225</v>
      </c>
      <c r="H6" s="119" t="s">
        <v>226</v>
      </c>
      <c r="I6" s="119" t="s">
        <v>227</v>
      </c>
      <c r="J6" s="119" t="s">
        <v>228</v>
      </c>
      <c r="K6" s="119" t="s">
        <v>229</v>
      </c>
      <c r="L6" s="119" t="s">
        <v>230</v>
      </c>
      <c r="M6" s="119" t="s">
        <v>231</v>
      </c>
      <c r="N6" s="119" t="s">
        <v>232</v>
      </c>
      <c r="O6" s="119" t="s">
        <v>233</v>
      </c>
      <c r="P6" s="120" t="s">
        <v>234</v>
      </c>
    </row>
    <row r="7" spans="2:16" ht="13.5" thickBot="1">
      <c r="B7" s="121" t="s">
        <v>20</v>
      </c>
      <c r="C7" s="1035" t="s">
        <v>92</v>
      </c>
      <c r="D7" s="1036"/>
      <c r="E7" s="1036"/>
      <c r="F7" s="1036"/>
      <c r="G7" s="1036"/>
      <c r="H7" s="1036"/>
      <c r="I7" s="1036"/>
      <c r="J7" s="1036"/>
      <c r="K7" s="1036"/>
      <c r="L7" s="1036"/>
      <c r="M7" s="1036"/>
      <c r="N7" s="1036"/>
      <c r="O7" s="1036"/>
      <c r="P7" s="1037"/>
    </row>
    <row r="8" spans="2:16" ht="12.75">
      <c r="B8" s="124" t="s">
        <v>21</v>
      </c>
      <c r="C8" s="125" t="s">
        <v>235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7">
        <f>SUM(D8:O8)</f>
        <v>0</v>
      </c>
    </row>
    <row r="9" spans="2:19" ht="12.75">
      <c r="B9" s="128" t="s">
        <v>22</v>
      </c>
      <c r="C9" s="129" t="s">
        <v>236</v>
      </c>
      <c r="D9" s="130">
        <v>333</v>
      </c>
      <c r="E9" s="130">
        <f>+D9</f>
        <v>333</v>
      </c>
      <c r="F9" s="130">
        <f aca="true" t="shared" si="0" ref="F9:N9">+E9</f>
        <v>333</v>
      </c>
      <c r="G9" s="130">
        <f t="shared" si="0"/>
        <v>333</v>
      </c>
      <c r="H9" s="130">
        <f t="shared" si="0"/>
        <v>333</v>
      </c>
      <c r="I9" s="130">
        <f t="shared" si="0"/>
        <v>333</v>
      </c>
      <c r="J9" s="130">
        <f t="shared" si="0"/>
        <v>333</v>
      </c>
      <c r="K9" s="130">
        <f t="shared" si="0"/>
        <v>333</v>
      </c>
      <c r="L9" s="130">
        <f t="shared" si="0"/>
        <v>333</v>
      </c>
      <c r="M9" s="130">
        <f t="shared" si="0"/>
        <v>333</v>
      </c>
      <c r="N9" s="130">
        <f t="shared" si="0"/>
        <v>333</v>
      </c>
      <c r="O9" s="130">
        <f>+N9+6-2</f>
        <v>337</v>
      </c>
      <c r="P9" s="131">
        <f aca="true" t="shared" si="1" ref="P9:P15">SUM(D9:O9)</f>
        <v>4000</v>
      </c>
      <c r="Q9">
        <f>+'3.mell. bevétel'!D14</f>
        <v>4000</v>
      </c>
      <c r="R9">
        <f>+Q9/12</f>
        <v>333.3333333333333</v>
      </c>
      <c r="S9" s="37">
        <f>+Q9-P9</f>
        <v>0</v>
      </c>
    </row>
    <row r="10" spans="2:16" ht="12.75">
      <c r="B10" s="128" t="s">
        <v>23</v>
      </c>
      <c r="C10" s="132" t="s">
        <v>237</v>
      </c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1">
        <f t="shared" si="1"/>
        <v>0</v>
      </c>
    </row>
    <row r="11" spans="2:16" ht="12.75">
      <c r="B11" s="128" t="s">
        <v>24</v>
      </c>
      <c r="C11" s="129" t="s">
        <v>238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1">
        <f t="shared" si="1"/>
        <v>0</v>
      </c>
    </row>
    <row r="12" spans="2:16" ht="12.75">
      <c r="B12" s="128" t="s">
        <v>25</v>
      </c>
      <c r="C12" s="129" t="s">
        <v>239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1">
        <f t="shared" si="1"/>
        <v>0</v>
      </c>
    </row>
    <row r="13" spans="2:16" ht="12.75">
      <c r="B13" s="128" t="s">
        <v>26</v>
      </c>
      <c r="C13" s="129" t="s">
        <v>240</v>
      </c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1">
        <f t="shared" si="1"/>
        <v>0</v>
      </c>
    </row>
    <row r="14" spans="2:16" ht="12.75">
      <c r="B14" s="128" t="s">
        <v>27</v>
      </c>
      <c r="C14" s="129" t="s">
        <v>241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1">
        <f t="shared" si="1"/>
        <v>0</v>
      </c>
    </row>
    <row r="15" spans="2:16" ht="22.5">
      <c r="B15" s="128" t="s">
        <v>28</v>
      </c>
      <c r="C15" s="134" t="s">
        <v>242</v>
      </c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1">
        <f t="shared" si="1"/>
        <v>0</v>
      </c>
    </row>
    <row r="16" spans="2:17" ht="13.5" thickBot="1">
      <c r="B16" s="128" t="s">
        <v>29</v>
      </c>
      <c r="C16" s="129" t="s">
        <v>187</v>
      </c>
      <c r="D16" s="130">
        <f>+D30-D8-D9-D10-D11-D12-D13-D14-D15</f>
        <v>1797</v>
      </c>
      <c r="E16" s="130">
        <f aca="true" t="shared" si="2" ref="E16:O16">+E30-E8-E9-E10-E11-E12-E13-E14-E15</f>
        <v>1797</v>
      </c>
      <c r="F16" s="130">
        <f t="shared" si="2"/>
        <v>1797</v>
      </c>
      <c r="G16" s="130">
        <f t="shared" si="2"/>
        <v>1797</v>
      </c>
      <c r="H16" s="130">
        <f t="shared" si="2"/>
        <v>1797</v>
      </c>
      <c r="I16" s="130">
        <f t="shared" si="2"/>
        <v>1797</v>
      </c>
      <c r="J16" s="130">
        <f t="shared" si="2"/>
        <v>1797</v>
      </c>
      <c r="K16" s="130">
        <f t="shared" si="2"/>
        <v>1797</v>
      </c>
      <c r="L16" s="130">
        <f t="shared" si="2"/>
        <v>1797</v>
      </c>
      <c r="M16" s="130">
        <f t="shared" si="2"/>
        <v>1797</v>
      </c>
      <c r="N16" s="130">
        <f t="shared" si="2"/>
        <v>1797</v>
      </c>
      <c r="O16" s="130">
        <f t="shared" si="2"/>
        <v>1801</v>
      </c>
      <c r="P16" s="135">
        <f>SUM(D16:O16)</f>
        <v>21568</v>
      </c>
      <c r="Q16" s="37">
        <f>+'3.mell. bevétel'!I14</f>
        <v>21568</v>
      </c>
    </row>
    <row r="17" spans="2:18" ht="13.5" thickBot="1">
      <c r="B17" s="121" t="s">
        <v>30</v>
      </c>
      <c r="C17" s="136" t="s">
        <v>243</v>
      </c>
      <c r="D17" s="137">
        <f>SUM(D8:D16)</f>
        <v>2130</v>
      </c>
      <c r="E17" s="137">
        <f aca="true" t="shared" si="3" ref="E17:P17">SUM(E8:E16)</f>
        <v>2130</v>
      </c>
      <c r="F17" s="137">
        <f t="shared" si="3"/>
        <v>2130</v>
      </c>
      <c r="G17" s="137">
        <f t="shared" si="3"/>
        <v>2130</v>
      </c>
      <c r="H17" s="137">
        <f t="shared" si="3"/>
        <v>2130</v>
      </c>
      <c r="I17" s="137">
        <f t="shared" si="3"/>
        <v>2130</v>
      </c>
      <c r="J17" s="137">
        <f t="shared" si="3"/>
        <v>2130</v>
      </c>
      <c r="K17" s="137">
        <f t="shared" si="3"/>
        <v>2130</v>
      </c>
      <c r="L17" s="137">
        <f t="shared" si="3"/>
        <v>2130</v>
      </c>
      <c r="M17" s="137">
        <f t="shared" si="3"/>
        <v>2130</v>
      </c>
      <c r="N17" s="137">
        <f t="shared" si="3"/>
        <v>2130</v>
      </c>
      <c r="O17" s="137">
        <f t="shared" si="3"/>
        <v>2138</v>
      </c>
      <c r="P17" s="137">
        <f t="shared" si="3"/>
        <v>25568</v>
      </c>
      <c r="Q17" s="204">
        <f>+'3.mell. bevétel'!K14</f>
        <v>25568</v>
      </c>
      <c r="R17" s="37">
        <f>+Q17-P17</f>
        <v>0</v>
      </c>
    </row>
    <row r="18" spans="2:16" ht="13.5" thickBot="1">
      <c r="B18" s="121" t="s">
        <v>31</v>
      </c>
      <c r="C18" s="1035" t="s">
        <v>113</v>
      </c>
      <c r="D18" s="1036"/>
      <c r="E18" s="1036"/>
      <c r="F18" s="1036"/>
      <c r="G18" s="1036"/>
      <c r="H18" s="1036"/>
      <c r="I18" s="1036"/>
      <c r="J18" s="1036"/>
      <c r="K18" s="1036"/>
      <c r="L18" s="1036"/>
      <c r="M18" s="1036"/>
      <c r="N18" s="1036"/>
      <c r="O18" s="1036"/>
      <c r="P18" s="1038"/>
    </row>
    <row r="19" spans="2:19" ht="12.75">
      <c r="B19" s="139" t="s">
        <v>32</v>
      </c>
      <c r="C19" s="140" t="s">
        <v>180</v>
      </c>
      <c r="D19" s="133">
        <v>1047</v>
      </c>
      <c r="E19" s="133">
        <f>+D19</f>
        <v>1047</v>
      </c>
      <c r="F19" s="133">
        <f aca="true" t="shared" si="4" ref="F19:N19">+E19</f>
        <v>1047</v>
      </c>
      <c r="G19" s="133">
        <f t="shared" si="4"/>
        <v>1047</v>
      </c>
      <c r="H19" s="133">
        <f t="shared" si="4"/>
        <v>1047</v>
      </c>
      <c r="I19" s="133">
        <f t="shared" si="4"/>
        <v>1047</v>
      </c>
      <c r="J19" s="133">
        <f t="shared" si="4"/>
        <v>1047</v>
      </c>
      <c r="K19" s="133">
        <f t="shared" si="4"/>
        <v>1047</v>
      </c>
      <c r="L19" s="133">
        <f t="shared" si="4"/>
        <v>1047</v>
      </c>
      <c r="M19" s="133">
        <f t="shared" si="4"/>
        <v>1047</v>
      </c>
      <c r="N19" s="133">
        <f t="shared" si="4"/>
        <v>1047</v>
      </c>
      <c r="O19" s="133">
        <f>+N19+1+4</f>
        <v>1052</v>
      </c>
      <c r="P19" s="141">
        <f>SUM(D19:O19)</f>
        <v>12569</v>
      </c>
      <c r="Q19">
        <f>+'4.mell. kiadás'!D15</f>
        <v>12569</v>
      </c>
      <c r="R19">
        <f>+Q19/12</f>
        <v>1047.4166666666667</v>
      </c>
      <c r="S19" s="37">
        <f>+Q19-P19</f>
        <v>0</v>
      </c>
    </row>
    <row r="20" spans="2:19" ht="24.75" customHeight="1">
      <c r="B20" s="128" t="s">
        <v>33</v>
      </c>
      <c r="C20" s="134" t="s">
        <v>244</v>
      </c>
      <c r="D20" s="130">
        <v>283</v>
      </c>
      <c r="E20" s="130">
        <f>+D20</f>
        <v>283</v>
      </c>
      <c r="F20" s="130">
        <f aca="true" t="shared" si="5" ref="F20:N20">+E20</f>
        <v>283</v>
      </c>
      <c r="G20" s="130">
        <f t="shared" si="5"/>
        <v>283</v>
      </c>
      <c r="H20" s="130">
        <f t="shared" si="5"/>
        <v>283</v>
      </c>
      <c r="I20" s="130">
        <f t="shared" si="5"/>
        <v>283</v>
      </c>
      <c r="J20" s="130">
        <f t="shared" si="5"/>
        <v>283</v>
      </c>
      <c r="K20" s="130">
        <f t="shared" si="5"/>
        <v>283</v>
      </c>
      <c r="L20" s="130">
        <f t="shared" si="5"/>
        <v>283</v>
      </c>
      <c r="M20" s="130">
        <f t="shared" si="5"/>
        <v>283</v>
      </c>
      <c r="N20" s="130">
        <f t="shared" si="5"/>
        <v>283</v>
      </c>
      <c r="O20" s="130">
        <f>+N20-2</f>
        <v>281</v>
      </c>
      <c r="P20" s="141">
        <f aca="true" t="shared" si="6" ref="P20:P28">SUM(D20:O20)</f>
        <v>3394</v>
      </c>
      <c r="Q20" s="37">
        <f>+'4.mell. kiadás'!E15</f>
        <v>3394</v>
      </c>
      <c r="R20">
        <f>+Q20/12</f>
        <v>282.8333333333333</v>
      </c>
      <c r="S20" s="37">
        <f>+Q20-P20</f>
        <v>0</v>
      </c>
    </row>
    <row r="21" spans="2:19" ht="12.75">
      <c r="B21" s="128" t="s">
        <v>34</v>
      </c>
      <c r="C21" s="129" t="s">
        <v>202</v>
      </c>
      <c r="D21" s="130">
        <v>800</v>
      </c>
      <c r="E21" s="130">
        <f>+D21</f>
        <v>800</v>
      </c>
      <c r="F21" s="130">
        <f aca="true" t="shared" si="7" ref="F21:N21">+E21</f>
        <v>800</v>
      </c>
      <c r="G21" s="130">
        <f t="shared" si="7"/>
        <v>800</v>
      </c>
      <c r="H21" s="130">
        <f t="shared" si="7"/>
        <v>800</v>
      </c>
      <c r="I21" s="130">
        <f t="shared" si="7"/>
        <v>800</v>
      </c>
      <c r="J21" s="130">
        <f t="shared" si="7"/>
        <v>800</v>
      </c>
      <c r="K21" s="130">
        <f t="shared" si="7"/>
        <v>800</v>
      </c>
      <c r="L21" s="130">
        <f t="shared" si="7"/>
        <v>800</v>
      </c>
      <c r="M21" s="130">
        <f t="shared" si="7"/>
        <v>800</v>
      </c>
      <c r="N21" s="130">
        <f t="shared" si="7"/>
        <v>800</v>
      </c>
      <c r="O21" s="130">
        <f>+N21+5</f>
        <v>805</v>
      </c>
      <c r="P21" s="141">
        <f t="shared" si="6"/>
        <v>9605</v>
      </c>
      <c r="Q21">
        <f>+'4.mell. kiadás'!F15</f>
        <v>9605</v>
      </c>
      <c r="R21">
        <f>+Q21/12</f>
        <v>800.4166666666666</v>
      </c>
      <c r="S21" s="37">
        <f>+Q21-P21</f>
        <v>0</v>
      </c>
    </row>
    <row r="22" spans="2:16" ht="12.75">
      <c r="B22" s="128" t="s">
        <v>35</v>
      </c>
      <c r="C22" s="129" t="s">
        <v>245</v>
      </c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41">
        <f t="shared" si="6"/>
        <v>0</v>
      </c>
    </row>
    <row r="23" spans="2:16" ht="12.75">
      <c r="B23" s="128" t="s">
        <v>36</v>
      </c>
      <c r="C23" s="129" t="s">
        <v>246</v>
      </c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41">
        <f t="shared" si="6"/>
        <v>0</v>
      </c>
    </row>
    <row r="24" spans="2:16" ht="12.75">
      <c r="B24" s="128" t="s">
        <v>37</v>
      </c>
      <c r="C24" s="129" t="s">
        <v>247</v>
      </c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41">
        <f t="shared" si="6"/>
        <v>0</v>
      </c>
    </row>
    <row r="25" spans="2:16" ht="21" customHeight="1">
      <c r="B25" s="128" t="s">
        <v>39</v>
      </c>
      <c r="C25" s="134" t="s">
        <v>248</v>
      </c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41">
        <f t="shared" si="6"/>
        <v>0</v>
      </c>
    </row>
    <row r="26" spans="2:16" ht="12.75">
      <c r="B26" s="128" t="s">
        <v>41</v>
      </c>
      <c r="C26" s="129" t="s">
        <v>249</v>
      </c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41">
        <f t="shared" si="6"/>
        <v>0</v>
      </c>
    </row>
    <row r="27" spans="2:16" ht="12.75">
      <c r="B27" s="128" t="s">
        <v>42</v>
      </c>
      <c r="C27" s="129" t="s">
        <v>250</v>
      </c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41">
        <f t="shared" si="6"/>
        <v>0</v>
      </c>
    </row>
    <row r="28" spans="2:16" ht="12.75">
      <c r="B28" s="128" t="s">
        <v>43</v>
      </c>
      <c r="C28" s="129" t="s">
        <v>251</v>
      </c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41">
        <f t="shared" si="6"/>
        <v>0</v>
      </c>
    </row>
    <row r="29" spans="2:16" ht="13.5" thickBot="1">
      <c r="B29" s="128" t="s">
        <v>44</v>
      </c>
      <c r="C29" s="129" t="s">
        <v>252</v>
      </c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41">
        <f>SUM(D29:O29)</f>
        <v>0</v>
      </c>
    </row>
    <row r="30" spans="2:18" ht="13.5" thickBot="1">
      <c r="B30" s="142" t="s">
        <v>45</v>
      </c>
      <c r="C30" s="136" t="s">
        <v>253</v>
      </c>
      <c r="D30" s="137">
        <f>SUM(D19:D29)</f>
        <v>2130</v>
      </c>
      <c r="E30" s="137">
        <f aca="true" t="shared" si="8" ref="E30:O30">SUM(E19:E29)</f>
        <v>2130</v>
      </c>
      <c r="F30" s="137">
        <f t="shared" si="8"/>
        <v>2130</v>
      </c>
      <c r="G30" s="137">
        <f t="shared" si="8"/>
        <v>2130</v>
      </c>
      <c r="H30" s="137">
        <f t="shared" si="8"/>
        <v>2130</v>
      </c>
      <c r="I30" s="137">
        <f t="shared" si="8"/>
        <v>2130</v>
      </c>
      <c r="J30" s="137">
        <f t="shared" si="8"/>
        <v>2130</v>
      </c>
      <c r="K30" s="137">
        <f t="shared" si="8"/>
        <v>2130</v>
      </c>
      <c r="L30" s="137">
        <f t="shared" si="8"/>
        <v>2130</v>
      </c>
      <c r="M30" s="137">
        <f t="shared" si="8"/>
        <v>2130</v>
      </c>
      <c r="N30" s="137">
        <f t="shared" si="8"/>
        <v>2130</v>
      </c>
      <c r="O30" s="137">
        <f t="shared" si="8"/>
        <v>2138</v>
      </c>
      <c r="P30" s="143">
        <f>SUM(P19:P29)</f>
        <v>25568</v>
      </c>
      <c r="Q30" s="205">
        <f>SUM(Q19:Q29)</f>
        <v>25568</v>
      </c>
      <c r="R30" s="37">
        <f>+Q30-P30</f>
        <v>0</v>
      </c>
    </row>
    <row r="31" spans="2:17" ht="13.5" thickBot="1">
      <c r="B31" s="142" t="s">
        <v>46</v>
      </c>
      <c r="C31" s="144" t="s">
        <v>254</v>
      </c>
      <c r="D31" s="145">
        <f>+D30-D17</f>
        <v>0</v>
      </c>
      <c r="E31" s="145">
        <f aca="true" t="shared" si="9" ref="E31:P31">+E30-E17</f>
        <v>0</v>
      </c>
      <c r="F31" s="145">
        <f t="shared" si="9"/>
        <v>0</v>
      </c>
      <c r="G31" s="145">
        <f t="shared" si="9"/>
        <v>0</v>
      </c>
      <c r="H31" s="145">
        <f t="shared" si="9"/>
        <v>0</v>
      </c>
      <c r="I31" s="145">
        <f t="shared" si="9"/>
        <v>0</v>
      </c>
      <c r="J31" s="145">
        <f t="shared" si="9"/>
        <v>0</v>
      </c>
      <c r="K31" s="145">
        <f t="shared" si="9"/>
        <v>0</v>
      </c>
      <c r="L31" s="145">
        <f t="shared" si="9"/>
        <v>0</v>
      </c>
      <c r="M31" s="145">
        <f t="shared" si="9"/>
        <v>0</v>
      </c>
      <c r="N31" s="145">
        <f t="shared" si="9"/>
        <v>0</v>
      </c>
      <c r="O31" s="145">
        <f t="shared" si="9"/>
        <v>0</v>
      </c>
      <c r="P31" s="145">
        <f t="shared" si="9"/>
        <v>0</v>
      </c>
      <c r="Q31" s="37">
        <f>+'4.mell. kiadás'!M15</f>
        <v>25568</v>
      </c>
    </row>
    <row r="32" spans="2:16" ht="15.75">
      <c r="B32" s="14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5"/>
    </row>
    <row r="33" spans="2:16" ht="15.75">
      <c r="B33" s="115"/>
      <c r="C33" s="147"/>
      <c r="D33" s="149">
        <f>-D31</f>
        <v>0</v>
      </c>
      <c r="E33" s="148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5"/>
    </row>
  </sheetData>
  <sheetProtection/>
  <mergeCells count="5">
    <mergeCell ref="C7:P7"/>
    <mergeCell ref="C18:P18"/>
    <mergeCell ref="O1:P1"/>
    <mergeCell ref="B2:P2"/>
    <mergeCell ref="B3:P3"/>
  </mergeCells>
  <printOptions/>
  <pageMargins left="0.75" right="0.75" top="1" bottom="1" header="0.5" footer="0.5"/>
  <pageSetup horizontalDpi="600" verticalDpi="600" orientation="landscape" paperSize="9" scale="78" r:id="rId1"/>
  <headerFooter alignWithMargins="0">
    <oddHeader>&amp;L20. melléklet a 2015. évi 3/2015.(II.29.) Önkormányzati költségvetési rendelethez&amp;R2015.02.25</oddHeader>
    <oddFooter>&amp;R&amp;F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3"/>
  </sheetPr>
  <dimension ref="A1:O26"/>
  <sheetViews>
    <sheetView view="pageLayout" zoomScaleSheetLayoutView="100" workbookViewId="0" topLeftCell="A1">
      <selection activeCell="F21" sqref="F21"/>
    </sheetView>
  </sheetViews>
  <sheetFormatPr defaultColWidth="9.140625" defaultRowHeight="12.75"/>
  <cols>
    <col min="1" max="1" width="5.421875" style="39" customWidth="1"/>
    <col min="2" max="2" width="4.00390625" style="39" customWidth="1"/>
    <col min="3" max="3" width="33.28125" style="39" customWidth="1"/>
    <col min="4" max="4" width="17.57421875" style="39" customWidth="1"/>
    <col min="5" max="5" width="9.57421875" style="39" bestFit="1" customWidth="1"/>
    <col min="6" max="6" width="14.7109375" style="39" customWidth="1"/>
    <col min="7" max="7" width="13.57421875" style="39" customWidth="1"/>
    <col min="8" max="8" width="8.140625" style="39" customWidth="1"/>
    <col min="9" max="10" width="9.421875" style="39" hidden="1" customWidth="1"/>
    <col min="11" max="11" width="10.140625" style="39" customWidth="1"/>
    <col min="12" max="12" width="11.421875" style="39" customWidth="1"/>
    <col min="13" max="13" width="18.00390625" style="414" customWidth="1"/>
    <col min="14" max="14" width="6.7109375" style="39" customWidth="1"/>
    <col min="15" max="15" width="9.28125" style="39" bestFit="1" customWidth="1"/>
    <col min="16" max="16384" width="9.140625" style="39" customWidth="1"/>
  </cols>
  <sheetData>
    <row r="1" spans="1:15" ht="14.25">
      <c r="A1" s="1047" t="s">
        <v>144</v>
      </c>
      <c r="B1" s="1047"/>
      <c r="C1" s="1047"/>
      <c r="D1" s="1047"/>
      <c r="E1" s="1047"/>
      <c r="F1" s="1047"/>
      <c r="G1" s="1047"/>
      <c r="H1" s="1047"/>
      <c r="I1" s="1047"/>
      <c r="J1" s="1047"/>
      <c r="K1" s="1047"/>
      <c r="L1" s="1047"/>
      <c r="M1" s="1047"/>
      <c r="N1" s="1047"/>
      <c r="O1" s="1047"/>
    </row>
    <row r="2" spans="1:13" ht="15" customHeight="1" thickBot="1">
      <c r="A2" s="352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353"/>
    </row>
    <row r="3" spans="2:15" ht="18" customHeight="1">
      <c r="B3" s="354" t="s">
        <v>145</v>
      </c>
      <c r="C3" s="355"/>
      <c r="D3" s="355"/>
      <c r="E3" s="355"/>
      <c r="F3" s="356"/>
      <c r="G3" s="357"/>
      <c r="H3" s="1044">
        <v>2013</v>
      </c>
      <c r="I3" s="1045"/>
      <c r="J3" s="1046"/>
      <c r="K3" s="358">
        <v>2014</v>
      </c>
      <c r="L3" s="358">
        <v>2014</v>
      </c>
      <c r="M3" s="792">
        <v>2015</v>
      </c>
      <c r="N3" s="358">
        <v>2016</v>
      </c>
      <c r="O3" s="358">
        <v>2017</v>
      </c>
    </row>
    <row r="4" spans="2:15" ht="28.5" customHeight="1" thickBot="1">
      <c r="B4" s="106"/>
      <c r="C4" s="359"/>
      <c r="D4" s="359"/>
      <c r="E4" s="360"/>
      <c r="F4" s="361">
        <v>241.06</v>
      </c>
      <c r="G4" s="362"/>
      <c r="H4" s="363"/>
      <c r="I4" s="360" t="s">
        <v>206</v>
      </c>
      <c r="J4" s="364" t="s">
        <v>205</v>
      </c>
      <c r="K4" s="365" t="s">
        <v>588</v>
      </c>
      <c r="L4" s="366" t="s">
        <v>589</v>
      </c>
      <c r="M4" s="793"/>
      <c r="N4" s="367"/>
      <c r="O4" s="367"/>
    </row>
    <row r="5" spans="2:15" ht="47.25" customHeight="1">
      <c r="B5" s="103"/>
      <c r="C5" s="368"/>
      <c r="D5" s="368"/>
      <c r="E5" s="369"/>
      <c r="F5" s="370"/>
      <c r="G5" s="369"/>
      <c r="H5" s="371"/>
      <c r="I5" s="371"/>
      <c r="J5" s="370"/>
      <c r="K5" s="372"/>
      <c r="L5" s="373" t="s">
        <v>590</v>
      </c>
      <c r="M5" s="794"/>
      <c r="N5" s="374"/>
      <c r="O5" s="374"/>
    </row>
    <row r="6" spans="2:15" ht="34.5">
      <c r="B6" s="103"/>
      <c r="C6" s="375" t="s">
        <v>146</v>
      </c>
      <c r="D6" s="375" t="s">
        <v>147</v>
      </c>
      <c r="E6" s="376" t="s">
        <v>148</v>
      </c>
      <c r="F6" s="377" t="s">
        <v>149</v>
      </c>
      <c r="G6" s="378" t="s">
        <v>362</v>
      </c>
      <c r="H6" s="371">
        <f>+I6+J6</f>
        <v>24408</v>
      </c>
      <c r="I6" s="371">
        <v>16272</v>
      </c>
      <c r="J6" s="370">
        <v>8136</v>
      </c>
      <c r="K6" s="372">
        <f>675277.56*F4/1000</f>
        <v>162782.4086136</v>
      </c>
      <c r="L6" s="372">
        <f>675*240.6</f>
        <v>162405</v>
      </c>
      <c r="M6" s="794">
        <v>0</v>
      </c>
      <c r="N6" s="374">
        <v>0</v>
      </c>
      <c r="O6" s="374">
        <v>0</v>
      </c>
    </row>
    <row r="7" spans="2:15" ht="64.5" customHeight="1">
      <c r="B7" s="103"/>
      <c r="C7" s="375" t="s">
        <v>150</v>
      </c>
      <c r="D7" s="375" t="s">
        <v>151</v>
      </c>
      <c r="E7" s="369">
        <v>80000</v>
      </c>
      <c r="F7" s="377" t="s">
        <v>193</v>
      </c>
      <c r="G7" s="378" t="s">
        <v>362</v>
      </c>
      <c r="H7" s="371">
        <f>+I7+J7</f>
        <v>1050</v>
      </c>
      <c r="I7" s="371"/>
      <c r="J7" s="370">
        <v>1050</v>
      </c>
      <c r="K7" s="372">
        <v>70000</v>
      </c>
      <c r="L7" s="372">
        <v>70000</v>
      </c>
      <c r="M7" s="794">
        <v>0</v>
      </c>
      <c r="N7" s="374">
        <v>0</v>
      </c>
      <c r="O7" s="374">
        <v>0</v>
      </c>
    </row>
    <row r="8" spans="2:15" ht="7.5" customHeight="1" thickBot="1">
      <c r="B8" s="103"/>
      <c r="C8" s="368"/>
      <c r="D8" s="368"/>
      <c r="E8" s="369"/>
      <c r="F8" s="370"/>
      <c r="G8" s="369"/>
      <c r="H8" s="371"/>
      <c r="I8" s="371"/>
      <c r="J8" s="370"/>
      <c r="K8" s="372"/>
      <c r="L8" s="372"/>
      <c r="M8" s="794"/>
      <c r="N8" s="374"/>
      <c r="O8" s="374"/>
    </row>
    <row r="9" spans="2:15" ht="15" thickBot="1">
      <c r="B9" s="107" t="s">
        <v>152</v>
      </c>
      <c r="C9" s="379"/>
      <c r="D9" s="379"/>
      <c r="E9" s="380"/>
      <c r="F9" s="381"/>
      <c r="G9" s="380"/>
      <c r="H9" s="382">
        <f aca="true" t="shared" si="0" ref="H9:O9">SUM(H6:H8)</f>
        <v>25458</v>
      </c>
      <c r="I9" s="382">
        <f t="shared" si="0"/>
        <v>16272</v>
      </c>
      <c r="J9" s="382">
        <f t="shared" si="0"/>
        <v>9186</v>
      </c>
      <c r="K9" s="382">
        <f>SUM(K6:K8)</f>
        <v>232782.4086136</v>
      </c>
      <c r="L9" s="382">
        <f>SUM(L6:L8)</f>
        <v>232405</v>
      </c>
      <c r="M9" s="795">
        <f t="shared" si="0"/>
        <v>0</v>
      </c>
      <c r="N9" s="382">
        <f t="shared" si="0"/>
        <v>0</v>
      </c>
      <c r="O9" s="383">
        <f t="shared" si="0"/>
        <v>0</v>
      </c>
    </row>
    <row r="10" spans="2:15" ht="14.25">
      <c r="B10" s="104"/>
      <c r="C10" s="384"/>
      <c r="D10" s="384"/>
      <c r="E10" s="385"/>
      <c r="F10" s="386"/>
      <c r="G10" s="387"/>
      <c r="H10" s="388"/>
      <c r="I10" s="388"/>
      <c r="J10" s="387"/>
      <c r="K10" s="388"/>
      <c r="L10" s="388"/>
      <c r="M10" s="796"/>
      <c r="N10" s="388"/>
      <c r="O10" s="389"/>
    </row>
    <row r="11" spans="2:15" ht="25.5" customHeight="1">
      <c r="B11" s="105" t="s">
        <v>591</v>
      </c>
      <c r="C11" s="384"/>
      <c r="D11" s="384"/>
      <c r="E11" s="385"/>
      <c r="F11" s="386"/>
      <c r="G11" s="387"/>
      <c r="H11" s="388"/>
      <c r="I11" s="388"/>
      <c r="J11" s="387"/>
      <c r="K11" s="388"/>
      <c r="L11" s="388"/>
      <c r="M11" s="796"/>
      <c r="N11" s="388"/>
      <c r="O11" s="390"/>
    </row>
    <row r="12" spans="2:15" ht="57">
      <c r="B12" s="104"/>
      <c r="C12" s="270" t="s">
        <v>592</v>
      </c>
      <c r="D12" s="384"/>
      <c r="E12" s="385"/>
      <c r="F12" s="386"/>
      <c r="G12" s="387"/>
      <c r="H12" s="388"/>
      <c r="I12" s="388"/>
      <c r="J12" s="387"/>
      <c r="K12" s="388"/>
      <c r="L12" s="388"/>
      <c r="M12" s="796">
        <v>71380</v>
      </c>
      <c r="N12" s="388"/>
      <c r="O12" s="390"/>
    </row>
    <row r="13" spans="2:15" ht="15" thickBot="1">
      <c r="B13" s="104"/>
      <c r="C13" s="270"/>
      <c r="D13" s="384"/>
      <c r="E13" s="385"/>
      <c r="F13" s="386"/>
      <c r="G13" s="387"/>
      <c r="H13" s="388"/>
      <c r="I13" s="388"/>
      <c r="J13" s="387"/>
      <c r="K13" s="388"/>
      <c r="L13" s="388"/>
      <c r="M13" s="796"/>
      <c r="N13" s="388"/>
      <c r="O13" s="390"/>
    </row>
    <row r="14" spans="2:15" ht="15" thickBot="1">
      <c r="B14" s="107" t="s">
        <v>593</v>
      </c>
      <c r="C14" s="391"/>
      <c r="D14" s="108"/>
      <c r="E14" s="101"/>
      <c r="F14" s="102"/>
      <c r="G14" s="380"/>
      <c r="H14" s="382"/>
      <c r="I14" s="382"/>
      <c r="J14" s="380"/>
      <c r="K14" s="382"/>
      <c r="L14" s="382"/>
      <c r="M14" s="795">
        <f>SUM(M12:M13)</f>
        <v>71380</v>
      </c>
      <c r="N14" s="382"/>
      <c r="O14" s="392"/>
    </row>
    <row r="15" spans="2:15" ht="15">
      <c r="B15" s="393"/>
      <c r="C15" s="394"/>
      <c r="D15" s="394"/>
      <c r="E15" s="395"/>
      <c r="F15" s="396"/>
      <c r="G15" s="369"/>
      <c r="H15" s="371"/>
      <c r="I15" s="371"/>
      <c r="J15" s="370"/>
      <c r="K15" s="372"/>
      <c r="L15" s="372"/>
      <c r="M15" s="794"/>
      <c r="N15" s="374"/>
      <c r="O15" s="374"/>
    </row>
    <row r="16" spans="2:15" ht="14.25">
      <c r="B16" s="397" t="s">
        <v>153</v>
      </c>
      <c r="C16" s="368"/>
      <c r="D16" s="368"/>
      <c r="E16" s="369"/>
      <c r="F16" s="370"/>
      <c r="G16" s="369"/>
      <c r="H16" s="371"/>
      <c r="I16" s="371"/>
      <c r="J16" s="370"/>
      <c r="K16" s="372"/>
      <c r="L16" s="372"/>
      <c r="M16" s="794"/>
      <c r="N16" s="374"/>
      <c r="O16" s="374"/>
    </row>
    <row r="17" spans="2:15" ht="7.5" customHeight="1">
      <c r="B17" s="398"/>
      <c r="C17" s="368"/>
      <c r="D17" s="368"/>
      <c r="E17" s="369"/>
      <c r="F17" s="370"/>
      <c r="G17" s="369"/>
      <c r="H17" s="371"/>
      <c r="I17" s="371"/>
      <c r="J17" s="370"/>
      <c r="K17" s="372"/>
      <c r="L17" s="372"/>
      <c r="M17" s="794"/>
      <c r="N17" s="374"/>
      <c r="O17" s="374"/>
    </row>
    <row r="18" spans="2:15" ht="14.25">
      <c r="B18" s="399"/>
      <c r="C18" s="375" t="str">
        <f>+C6</f>
        <v>"BATTONYA 2027" kötvény</v>
      </c>
      <c r="D18" s="368"/>
      <c r="E18" s="369"/>
      <c r="F18" s="370"/>
      <c r="G18" s="369"/>
      <c r="H18" s="371">
        <f>+I18+J18</f>
        <v>7644</v>
      </c>
      <c r="I18" s="371">
        <v>5096</v>
      </c>
      <c r="J18" s="370">
        <v>2548</v>
      </c>
      <c r="K18" s="372">
        <f>+'[12]felhalm.bevétel-kiadás'!H14</f>
        <v>1867</v>
      </c>
      <c r="L18" s="372">
        <v>2196</v>
      </c>
      <c r="M18" s="794">
        <v>0</v>
      </c>
      <c r="N18" s="372">
        <v>0</v>
      </c>
      <c r="O18" s="372">
        <v>0</v>
      </c>
    </row>
    <row r="19" spans="2:15" ht="9" customHeight="1">
      <c r="B19" s="399"/>
      <c r="C19" s="375"/>
      <c r="D19" s="368"/>
      <c r="E19" s="369"/>
      <c r="F19" s="370"/>
      <c r="G19" s="369"/>
      <c r="H19" s="371"/>
      <c r="I19" s="371"/>
      <c r="J19" s="370"/>
      <c r="K19" s="372"/>
      <c r="L19" s="372"/>
      <c r="M19" s="794"/>
      <c r="N19" s="372"/>
      <c r="O19" s="372"/>
    </row>
    <row r="20" spans="2:15" ht="33.75">
      <c r="B20" s="399"/>
      <c r="C20" s="375" t="s">
        <v>150</v>
      </c>
      <c r="D20" s="375" t="s">
        <v>151</v>
      </c>
      <c r="E20" s="369"/>
      <c r="F20" s="370"/>
      <c r="G20" s="369"/>
      <c r="H20" s="371">
        <f>+I20+J20</f>
        <v>6450</v>
      </c>
      <c r="I20" s="371">
        <v>4300</v>
      </c>
      <c r="J20" s="370">
        <v>2150</v>
      </c>
      <c r="K20" s="372">
        <f>+'[12]felhalm.bevétel-kiadás'!H13</f>
        <v>1200</v>
      </c>
      <c r="L20" s="372">
        <v>1022</v>
      </c>
      <c r="M20" s="794">
        <v>0</v>
      </c>
      <c r="N20" s="374">
        <v>0</v>
      </c>
      <c r="O20" s="374">
        <v>0</v>
      </c>
    </row>
    <row r="21" spans="2:15" ht="16.5" customHeight="1" thickBot="1">
      <c r="B21" s="400"/>
      <c r="C21" s="401"/>
      <c r="D21" s="401"/>
      <c r="E21" s="402"/>
      <c r="F21" s="403"/>
      <c r="G21" s="369"/>
      <c r="H21" s="371"/>
      <c r="I21" s="371"/>
      <c r="J21" s="370"/>
      <c r="K21" s="372"/>
      <c r="L21" s="372"/>
      <c r="M21" s="794"/>
      <c r="N21" s="374"/>
      <c r="O21" s="367"/>
    </row>
    <row r="22" spans="2:15" ht="18" customHeight="1" thickBot="1">
      <c r="B22" s="404" t="s">
        <v>154</v>
      </c>
      <c r="C22" s="379"/>
      <c r="D22" s="379"/>
      <c r="E22" s="380"/>
      <c r="F22" s="381"/>
      <c r="G22" s="380"/>
      <c r="H22" s="382">
        <f aca="true" t="shared" si="1" ref="H22:O22">SUM(H18:H21)</f>
        <v>14094</v>
      </c>
      <c r="I22" s="382">
        <f t="shared" si="1"/>
        <v>9396</v>
      </c>
      <c r="J22" s="382">
        <f t="shared" si="1"/>
        <v>4698</v>
      </c>
      <c r="K22" s="382">
        <f t="shared" si="1"/>
        <v>3067</v>
      </c>
      <c r="L22" s="382">
        <f t="shared" si="1"/>
        <v>3218</v>
      </c>
      <c r="M22" s="795">
        <f>SUM(M18:M21)</f>
        <v>0</v>
      </c>
      <c r="N22" s="382">
        <f t="shared" si="1"/>
        <v>0</v>
      </c>
      <c r="O22" s="392">
        <f t="shared" si="1"/>
        <v>0</v>
      </c>
    </row>
    <row r="23" spans="2:15" ht="18.75" customHeight="1" thickBot="1">
      <c r="B23" s="398" t="s">
        <v>594</v>
      </c>
      <c r="C23" s="405"/>
      <c r="D23" s="405"/>
      <c r="E23" s="387"/>
      <c r="F23" s="406"/>
      <c r="G23" s="407"/>
      <c r="H23" s="408"/>
      <c r="I23" s="408"/>
      <c r="J23" s="409"/>
      <c r="K23" s="410"/>
      <c r="L23" s="410">
        <v>8813</v>
      </c>
      <c r="M23" s="794"/>
      <c r="N23" s="374"/>
      <c r="O23" s="374"/>
    </row>
    <row r="24" spans="2:15" ht="20.25" customHeight="1" thickBot="1">
      <c r="B24" s="107" t="s">
        <v>155</v>
      </c>
      <c r="C24" s="108"/>
      <c r="D24" s="108"/>
      <c r="E24" s="101"/>
      <c r="F24" s="102"/>
      <c r="G24" s="380"/>
      <c r="H24" s="382">
        <f>H22+H9</f>
        <v>39552</v>
      </c>
      <c r="I24" s="382">
        <f>I22+I9</f>
        <v>25668</v>
      </c>
      <c r="J24" s="382">
        <f>J22+J9</f>
        <v>13884</v>
      </c>
      <c r="K24" s="382">
        <f>K22+K9</f>
        <v>235849.4086136</v>
      </c>
      <c r="L24" s="382">
        <f>L22+L9+L23</f>
        <v>244436</v>
      </c>
      <c r="M24" s="795">
        <f>M22+M9+M14</f>
        <v>71380</v>
      </c>
      <c r="N24" s="382">
        <f>N22+N9</f>
        <v>0</v>
      </c>
      <c r="O24" s="392">
        <f>O22+O9</f>
        <v>0</v>
      </c>
    </row>
    <row r="25" spans="2:15" ht="20.25">
      <c r="B25" s="40"/>
      <c r="C25" s="40"/>
      <c r="D25" s="40"/>
      <c r="E25" s="42"/>
      <c r="F25" s="42"/>
      <c r="G25" s="411"/>
      <c r="H25" s="411"/>
      <c r="I25" s="411"/>
      <c r="J25" s="411"/>
      <c r="K25" s="411"/>
      <c r="L25" s="411"/>
      <c r="M25" s="412"/>
      <c r="N25" s="181"/>
      <c r="O25" s="181"/>
    </row>
    <row r="26" spans="5:15" ht="20.25">
      <c r="E26" s="41"/>
      <c r="F26" s="41"/>
      <c r="G26" s="41"/>
      <c r="H26" s="41"/>
      <c r="I26" s="41"/>
      <c r="J26" s="41"/>
      <c r="K26" s="41"/>
      <c r="L26" s="41"/>
      <c r="M26" s="413"/>
      <c r="N26" s="41"/>
      <c r="O26" s="41"/>
    </row>
  </sheetData>
  <sheetProtection/>
  <mergeCells count="2">
    <mergeCell ref="H3:J3"/>
    <mergeCell ref="A1:O1"/>
  </mergeCells>
  <printOptions/>
  <pageMargins left="0.1968503937007874" right="0.1968503937007874" top="0.64" bottom="0.15" header="0.29" footer="0.66"/>
  <pageSetup horizontalDpi="600" verticalDpi="600" orientation="landscape" paperSize="9" scale="87" r:id="rId1"/>
  <headerFooter alignWithMargins="0">
    <oddHeader>&amp;L21. melléklet a 2015. évi 3/2015.(II.25.) Önkormányzati költségvetési rendelethez&amp;R2015.02.25</oddHeader>
    <oddFooter>&amp;R&amp;F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R56"/>
  <sheetViews>
    <sheetView view="pageLayout" zoomScaleSheetLayoutView="100" workbookViewId="0" topLeftCell="A1">
      <selection activeCell="C49" sqref="C49"/>
    </sheetView>
  </sheetViews>
  <sheetFormatPr defaultColWidth="9.140625" defaultRowHeight="12.75"/>
  <cols>
    <col min="1" max="1" width="5.00390625" style="469" customWidth="1"/>
    <col min="2" max="2" width="4.57421875" style="469" customWidth="1"/>
    <col min="3" max="3" width="50.28125" style="469" customWidth="1"/>
    <col min="4" max="4" width="12.7109375" style="777" customWidth="1"/>
    <col min="5" max="5" width="14.00390625" style="777" customWidth="1"/>
    <col min="6" max="6" width="14.57421875" style="777" customWidth="1"/>
    <col min="7" max="7" width="13.00390625" style="777" customWidth="1"/>
    <col min="8" max="8" width="15.00390625" style="777" customWidth="1"/>
    <col min="9" max="9" width="15.00390625" style="784" customWidth="1"/>
    <col min="10" max="13" width="15.00390625" style="777" customWidth="1"/>
    <col min="14" max="14" width="10.28125" style="779" bestFit="1" customWidth="1"/>
    <col min="15" max="15" width="16.57421875" style="777" bestFit="1" customWidth="1"/>
    <col min="16" max="16" width="13.140625" style="777" bestFit="1" customWidth="1"/>
    <col min="17" max="17" width="16.57421875" style="777" bestFit="1" customWidth="1"/>
    <col min="18" max="20" width="17.8515625" style="777" bestFit="1" customWidth="1"/>
    <col min="21" max="26" width="19.140625" style="777" customWidth="1"/>
    <col min="27" max="27" width="14.421875" style="777" bestFit="1" customWidth="1"/>
    <col min="28" max="28" width="22.28125" style="775" customWidth="1"/>
    <col min="29" max="29" width="19.00390625" style="775" customWidth="1"/>
    <col min="30" max="31" width="10.57421875" style="775" customWidth="1"/>
    <col min="32" max="39" width="14.421875" style="775" customWidth="1"/>
    <col min="40" max="40" width="14.421875" style="469" customWidth="1"/>
    <col min="41" max="41" width="14.57421875" style="469" customWidth="1"/>
    <col min="42" max="43" width="14.421875" style="469" customWidth="1"/>
    <col min="44" max="44" width="9.140625" style="469" customWidth="1"/>
    <col min="45" max="45" width="14.140625" style="469" customWidth="1"/>
    <col min="46" max="16384" width="9.140625" style="469" customWidth="1"/>
  </cols>
  <sheetData>
    <row r="1" spans="1:38" ht="12">
      <c r="A1" s="769" t="s">
        <v>92</v>
      </c>
      <c r="C1" s="770"/>
      <c r="D1" s="785" t="s">
        <v>369</v>
      </c>
      <c r="E1" s="771" t="s">
        <v>607</v>
      </c>
      <c r="F1" s="771" t="s">
        <v>608</v>
      </c>
      <c r="G1" s="771" t="s">
        <v>609</v>
      </c>
      <c r="H1" s="772"/>
      <c r="I1" s="773"/>
      <c r="J1" s="772"/>
      <c r="K1" s="772"/>
      <c r="L1" s="772"/>
      <c r="M1" s="772"/>
      <c r="N1" s="774"/>
      <c r="O1" s="772"/>
      <c r="P1" s="772"/>
      <c r="Q1" s="772"/>
      <c r="R1" s="772"/>
      <c r="S1" s="772"/>
      <c r="T1" s="772"/>
      <c r="U1" s="772"/>
      <c r="V1" s="772"/>
      <c r="W1" s="772"/>
      <c r="X1" s="772"/>
      <c r="Y1" s="772"/>
      <c r="Z1" s="772"/>
      <c r="AA1" s="772"/>
      <c r="AB1" s="618"/>
      <c r="AC1" s="618"/>
      <c r="AD1" s="618"/>
      <c r="AE1" s="618"/>
      <c r="AF1" s="618"/>
      <c r="AG1" s="618"/>
      <c r="AH1" s="618"/>
      <c r="AI1" s="618"/>
      <c r="AJ1" s="618"/>
      <c r="AK1" s="618"/>
      <c r="AL1" s="618"/>
    </row>
    <row r="2" spans="1:39" ht="12">
      <c r="A2" s="769"/>
      <c r="C2" s="776"/>
      <c r="D2" s="785" t="s">
        <v>454</v>
      </c>
      <c r="E2" s="771" t="s">
        <v>454</v>
      </c>
      <c r="F2" s="771" t="s">
        <v>454</v>
      </c>
      <c r="G2" s="771" t="s">
        <v>454</v>
      </c>
      <c r="H2" s="772"/>
      <c r="I2" s="773"/>
      <c r="J2" s="772"/>
      <c r="K2" s="772"/>
      <c r="L2" s="772"/>
      <c r="M2" s="772"/>
      <c r="N2" s="774"/>
      <c r="O2" s="772"/>
      <c r="P2" s="772"/>
      <c r="Q2" s="772"/>
      <c r="R2" s="772"/>
      <c r="S2" s="772"/>
      <c r="T2" s="772"/>
      <c r="U2" s="772"/>
      <c r="V2" s="772"/>
      <c r="W2" s="772"/>
      <c r="X2" s="772"/>
      <c r="Y2" s="772"/>
      <c r="Z2" s="772"/>
      <c r="AA2" s="772"/>
      <c r="AB2" s="618"/>
      <c r="AC2" s="618"/>
      <c r="AD2" s="618"/>
      <c r="AE2" s="618"/>
      <c r="AF2" s="618"/>
      <c r="AG2" s="618"/>
      <c r="AH2" s="618"/>
      <c r="AI2" s="618"/>
      <c r="AJ2" s="618"/>
      <c r="AK2" s="618"/>
      <c r="AL2" s="618"/>
      <c r="AM2" s="618"/>
    </row>
    <row r="3" spans="5:32" ht="12">
      <c r="E3" s="772"/>
      <c r="F3" s="772"/>
      <c r="G3" s="772"/>
      <c r="H3" s="772"/>
      <c r="I3" s="773"/>
      <c r="J3" s="772"/>
      <c r="K3" s="772"/>
      <c r="L3" s="772"/>
      <c r="M3" s="772"/>
      <c r="N3" s="774"/>
      <c r="O3" s="772"/>
      <c r="P3" s="772"/>
      <c r="Q3" s="772"/>
      <c r="T3" s="772"/>
      <c r="U3" s="772"/>
      <c r="V3" s="772"/>
      <c r="W3" s="772"/>
      <c r="X3" s="772"/>
      <c r="Y3" s="772"/>
      <c r="Z3" s="772"/>
      <c r="AA3" s="772"/>
      <c r="AB3" s="618"/>
      <c r="AC3" s="618"/>
      <c r="AD3" s="618"/>
      <c r="AE3" s="618"/>
      <c r="AF3" s="618"/>
    </row>
    <row r="4" spans="2:44" s="770" customFormat="1" ht="12">
      <c r="B4" s="770" t="s">
        <v>114</v>
      </c>
      <c r="C4" s="776" t="s">
        <v>597</v>
      </c>
      <c r="D4" s="281">
        <v>313678</v>
      </c>
      <c r="E4" s="627">
        <f>D4*1.01</f>
        <v>316814.78</v>
      </c>
      <c r="F4" s="627">
        <f>E4*1.015</f>
        <v>321567.0017</v>
      </c>
      <c r="G4" s="627">
        <f>F4*1.02</f>
        <v>327998.341734</v>
      </c>
      <c r="H4" s="627"/>
      <c r="I4" s="778"/>
      <c r="J4" s="627"/>
      <c r="K4" s="627"/>
      <c r="L4" s="627"/>
      <c r="M4" s="627"/>
      <c r="N4" s="641"/>
      <c r="O4" s="627"/>
      <c r="P4" s="627"/>
      <c r="Q4" s="627"/>
      <c r="R4" s="627"/>
      <c r="S4" s="627"/>
      <c r="T4" s="627"/>
      <c r="U4" s="627"/>
      <c r="V4" s="627"/>
      <c r="W4" s="627"/>
      <c r="X4" s="627"/>
      <c r="Y4" s="627"/>
      <c r="Z4" s="627"/>
      <c r="AA4" s="627"/>
      <c r="AB4" s="627"/>
      <c r="AO4" s="469"/>
      <c r="AQ4" s="469"/>
      <c r="AR4" s="469"/>
    </row>
    <row r="5" spans="3:39" ht="12">
      <c r="C5" s="930"/>
      <c r="I5" s="778"/>
      <c r="AG5" s="469"/>
      <c r="AH5" s="469"/>
      <c r="AI5" s="469"/>
      <c r="AM5" s="618"/>
    </row>
    <row r="6" spans="2:42" s="770" customFormat="1" ht="12">
      <c r="B6" s="770" t="s">
        <v>121</v>
      </c>
      <c r="C6" s="776" t="s">
        <v>624</v>
      </c>
      <c r="D6" s="281">
        <v>10064</v>
      </c>
      <c r="E6" s="627">
        <v>10064</v>
      </c>
      <c r="F6" s="627">
        <v>11000</v>
      </c>
      <c r="G6" s="627">
        <v>11000</v>
      </c>
      <c r="H6" s="627"/>
      <c r="I6" s="778"/>
      <c r="J6" s="627"/>
      <c r="K6" s="627"/>
      <c r="L6" s="627"/>
      <c r="M6" s="627"/>
      <c r="N6" s="641"/>
      <c r="O6" s="627"/>
      <c r="P6" s="627"/>
      <c r="Q6" s="627"/>
      <c r="R6" s="627"/>
      <c r="S6" s="627"/>
      <c r="T6" s="627"/>
      <c r="U6" s="627"/>
      <c r="V6" s="627"/>
      <c r="W6" s="627"/>
      <c r="X6" s="627"/>
      <c r="Y6" s="627"/>
      <c r="Z6" s="627"/>
      <c r="AA6" s="627"/>
      <c r="AN6" s="469"/>
      <c r="AO6" s="469"/>
      <c r="AP6" s="469"/>
    </row>
    <row r="7" spans="3:39" ht="12">
      <c r="C7" s="930"/>
      <c r="I7" s="778"/>
      <c r="AM7" s="770"/>
    </row>
    <row r="8" spans="2:42" s="770" customFormat="1" ht="12">
      <c r="B8" s="770" t="s">
        <v>119</v>
      </c>
      <c r="C8" s="776" t="s">
        <v>625</v>
      </c>
      <c r="D8" s="281">
        <v>265454</v>
      </c>
      <c r="E8" s="627">
        <f>D8*1.1-18000</f>
        <v>273999.4</v>
      </c>
      <c r="F8" s="627">
        <f>E8*1.001</f>
        <v>274273.3994</v>
      </c>
      <c r="G8" s="627">
        <f>F8*1.022-1</f>
        <v>280306.4141868</v>
      </c>
      <c r="H8" s="627"/>
      <c r="I8" s="778"/>
      <c r="J8" s="627"/>
      <c r="K8" s="627"/>
      <c r="L8" s="627"/>
      <c r="M8" s="627"/>
      <c r="N8" s="641"/>
      <c r="O8" s="627"/>
      <c r="P8" s="627"/>
      <c r="Q8" s="627"/>
      <c r="R8" s="627"/>
      <c r="S8" s="627"/>
      <c r="T8" s="627"/>
      <c r="U8" s="627"/>
      <c r="V8" s="627"/>
      <c r="W8" s="627"/>
      <c r="X8" s="627"/>
      <c r="Y8" s="627"/>
      <c r="Z8" s="627"/>
      <c r="AA8" s="627"/>
      <c r="AB8" s="627"/>
      <c r="AG8" s="627"/>
      <c r="AO8" s="469"/>
      <c r="AP8" s="469"/>
    </row>
    <row r="9" spans="3:39" ht="12">
      <c r="C9" s="930"/>
      <c r="I9" s="778"/>
      <c r="AB9" s="777"/>
      <c r="AC9" s="777"/>
      <c r="AD9" s="777"/>
      <c r="AF9" s="777"/>
      <c r="AG9" s="777"/>
      <c r="AM9" s="618"/>
    </row>
    <row r="10" spans="2:33" ht="12">
      <c r="B10" s="770" t="s">
        <v>120</v>
      </c>
      <c r="C10" s="776" t="s">
        <v>626</v>
      </c>
      <c r="D10" s="281">
        <v>154843</v>
      </c>
      <c r="E10" s="627">
        <f>SUM(E12:E14)</f>
        <v>116676</v>
      </c>
      <c r="F10" s="627">
        <f>SUM(F12:F14)</f>
        <v>94797</v>
      </c>
      <c r="G10" s="627">
        <f>SUM(G12:G14)</f>
        <v>118095</v>
      </c>
      <c r="H10" s="627"/>
      <c r="I10" s="778"/>
      <c r="J10" s="627"/>
      <c r="K10" s="627"/>
      <c r="L10" s="627"/>
      <c r="M10" s="627"/>
      <c r="N10" s="641"/>
      <c r="O10" s="627"/>
      <c r="P10" s="627"/>
      <c r="Q10" s="627"/>
      <c r="R10" s="627"/>
      <c r="S10" s="627"/>
      <c r="T10" s="627"/>
      <c r="U10" s="627"/>
      <c r="V10" s="627"/>
      <c r="W10" s="627"/>
      <c r="X10" s="627"/>
      <c r="Y10" s="627"/>
      <c r="Z10" s="627"/>
      <c r="AA10" s="627"/>
      <c r="AB10" s="281"/>
      <c r="AC10" s="770"/>
      <c r="AD10" s="770"/>
      <c r="AE10" s="770"/>
      <c r="AF10" s="770"/>
      <c r="AG10" s="770"/>
    </row>
    <row r="11" spans="2:33" ht="12">
      <c r="B11" s="770"/>
      <c r="C11" s="770"/>
      <c r="D11" s="281"/>
      <c r="E11" s="627"/>
      <c r="F11" s="627"/>
      <c r="G11" s="627"/>
      <c r="H11" s="627"/>
      <c r="I11" s="778"/>
      <c r="J11" s="627"/>
      <c r="K11" s="627"/>
      <c r="L11" s="627"/>
      <c r="M11" s="627"/>
      <c r="N11" s="641"/>
      <c r="O11" s="627"/>
      <c r="P11" s="627"/>
      <c r="Q11" s="627"/>
      <c r="R11" s="627"/>
      <c r="S11" s="627"/>
      <c r="T11" s="627"/>
      <c r="U11" s="627"/>
      <c r="V11" s="627"/>
      <c r="W11" s="627"/>
      <c r="X11" s="627"/>
      <c r="Y11" s="627"/>
      <c r="Z11" s="627"/>
      <c r="AA11" s="627"/>
      <c r="AB11" s="281"/>
      <c r="AC11" s="770"/>
      <c r="AD11" s="770"/>
      <c r="AE11" s="770"/>
      <c r="AF11" s="770"/>
      <c r="AG11" s="770"/>
    </row>
    <row r="12" spans="2:33" ht="12">
      <c r="B12" s="770"/>
      <c r="C12" s="780" t="s">
        <v>101</v>
      </c>
      <c r="D12" s="455">
        <v>83463</v>
      </c>
      <c r="E12" s="781">
        <f>84488-510-300+200-12202</f>
        <v>71676</v>
      </c>
      <c r="F12" s="781">
        <f>83463+32014-22680-10000</f>
        <v>82797</v>
      </c>
      <c r="G12" s="781">
        <f>83463+6545-50-9900-15343</f>
        <v>64715</v>
      </c>
      <c r="H12" s="781"/>
      <c r="I12" s="778"/>
      <c r="J12" s="781"/>
      <c r="K12" s="781"/>
      <c r="L12" s="781"/>
      <c r="M12" s="781"/>
      <c r="N12" s="782"/>
      <c r="O12" s="781"/>
      <c r="P12" s="781"/>
      <c r="Q12" s="781"/>
      <c r="R12" s="781"/>
      <c r="S12" s="781"/>
      <c r="T12" s="781"/>
      <c r="U12" s="781"/>
      <c r="V12" s="781"/>
      <c r="W12" s="781"/>
      <c r="X12" s="781"/>
      <c r="Y12" s="781"/>
      <c r="Z12" s="781"/>
      <c r="AA12" s="781"/>
      <c r="AB12" s="781"/>
      <c r="AC12" s="781"/>
      <c r="AD12" s="781"/>
      <c r="AE12" s="781"/>
      <c r="AF12" s="781"/>
      <c r="AG12" s="783"/>
    </row>
    <row r="13" ht="12">
      <c r="I13" s="778"/>
    </row>
    <row r="14" spans="3:9" ht="12">
      <c r="C14" s="780" t="s">
        <v>598</v>
      </c>
      <c r="D14" s="777">
        <v>71380</v>
      </c>
      <c r="E14" s="772">
        <f>70000-5000-20000</f>
        <v>45000</v>
      </c>
      <c r="F14" s="772">
        <v>12000</v>
      </c>
      <c r="G14" s="772">
        <f>71380-18000</f>
        <v>53380</v>
      </c>
      <c r="I14" s="778"/>
    </row>
    <row r="15" ht="12">
      <c r="I15" s="778"/>
    </row>
    <row r="16" spans="2:40" ht="12">
      <c r="B16" s="770" t="s">
        <v>123</v>
      </c>
      <c r="C16" s="776" t="s">
        <v>623</v>
      </c>
      <c r="D16" s="777">
        <v>150</v>
      </c>
      <c r="E16" s="772">
        <v>100</v>
      </c>
      <c r="F16" s="772">
        <v>150</v>
      </c>
      <c r="G16" s="772">
        <v>200</v>
      </c>
      <c r="H16" s="772"/>
      <c r="I16" s="778"/>
      <c r="J16" s="772"/>
      <c r="K16" s="772"/>
      <c r="L16" s="772"/>
      <c r="M16" s="772"/>
      <c r="N16" s="774"/>
      <c r="O16" s="772"/>
      <c r="P16" s="772"/>
      <c r="Q16" s="772"/>
      <c r="R16" s="772"/>
      <c r="S16" s="772"/>
      <c r="T16" s="772"/>
      <c r="U16" s="772"/>
      <c r="V16" s="772"/>
      <c r="W16" s="772"/>
      <c r="X16" s="772"/>
      <c r="Y16" s="772"/>
      <c r="Z16" s="772"/>
      <c r="AA16" s="772"/>
      <c r="AB16" s="618"/>
      <c r="AC16" s="618"/>
      <c r="AD16" s="618"/>
      <c r="AE16" s="618"/>
      <c r="AF16" s="618"/>
      <c r="AG16" s="618"/>
      <c r="AH16" s="618"/>
      <c r="AI16" s="618"/>
      <c r="AJ16" s="618"/>
      <c r="AK16" s="618"/>
      <c r="AL16" s="618"/>
      <c r="AM16" s="618"/>
      <c r="AN16" s="770"/>
    </row>
    <row r="17" spans="2:40" ht="12">
      <c r="B17" s="770"/>
      <c r="C17" s="930"/>
      <c r="I17" s="778"/>
      <c r="AB17" s="618"/>
      <c r="AC17" s="618"/>
      <c r="AD17" s="618"/>
      <c r="AE17" s="618"/>
      <c r="AF17" s="618"/>
      <c r="AG17" s="618"/>
      <c r="AH17" s="618"/>
      <c r="AI17" s="618"/>
      <c r="AJ17" s="618"/>
      <c r="AK17" s="618"/>
      <c r="AL17" s="618"/>
      <c r="AM17" s="618"/>
      <c r="AN17" s="770"/>
    </row>
    <row r="18" spans="1:40" ht="12">
      <c r="A18" s="770"/>
      <c r="B18" s="770" t="s">
        <v>124</v>
      </c>
      <c r="C18" s="776" t="s">
        <v>108</v>
      </c>
      <c r="D18" s="777">
        <f>+D16+D10+D8+D6+D4</f>
        <v>744189</v>
      </c>
      <c r="E18" s="772">
        <f>+E16+E10+E8+E6+E4</f>
        <v>717654.18</v>
      </c>
      <c r="F18" s="772">
        <f>+F16+F10+F8+F6+F4</f>
        <v>701787.4011</v>
      </c>
      <c r="G18" s="772">
        <f>+G16+G10+G8+G6+G4</f>
        <v>737599.7559208</v>
      </c>
      <c r="I18" s="778"/>
      <c r="AB18" s="618"/>
      <c r="AC18" s="618"/>
      <c r="AD18" s="618"/>
      <c r="AE18" s="618"/>
      <c r="AF18" s="618"/>
      <c r="AG18" s="618"/>
      <c r="AH18" s="618"/>
      <c r="AI18" s="618"/>
      <c r="AJ18" s="618"/>
      <c r="AK18" s="618"/>
      <c r="AL18" s="618"/>
      <c r="AM18" s="618"/>
      <c r="AN18" s="770"/>
    </row>
    <row r="19" spans="2:40" ht="12">
      <c r="B19" s="770"/>
      <c r="I19" s="778"/>
      <c r="AB19" s="618"/>
      <c r="AC19" s="618"/>
      <c r="AD19" s="618"/>
      <c r="AE19" s="618"/>
      <c r="AF19" s="618"/>
      <c r="AG19" s="618"/>
      <c r="AH19" s="618"/>
      <c r="AI19" s="618"/>
      <c r="AJ19" s="618"/>
      <c r="AK19" s="618"/>
      <c r="AL19" s="618"/>
      <c r="AM19" s="618"/>
      <c r="AN19" s="770"/>
    </row>
    <row r="20" spans="4:39" s="770" customFormat="1" ht="12">
      <c r="D20" s="281"/>
      <c r="E20" s="281"/>
      <c r="F20" s="281"/>
      <c r="G20" s="281"/>
      <c r="H20" s="281"/>
      <c r="I20" s="778"/>
      <c r="J20" s="281"/>
      <c r="K20" s="281"/>
      <c r="L20" s="281"/>
      <c r="M20" s="281"/>
      <c r="N20" s="641"/>
      <c r="O20" s="627"/>
      <c r="P20" s="627"/>
      <c r="Q20" s="627"/>
      <c r="R20" s="627"/>
      <c r="S20" s="627"/>
      <c r="T20" s="627"/>
      <c r="U20" s="281"/>
      <c r="V20" s="281"/>
      <c r="W20" s="281"/>
      <c r="X20" s="281"/>
      <c r="Y20" s="281"/>
      <c r="Z20" s="281"/>
      <c r="AA20" s="281"/>
      <c r="AB20" s="469"/>
      <c r="AC20" s="469"/>
      <c r="AD20" s="469"/>
      <c r="AE20" s="469"/>
      <c r="AF20" s="281"/>
      <c r="AH20" s="469"/>
      <c r="AI20" s="469"/>
      <c r="AK20" s="775"/>
      <c r="AL20" s="775"/>
      <c r="AM20" s="775"/>
    </row>
    <row r="21" spans="2:39" s="770" customFormat="1" ht="12">
      <c r="B21" s="770" t="s">
        <v>109</v>
      </c>
      <c r="D21" s="281">
        <f>+D18</f>
        <v>744189</v>
      </c>
      <c r="E21" s="627">
        <f>+E18</f>
        <v>717654.18</v>
      </c>
      <c r="F21" s="627">
        <f>+F18</f>
        <v>701787.4011</v>
      </c>
      <c r="G21" s="627">
        <f>+G18</f>
        <v>737599.7559208</v>
      </c>
      <c r="H21" s="281"/>
      <c r="I21" s="778"/>
      <c r="J21" s="281"/>
      <c r="K21" s="281"/>
      <c r="L21" s="281"/>
      <c r="M21" s="281"/>
      <c r="N21" s="641"/>
      <c r="O21" s="627"/>
      <c r="P21" s="627"/>
      <c r="Q21" s="627"/>
      <c r="R21" s="627"/>
      <c r="S21" s="627"/>
      <c r="T21" s="627"/>
      <c r="U21" s="281"/>
      <c r="V21" s="281"/>
      <c r="W21" s="281"/>
      <c r="X21" s="281"/>
      <c r="Y21" s="281"/>
      <c r="Z21" s="281"/>
      <c r="AA21" s="281"/>
      <c r="AB21" s="469"/>
      <c r="AC21" s="469"/>
      <c r="AD21" s="469"/>
      <c r="AE21" s="469"/>
      <c r="AF21" s="281"/>
      <c r="AH21" s="469"/>
      <c r="AI21" s="469"/>
      <c r="AK21" s="775"/>
      <c r="AL21" s="775"/>
      <c r="AM21" s="775"/>
    </row>
    <row r="22" spans="2:9" ht="12">
      <c r="B22" s="770" t="s">
        <v>110</v>
      </c>
      <c r="C22" s="770"/>
      <c r="D22" s="777">
        <f>'2.mell. pfkiadás'!E29</f>
        <v>744189</v>
      </c>
      <c r="E22" s="772">
        <f>'23.mell. kiadások 2015-2018'!E17</f>
        <v>717653.9249999999</v>
      </c>
      <c r="F22" s="772">
        <f>'23.mell. kiadások 2015-2018'!F17</f>
        <v>701787.0035</v>
      </c>
      <c r="G22" s="772">
        <f>'23.mell. kiadások 2015-2018'!G17</f>
        <v>737600.447542</v>
      </c>
      <c r="I22" s="778"/>
    </row>
    <row r="24" spans="1:39" ht="12">
      <c r="A24" s="770"/>
      <c r="B24" s="770"/>
      <c r="AA24" s="281"/>
      <c r="AB24" s="469"/>
      <c r="AC24" s="469"/>
      <c r="AD24" s="469"/>
      <c r="AE24" s="469"/>
      <c r="AF24" s="469"/>
      <c r="AG24" s="469"/>
      <c r="AH24" s="469"/>
      <c r="AI24" s="469"/>
      <c r="AJ24" s="469"/>
      <c r="AK24" s="469"/>
      <c r="AL24" s="469"/>
      <c r="AM24" s="469"/>
    </row>
    <row r="25" spans="4:38" ht="12">
      <c r="D25" s="785"/>
      <c r="E25" s="785"/>
      <c r="F25" s="785"/>
      <c r="G25" s="785"/>
      <c r="H25" s="785"/>
      <c r="I25" s="786"/>
      <c r="J25" s="785"/>
      <c r="K25" s="785"/>
      <c r="L25" s="785"/>
      <c r="M25" s="785"/>
      <c r="N25" s="787"/>
      <c r="O25" s="785"/>
      <c r="P25" s="785"/>
      <c r="Q25" s="785"/>
      <c r="R25" s="785"/>
      <c r="S25" s="785"/>
      <c r="T25" s="785"/>
      <c r="U25" s="785"/>
      <c r="V25" s="785"/>
      <c r="W25" s="785"/>
      <c r="X25" s="785"/>
      <c r="Y25" s="785"/>
      <c r="Z25" s="785"/>
      <c r="AA25" s="785"/>
      <c r="AB25" s="788"/>
      <c r="AC25" s="788"/>
      <c r="AD25" s="788"/>
      <c r="AE25" s="788"/>
      <c r="AF25" s="469"/>
      <c r="AG25" s="469"/>
      <c r="AH25" s="469"/>
      <c r="AI25" s="469"/>
      <c r="AJ25" s="788"/>
      <c r="AK25" s="788"/>
      <c r="AL25" s="788"/>
    </row>
    <row r="26" spans="4:38" ht="12">
      <c r="D26" s="281"/>
      <c r="E26" s="281"/>
      <c r="F26" s="281"/>
      <c r="G26" s="281"/>
      <c r="H26" s="281"/>
      <c r="I26" s="789"/>
      <c r="J26" s="281"/>
      <c r="K26" s="281"/>
      <c r="L26" s="281"/>
      <c r="M26" s="281"/>
      <c r="N26" s="790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469"/>
      <c r="AC26" s="469"/>
      <c r="AD26" s="469"/>
      <c r="AE26" s="469"/>
      <c r="AF26" s="469"/>
      <c r="AG26" s="469"/>
      <c r="AH26" s="469"/>
      <c r="AI26" s="469"/>
      <c r="AJ26" s="788"/>
      <c r="AK26" s="788"/>
      <c r="AL26" s="788"/>
    </row>
    <row r="27" spans="4:35" ht="12">
      <c r="D27" s="785"/>
      <c r="E27" s="785"/>
      <c r="F27" s="785"/>
      <c r="G27" s="785"/>
      <c r="H27" s="785"/>
      <c r="I27" s="786"/>
      <c r="J27" s="785"/>
      <c r="K27" s="785"/>
      <c r="L27" s="785"/>
      <c r="M27" s="785"/>
      <c r="N27" s="787"/>
      <c r="O27" s="785"/>
      <c r="P27" s="785"/>
      <c r="Q27" s="785"/>
      <c r="R27" s="785"/>
      <c r="S27" s="785"/>
      <c r="T27" s="785"/>
      <c r="U27" s="785"/>
      <c r="V27" s="785"/>
      <c r="W27" s="785"/>
      <c r="X27" s="785"/>
      <c r="Y27" s="785"/>
      <c r="Z27" s="785"/>
      <c r="AA27" s="785"/>
      <c r="AB27" s="788"/>
      <c r="AC27" s="788"/>
      <c r="AD27" s="788"/>
      <c r="AE27" s="788"/>
      <c r="AF27" s="788"/>
      <c r="AG27" s="788"/>
      <c r="AH27" s="788"/>
      <c r="AI27" s="788"/>
    </row>
    <row r="28" ht="12">
      <c r="B28" s="788"/>
    </row>
    <row r="29" spans="2:39" ht="12">
      <c r="B29" s="788"/>
      <c r="AB29" s="791"/>
      <c r="AC29" s="791"/>
      <c r="AD29" s="791"/>
      <c r="AE29" s="791"/>
      <c r="AF29" s="791"/>
      <c r="AG29" s="791"/>
      <c r="AH29" s="791"/>
      <c r="AI29" s="791"/>
      <c r="AJ29" s="791"/>
      <c r="AK29" s="791"/>
      <c r="AL29" s="791"/>
      <c r="AM29" s="791"/>
    </row>
    <row r="30" spans="28:39" ht="12">
      <c r="AB30" s="779"/>
      <c r="AC30" s="791"/>
      <c r="AD30" s="791"/>
      <c r="AE30" s="791"/>
      <c r="AF30" s="791"/>
      <c r="AG30" s="791"/>
      <c r="AH30" s="791"/>
      <c r="AI30" s="791"/>
      <c r="AJ30" s="791"/>
      <c r="AK30" s="791"/>
      <c r="AL30" s="791"/>
      <c r="AM30" s="791"/>
    </row>
    <row r="31" ht="12">
      <c r="AO31" s="770"/>
    </row>
    <row r="32" spans="28:39" ht="12">
      <c r="AB32" s="779"/>
      <c r="AC32" s="779"/>
      <c r="AD32" s="779"/>
      <c r="AE32" s="779"/>
      <c r="AF32" s="779"/>
      <c r="AG32" s="779"/>
      <c r="AH32" s="779"/>
      <c r="AI32" s="779"/>
      <c r="AJ32" s="791"/>
      <c r="AK32" s="791"/>
      <c r="AL32" s="791"/>
      <c r="AM32" s="791"/>
    </row>
    <row r="35" spans="28:38" ht="12">
      <c r="AB35" s="791"/>
      <c r="AC35" s="791"/>
      <c r="AD35" s="791"/>
      <c r="AE35" s="791"/>
      <c r="AF35" s="791"/>
      <c r="AG35" s="791"/>
      <c r="AH35" s="791"/>
      <c r="AI35" s="791"/>
      <c r="AJ35" s="791"/>
      <c r="AK35" s="791"/>
      <c r="AL35" s="791"/>
    </row>
    <row r="49" ht="12">
      <c r="C49" s="788"/>
    </row>
    <row r="50" ht="12">
      <c r="C50" s="788"/>
    </row>
    <row r="54" ht="12">
      <c r="C54" s="775"/>
    </row>
    <row r="55" ht="12">
      <c r="C55" s="775"/>
    </row>
    <row r="56" ht="12">
      <c r="C56" s="775"/>
    </row>
  </sheetData>
  <sheetProtection/>
  <printOptions/>
  <pageMargins left="0.7" right="0.7" top="0.75" bottom="0.75" header="0.3" footer="0.3"/>
  <pageSetup horizontalDpi="600" verticalDpi="600" orientation="portrait" paperSize="9" scale="77" r:id="rId1"/>
  <headerFooter alignWithMargins="0">
    <oddHeader>&amp;L22. melléklet a 2015. évi 3/2015.(II.25.) Önkormányzati költségvetési rendelethez&amp;R2015.02.25</oddHeader>
    <oddFooter>&amp;R&amp;F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24"/>
  <sheetViews>
    <sheetView view="pageLayout" zoomScaleSheetLayoutView="100" workbookViewId="0" topLeftCell="A1">
      <selection activeCell="E37" sqref="E37"/>
    </sheetView>
  </sheetViews>
  <sheetFormatPr defaultColWidth="9.140625" defaultRowHeight="12" customHeight="1"/>
  <cols>
    <col min="1" max="1" width="5.28125" style="97" customWidth="1"/>
    <col min="2" max="2" width="5.00390625" style="97" customWidth="1"/>
    <col min="3" max="3" width="44.00390625" style="97" customWidth="1"/>
    <col min="4" max="4" width="13.140625" style="97" customWidth="1"/>
    <col min="5" max="7" width="14.57421875" style="97" customWidth="1"/>
    <col min="8" max="16384" width="9.140625" style="97" customWidth="1"/>
  </cols>
  <sheetData>
    <row r="1" spans="1:7" ht="12" customHeight="1">
      <c r="A1" s="459" t="s">
        <v>113</v>
      </c>
      <c r="B1" s="460"/>
      <c r="C1" s="460"/>
      <c r="D1" s="433" t="s">
        <v>369</v>
      </c>
      <c r="E1" s="461" t="s">
        <v>607</v>
      </c>
      <c r="F1" s="461" t="s">
        <v>608</v>
      </c>
      <c r="G1" s="461" t="s">
        <v>609</v>
      </c>
    </row>
    <row r="2" spans="2:7" ht="12" customHeight="1">
      <c r="B2" s="465"/>
      <c r="C2" s="465"/>
      <c r="D2" s="433" t="s">
        <v>454</v>
      </c>
      <c r="E2" s="461" t="s">
        <v>454</v>
      </c>
      <c r="F2" s="461" t="s">
        <v>454</v>
      </c>
      <c r="G2" s="461" t="s">
        <v>454</v>
      </c>
    </row>
    <row r="3" spans="2:3" ht="12" customHeight="1">
      <c r="B3" s="465"/>
      <c r="C3" s="466"/>
    </row>
    <row r="4" spans="1:7" s="745" customFormat="1" ht="12" customHeight="1">
      <c r="A4" s="97"/>
      <c r="B4" s="465" t="s">
        <v>114</v>
      </c>
      <c r="C4" s="931" t="s">
        <v>610</v>
      </c>
      <c r="D4" s="747">
        <v>543077</v>
      </c>
      <c r="E4" s="741">
        <f>D4*1.025</f>
        <v>556653.9249999999</v>
      </c>
      <c r="F4" s="741">
        <f>E4*1.02</f>
        <v>567787.0035</v>
      </c>
      <c r="G4" s="741">
        <f>F4*1.012</f>
        <v>574600.447542</v>
      </c>
    </row>
    <row r="5" spans="3:7" ht="12" customHeight="1">
      <c r="C5" s="932"/>
      <c r="D5" s="98"/>
      <c r="E5" s="98"/>
      <c r="F5" s="98"/>
      <c r="G5" s="98"/>
    </row>
    <row r="6" spans="2:7" ht="12" customHeight="1">
      <c r="B6" s="465" t="s">
        <v>121</v>
      </c>
      <c r="C6" s="931" t="s">
        <v>621</v>
      </c>
      <c r="D6" s="747">
        <v>48438</v>
      </c>
      <c r="E6" s="741">
        <v>36000</v>
      </c>
      <c r="F6" s="741">
        <v>32000</v>
      </c>
      <c r="G6" s="741">
        <v>29000</v>
      </c>
    </row>
    <row r="7" spans="2:7" ht="12" customHeight="1">
      <c r="B7" s="465"/>
      <c r="C7" s="743"/>
      <c r="D7" s="98"/>
      <c r="E7" s="98"/>
      <c r="F7" s="98"/>
      <c r="G7" s="98"/>
    </row>
    <row r="8" spans="2:7" ht="12" customHeight="1">
      <c r="B8" s="465" t="s">
        <v>119</v>
      </c>
      <c r="C8" s="931" t="s">
        <v>611</v>
      </c>
      <c r="D8" s="98">
        <v>120174</v>
      </c>
      <c r="E8" s="744">
        <v>45000</v>
      </c>
      <c r="F8" s="744">
        <v>47000</v>
      </c>
      <c r="G8" s="744">
        <v>48000</v>
      </c>
    </row>
    <row r="9" spans="2:7" ht="12" customHeight="1">
      <c r="B9" s="465"/>
      <c r="C9" s="743"/>
      <c r="D9" s="98"/>
      <c r="E9" s="98"/>
      <c r="F9" s="98"/>
      <c r="G9" s="98"/>
    </row>
    <row r="10" spans="2:7" ht="12" customHeight="1">
      <c r="B10" s="465" t="s">
        <v>120</v>
      </c>
      <c r="C10" s="931" t="s">
        <v>129</v>
      </c>
      <c r="D10" s="747">
        <v>31500</v>
      </c>
      <c r="E10" s="741">
        <v>79000</v>
      </c>
      <c r="F10" s="741">
        <v>53000</v>
      </c>
      <c r="G10" s="741">
        <v>85000</v>
      </c>
    </row>
    <row r="11" spans="2:7" ht="12" customHeight="1">
      <c r="B11" s="465"/>
      <c r="C11" s="743"/>
      <c r="D11" s="98"/>
      <c r="E11" s="98"/>
      <c r="F11" s="98"/>
      <c r="G11" s="98"/>
    </row>
    <row r="12" spans="2:7" ht="12" customHeight="1">
      <c r="B12" s="465" t="s">
        <v>123</v>
      </c>
      <c r="C12" s="755" t="s">
        <v>622</v>
      </c>
      <c r="D12" s="98">
        <v>1000</v>
      </c>
      <c r="E12" s="744">
        <v>1000</v>
      </c>
      <c r="F12" s="744">
        <v>2000</v>
      </c>
      <c r="G12" s="744">
        <v>1000</v>
      </c>
    </row>
    <row r="13" spans="2:9" ht="12" customHeight="1">
      <c r="B13" s="465"/>
      <c r="C13" s="743"/>
      <c r="D13" s="98"/>
      <c r="E13" s="98"/>
      <c r="F13" s="98"/>
      <c r="G13" s="98"/>
      <c r="I13" s="97" t="s">
        <v>353</v>
      </c>
    </row>
    <row r="14" spans="2:7" ht="12" customHeight="1">
      <c r="B14" s="465" t="s">
        <v>124</v>
      </c>
      <c r="C14" s="931" t="s">
        <v>133</v>
      </c>
      <c r="D14" s="98">
        <f>D4+D6+D8+D10+D12</f>
        <v>744189</v>
      </c>
      <c r="E14" s="744">
        <f>E4+E6+E8+E10+E12</f>
        <v>717653.9249999999</v>
      </c>
      <c r="F14" s="744">
        <f>F4+F6+F8+F10+F12</f>
        <v>701787.0035</v>
      </c>
      <c r="G14" s="744">
        <f>G4+G6+G8+G10+G12</f>
        <v>737600.447542</v>
      </c>
    </row>
    <row r="15" spans="2:7" ht="12" customHeight="1">
      <c r="B15" s="465"/>
      <c r="C15" s="465"/>
      <c r="D15" s="98"/>
      <c r="E15" s="744"/>
      <c r="F15" s="744"/>
      <c r="G15" s="744"/>
    </row>
    <row r="16" spans="2:7" ht="12" customHeight="1">
      <c r="B16" s="465"/>
      <c r="C16" s="465"/>
      <c r="D16" s="98"/>
      <c r="E16" s="744"/>
      <c r="F16" s="744"/>
      <c r="G16" s="744"/>
    </row>
    <row r="17" spans="2:7" ht="12" customHeight="1">
      <c r="B17" s="465"/>
      <c r="C17" s="465" t="s">
        <v>110</v>
      </c>
      <c r="D17" s="98">
        <f>SUM(D4:D12)</f>
        <v>744189</v>
      </c>
      <c r="E17" s="744">
        <f>SUM(E4:E12)</f>
        <v>717653.9249999999</v>
      </c>
      <c r="F17" s="744">
        <f>SUM(F4:F12)</f>
        <v>701787.0035</v>
      </c>
      <c r="G17" s="744">
        <f>SUM(G4:G12)</f>
        <v>737600.447542</v>
      </c>
    </row>
    <row r="18" spans="2:7" ht="12" customHeight="1">
      <c r="B18" s="465"/>
      <c r="C18" s="466"/>
      <c r="D18" s="747"/>
      <c r="E18" s="741"/>
      <c r="F18" s="741"/>
      <c r="G18" s="741"/>
    </row>
    <row r="19" spans="4:7" ht="12" customHeight="1">
      <c r="D19" s="98"/>
      <c r="E19" s="98"/>
      <c r="F19" s="98"/>
      <c r="G19" s="98"/>
    </row>
    <row r="20" spans="4:7" ht="12" customHeight="1">
      <c r="D20" s="98"/>
      <c r="E20" s="98"/>
      <c r="F20" s="98"/>
      <c r="G20" s="98"/>
    </row>
    <row r="21" spans="4:7" ht="12" customHeight="1">
      <c r="D21" s="98"/>
      <c r="E21" s="98"/>
      <c r="F21" s="98"/>
      <c r="G21" s="98"/>
    </row>
    <row r="22" spans="4:7" ht="12" customHeight="1">
      <c r="D22" s="98"/>
      <c r="E22" s="98"/>
      <c r="F22" s="98"/>
      <c r="G22" s="98"/>
    </row>
    <row r="23" spans="4:7" ht="12" customHeight="1">
      <c r="D23" s="98" t="s">
        <v>353</v>
      </c>
      <c r="E23" s="98" t="s">
        <v>353</v>
      </c>
      <c r="F23" s="98" t="s">
        <v>353</v>
      </c>
      <c r="G23" s="98" t="s">
        <v>353</v>
      </c>
    </row>
    <row r="24" spans="4:7" ht="12" customHeight="1">
      <c r="D24" s="98"/>
      <c r="E24" s="98"/>
      <c r="F24" s="98"/>
      <c r="G24" s="98"/>
    </row>
  </sheetData>
  <sheetProtection/>
  <printOptions/>
  <pageMargins left="0.75" right="0.75" top="1" bottom="1" header="0.5" footer="0.5"/>
  <pageSetup horizontalDpi="600" verticalDpi="600" orientation="portrait" paperSize="9" scale="79" r:id="rId1"/>
  <headerFooter alignWithMargins="0">
    <oddHeader>&amp;L23. melléklet a 2015. évi 3/2015.(II.25.) Önkormányzati költségvetési rendelethez&amp;R2015.02.25</oddHeader>
    <oddFooter>&amp;R&amp;F</oddFooter>
  </headerFooter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E32"/>
  <sheetViews>
    <sheetView view="pageBreakPreview" zoomScaleSheetLayoutView="100" workbookViewId="0" topLeftCell="A4">
      <selection activeCell="Q33" sqref="Q33"/>
    </sheetView>
  </sheetViews>
  <sheetFormatPr defaultColWidth="9.140625" defaultRowHeight="30.75" customHeight="1"/>
  <cols>
    <col min="1" max="1" width="4.57421875" style="421" bestFit="1" customWidth="1"/>
    <col min="2" max="2" width="27.421875" style="421" customWidth="1"/>
    <col min="3" max="3" width="19.00390625" style="421" customWidth="1"/>
    <col min="4" max="4" width="13.421875" style="554" customWidth="1"/>
    <col min="5" max="5" width="11.7109375" style="554" customWidth="1"/>
    <col min="6" max="7" width="11.140625" style="554" customWidth="1"/>
    <col min="8" max="8" width="11.421875" style="554" customWidth="1"/>
    <col min="9" max="9" width="13.28125" style="554" customWidth="1"/>
    <col min="10" max="10" width="9.57421875" style="554" customWidth="1"/>
    <col min="11" max="11" width="13.140625" style="554" customWidth="1"/>
    <col min="12" max="12" width="15.28125" style="554" customWidth="1"/>
    <col min="13" max="13" width="9.140625" style="554" customWidth="1"/>
    <col min="14" max="14" width="11.7109375" style="554" customWidth="1"/>
    <col min="15" max="16" width="9.140625" style="554" customWidth="1"/>
    <col min="17" max="17" width="9.57421875" style="554" bestFit="1" customWidth="1"/>
    <col min="18" max="31" width="9.140625" style="554" customWidth="1"/>
    <col min="32" max="16384" width="9.140625" style="421" customWidth="1"/>
  </cols>
  <sheetData>
    <row r="1" ht="17.25" customHeight="1">
      <c r="B1" s="421" t="s">
        <v>617</v>
      </c>
    </row>
    <row r="2" spans="2:12" ht="14.25" customHeight="1">
      <c r="B2" s="2" t="s">
        <v>0</v>
      </c>
      <c r="C2" s="2"/>
      <c r="D2" s="3" t="s">
        <v>1</v>
      </c>
      <c r="E2" s="3" t="s">
        <v>2</v>
      </c>
      <c r="F2" s="981" t="s">
        <v>3</v>
      </c>
      <c r="G2" s="981"/>
      <c r="H2" s="981"/>
      <c r="I2" s="3" t="s">
        <v>4</v>
      </c>
      <c r="J2" s="3"/>
      <c r="K2" s="3" t="s">
        <v>5</v>
      </c>
      <c r="L2" s="3" t="s">
        <v>6</v>
      </c>
    </row>
    <row r="3" spans="3:12" ht="15" customHeight="1">
      <c r="C3" s="493"/>
      <c r="D3" s="557"/>
      <c r="E3" s="557"/>
      <c r="F3" s="429" t="s">
        <v>7</v>
      </c>
      <c r="G3" s="934" t="s">
        <v>8</v>
      </c>
      <c r="H3" s="934" t="s">
        <v>9</v>
      </c>
      <c r="I3" s="557"/>
      <c r="J3" s="557"/>
      <c r="K3" s="557"/>
      <c r="L3" s="557"/>
    </row>
    <row r="4" spans="1:31" s="422" customFormat="1" ht="30.75" customHeight="1">
      <c r="A4" s="422" t="s">
        <v>20</v>
      </c>
      <c r="B4" s="964" t="str">
        <f>+'[1]2mell 1ápr'!A28</f>
        <v>Városellátó  Szervezet</v>
      </c>
      <c r="C4" s="970" t="s">
        <v>367</v>
      </c>
      <c r="D4" s="971">
        <v>85768</v>
      </c>
      <c r="E4" s="971">
        <v>0</v>
      </c>
      <c r="F4" s="971">
        <v>0</v>
      </c>
      <c r="G4" s="971">
        <v>0</v>
      </c>
      <c r="H4" s="971">
        <v>0</v>
      </c>
      <c r="I4" s="971">
        <f>+L4-D4-E4-F4-G4-H4-J4</f>
        <v>94148</v>
      </c>
      <c r="J4" s="971">
        <v>0</v>
      </c>
      <c r="K4" s="971">
        <f>SUM(D4:J4)</f>
        <v>179916</v>
      </c>
      <c r="L4" s="971">
        <f>+'4.mell. kiadás'!M5</f>
        <v>179916</v>
      </c>
      <c r="M4" s="965"/>
      <c r="N4" s="965">
        <f>+L4-K4</f>
        <v>0</v>
      </c>
      <c r="O4" s="965"/>
      <c r="P4" s="965"/>
      <c r="Q4" s="965"/>
      <c r="R4" s="965"/>
      <c r="S4" s="965"/>
      <c r="T4" s="965"/>
      <c r="U4" s="965"/>
      <c r="V4" s="965"/>
      <c r="W4" s="965"/>
      <c r="X4" s="965"/>
      <c r="Y4" s="965"/>
      <c r="Z4" s="965"/>
      <c r="AA4" s="965"/>
      <c r="AB4" s="965"/>
      <c r="AC4" s="965"/>
      <c r="AD4" s="965"/>
      <c r="AE4" s="965"/>
    </row>
    <row r="5" spans="1:31" s="185" customFormat="1" ht="30.75" customHeight="1">
      <c r="A5" s="421" t="s">
        <v>21</v>
      </c>
      <c r="B5" s="200"/>
      <c r="C5" s="959" t="s">
        <v>366</v>
      </c>
      <c r="D5" s="419">
        <v>99652</v>
      </c>
      <c r="E5" s="419">
        <v>1365</v>
      </c>
      <c r="F5" s="419">
        <v>1018</v>
      </c>
      <c r="G5" s="419">
        <v>27490</v>
      </c>
      <c r="H5" s="419">
        <f>+H4</f>
        <v>0</v>
      </c>
      <c r="I5" s="419">
        <f>+L5-D5-E5-F5-G5-H5-J5</f>
        <v>136957</v>
      </c>
      <c r="J5" s="419">
        <v>0</v>
      </c>
      <c r="K5" s="419">
        <f>SUM(D5:I5)</f>
        <v>266482</v>
      </c>
      <c r="L5" s="419">
        <f>+'4.mell. kiadás'!M6</f>
        <v>266482</v>
      </c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19"/>
      <c r="Y5" s="419"/>
      <c r="Z5" s="419"/>
      <c r="AA5" s="419"/>
      <c r="AB5" s="419"/>
      <c r="AC5" s="419"/>
      <c r="AD5" s="419"/>
      <c r="AE5" s="419"/>
    </row>
    <row r="6" spans="1:13" ht="30.75" customHeight="1">
      <c r="A6" s="421" t="s">
        <v>22</v>
      </c>
      <c r="B6" s="739"/>
      <c r="C6" s="969" t="s">
        <v>368</v>
      </c>
      <c r="D6" s="965">
        <v>80747</v>
      </c>
      <c r="E6" s="965">
        <v>0</v>
      </c>
      <c r="F6" s="965">
        <v>0</v>
      </c>
      <c r="G6" s="965">
        <v>0</v>
      </c>
      <c r="H6" s="965">
        <v>0</v>
      </c>
      <c r="I6" s="965">
        <f>+L6-J6-H6-G6-F6-E6-D6</f>
        <v>111088</v>
      </c>
      <c r="J6" s="965">
        <v>0</v>
      </c>
      <c r="K6" s="965">
        <f>SUM(D6:J6)</f>
        <v>191835</v>
      </c>
      <c r="L6" s="965">
        <f>+'4.mell. kiadás'!M7</f>
        <v>191835</v>
      </c>
      <c r="M6" s="554">
        <f>'[8]BEV.2015.'!$P$5</f>
        <v>187262.8</v>
      </c>
    </row>
    <row r="7" spans="2:14" ht="17.25" customHeight="1">
      <c r="B7" s="739"/>
      <c r="D7" s="557"/>
      <c r="F7" s="557"/>
      <c r="I7" s="557"/>
      <c r="J7" s="557"/>
      <c r="K7" s="557"/>
      <c r="L7" s="557"/>
      <c r="N7" s="554">
        <f>+L7-K7</f>
        <v>0</v>
      </c>
    </row>
    <row r="8" spans="1:31" s="422" customFormat="1" ht="30.75" customHeight="1">
      <c r="A8" s="421" t="s">
        <v>23</v>
      </c>
      <c r="B8" s="964" t="str">
        <f>+'[1]2mell 1ápr'!A32</f>
        <v>Egészségügyi és Szociális Ellátó Szervezet</v>
      </c>
      <c r="C8" s="968" t="s">
        <v>367</v>
      </c>
      <c r="D8" s="520">
        <v>8903</v>
      </c>
      <c r="E8" s="520">
        <v>0</v>
      </c>
      <c r="F8" s="520">
        <v>32500</v>
      </c>
      <c r="G8" s="520">
        <v>0</v>
      </c>
      <c r="H8" s="520">
        <v>0</v>
      </c>
      <c r="I8" s="520">
        <f>+L8-D8-E8-F8-G8-H8-J8</f>
        <v>84865</v>
      </c>
      <c r="J8" s="520">
        <v>0</v>
      </c>
      <c r="K8" s="520">
        <f>SUM(D8:J8)</f>
        <v>126268</v>
      </c>
      <c r="L8" s="520">
        <f>+'4.mell. kiadás'!M9</f>
        <v>126268</v>
      </c>
      <c r="M8" s="965"/>
      <c r="N8" s="965">
        <f>+L8-K8</f>
        <v>0</v>
      </c>
      <c r="O8" s="965"/>
      <c r="P8" s="965"/>
      <c r="Q8" s="965"/>
      <c r="R8" s="965"/>
      <c r="S8" s="965"/>
      <c r="T8" s="965"/>
      <c r="U8" s="965"/>
      <c r="V8" s="965"/>
      <c r="W8" s="965"/>
      <c r="X8" s="965"/>
      <c r="Y8" s="965"/>
      <c r="Z8" s="965"/>
      <c r="AA8" s="965"/>
      <c r="AB8" s="965"/>
      <c r="AC8" s="965"/>
      <c r="AD8" s="965"/>
      <c r="AE8" s="965"/>
    </row>
    <row r="9" spans="1:31" s="185" customFormat="1" ht="30.75" customHeight="1">
      <c r="A9" s="421" t="s">
        <v>24</v>
      </c>
      <c r="B9" s="200"/>
      <c r="C9" s="959" t="s">
        <v>366</v>
      </c>
      <c r="D9" s="419">
        <v>10541</v>
      </c>
      <c r="E9" s="419">
        <v>900</v>
      </c>
      <c r="F9" s="419">
        <v>47326</v>
      </c>
      <c r="G9" s="419">
        <v>2356</v>
      </c>
      <c r="H9" s="419">
        <f>+H8</f>
        <v>0</v>
      </c>
      <c r="I9" s="419">
        <f>+L9-D9-E9-F9-G9-H9-J9</f>
        <v>91274</v>
      </c>
      <c r="J9" s="419">
        <v>0</v>
      </c>
      <c r="K9" s="419">
        <f>SUM(D9:I9)</f>
        <v>152397</v>
      </c>
      <c r="L9" s="419">
        <f>+'4.mell. kiadás'!M10</f>
        <v>152397</v>
      </c>
      <c r="M9" s="419"/>
      <c r="N9" s="419"/>
      <c r="O9" s="419"/>
      <c r="P9" s="419"/>
      <c r="Q9" s="419"/>
      <c r="R9" s="419"/>
      <c r="S9" s="419"/>
      <c r="T9" s="419"/>
      <c r="U9" s="419"/>
      <c r="V9" s="419"/>
      <c r="W9" s="419"/>
      <c r="X9" s="419"/>
      <c r="Y9" s="419"/>
      <c r="Z9" s="419"/>
      <c r="AA9" s="419"/>
      <c r="AB9" s="419"/>
      <c r="AC9" s="419"/>
      <c r="AD9" s="419"/>
      <c r="AE9" s="419"/>
    </row>
    <row r="10" spans="1:13" ht="30.75" customHeight="1">
      <c r="A10" s="421" t="s">
        <v>25</v>
      </c>
      <c r="B10" s="739"/>
      <c r="C10" s="969" t="s">
        <v>368</v>
      </c>
      <c r="D10" s="965">
        <v>10437</v>
      </c>
      <c r="E10" s="965">
        <v>0</v>
      </c>
      <c r="F10" s="965">
        <v>40000</v>
      </c>
      <c r="G10" s="965">
        <v>0</v>
      </c>
      <c r="H10" s="965">
        <v>0</v>
      </c>
      <c r="I10" s="965">
        <f>+L10-J10-H10-G10-F10-E10-D10</f>
        <v>77425</v>
      </c>
      <c r="J10" s="965">
        <v>0</v>
      </c>
      <c r="K10" s="965">
        <f>SUM(D10:J10)</f>
        <v>127862</v>
      </c>
      <c r="L10" s="965">
        <f>+'4.mell. kiadás'!M11</f>
        <v>127862</v>
      </c>
      <c r="M10" s="554">
        <f>'[8]BEV.2015.'!$P$12</f>
        <v>127862</v>
      </c>
    </row>
    <row r="11" spans="4:14" ht="30.75" customHeight="1">
      <c r="D11" s="557"/>
      <c r="I11" s="557"/>
      <c r="J11" s="557"/>
      <c r="K11" s="557"/>
      <c r="L11" s="557"/>
      <c r="N11" s="554">
        <f>+L11-K11</f>
        <v>0</v>
      </c>
    </row>
    <row r="12" spans="1:31" s="422" customFormat="1" ht="30.75" customHeight="1">
      <c r="A12" s="421" t="s">
        <v>26</v>
      </c>
      <c r="B12" s="964" t="str">
        <f>+'[2]kiadás'!B24</f>
        <v>Városi Művelődési Központ és Könyvtár</v>
      </c>
      <c r="C12" s="968" t="s">
        <v>367</v>
      </c>
      <c r="D12" s="520">
        <v>2200</v>
      </c>
      <c r="E12" s="520">
        <v>0</v>
      </c>
      <c r="F12" s="520">
        <v>0</v>
      </c>
      <c r="G12" s="520">
        <v>0</v>
      </c>
      <c r="H12" s="520">
        <v>0</v>
      </c>
      <c r="I12" s="520">
        <f>+L12-D12-E12-F12-G12-H12-J12</f>
        <v>19318</v>
      </c>
      <c r="J12" s="520">
        <v>0</v>
      </c>
      <c r="K12" s="520">
        <f>SUM(D12:J12)</f>
        <v>21518</v>
      </c>
      <c r="L12" s="520">
        <f>+'4.mell. kiadás'!M13</f>
        <v>21518</v>
      </c>
      <c r="M12" s="965"/>
      <c r="N12" s="965">
        <f>+L12-K12</f>
        <v>0</v>
      </c>
      <c r="O12" s="965"/>
      <c r="P12" s="965"/>
      <c r="Q12" s="965"/>
      <c r="R12" s="965"/>
      <c r="S12" s="965"/>
      <c r="T12" s="965"/>
      <c r="U12" s="965"/>
      <c r="V12" s="965"/>
      <c r="W12" s="965"/>
      <c r="X12" s="965"/>
      <c r="Y12" s="965"/>
      <c r="Z12" s="965"/>
      <c r="AA12" s="965"/>
      <c r="AB12" s="965"/>
      <c r="AC12" s="965"/>
      <c r="AD12" s="965"/>
      <c r="AE12" s="965"/>
    </row>
    <row r="13" spans="1:31" s="185" customFormat="1" ht="30.75" customHeight="1">
      <c r="A13" s="421" t="s">
        <v>27</v>
      </c>
      <c r="C13" s="959" t="s">
        <v>366</v>
      </c>
      <c r="D13" s="419">
        <v>3903</v>
      </c>
      <c r="E13" s="419">
        <v>270</v>
      </c>
      <c r="F13" s="419">
        <v>3257</v>
      </c>
      <c r="G13" s="419">
        <v>0</v>
      </c>
      <c r="H13" s="419">
        <v>3262</v>
      </c>
      <c r="I13" s="419">
        <f>+L13-D13-E13-F13-G13-H13-J13</f>
        <v>21723</v>
      </c>
      <c r="J13" s="419">
        <v>0</v>
      </c>
      <c r="K13" s="419">
        <f>SUM(D13:I13)</f>
        <v>32415</v>
      </c>
      <c r="L13" s="419">
        <f>+'4.mell. kiadás'!M14</f>
        <v>32415</v>
      </c>
      <c r="M13" s="419"/>
      <c r="N13" s="419"/>
      <c r="O13" s="419"/>
      <c r="P13" s="419"/>
      <c r="Q13" s="419"/>
      <c r="R13" s="419"/>
      <c r="S13" s="419"/>
      <c r="T13" s="419"/>
      <c r="U13" s="419"/>
      <c r="V13" s="419"/>
      <c r="W13" s="419"/>
      <c r="X13" s="419"/>
      <c r="Y13" s="419"/>
      <c r="Z13" s="419"/>
      <c r="AA13" s="419"/>
      <c r="AB13" s="419"/>
      <c r="AC13" s="419"/>
      <c r="AD13" s="419"/>
      <c r="AE13" s="419"/>
    </row>
    <row r="14" spans="1:13" ht="30.75" customHeight="1">
      <c r="A14" s="421" t="s">
        <v>28</v>
      </c>
      <c r="C14" s="969" t="s">
        <v>368</v>
      </c>
      <c r="D14" s="965">
        <v>4000</v>
      </c>
      <c r="E14" s="965">
        <v>0</v>
      </c>
      <c r="F14" s="965">
        <v>0</v>
      </c>
      <c r="G14" s="965">
        <v>0</v>
      </c>
      <c r="H14" s="965">
        <v>0</v>
      </c>
      <c r="I14" s="965">
        <f>+L14-J14-H14-G14-F14-E14-D14</f>
        <v>21568</v>
      </c>
      <c r="J14" s="965">
        <v>0</v>
      </c>
      <c r="K14" s="965">
        <f>SUM(D14:J14)</f>
        <v>25568</v>
      </c>
      <c r="L14" s="965">
        <f>+'4.mell. kiadás'!M15</f>
        <v>25568</v>
      </c>
      <c r="M14" s="554">
        <f>'[8]BEV.2015.'!$P$20</f>
        <v>25568</v>
      </c>
    </row>
    <row r="15" spans="3:14" ht="15.75" customHeight="1">
      <c r="C15" s="21"/>
      <c r="D15" s="666"/>
      <c r="E15" s="666"/>
      <c r="F15" s="666"/>
      <c r="G15" s="666"/>
      <c r="H15" s="666"/>
      <c r="I15" s="666"/>
      <c r="J15" s="666"/>
      <c r="K15" s="666"/>
      <c r="L15" s="666"/>
      <c r="N15" s="554">
        <f>+L15-K15</f>
        <v>0</v>
      </c>
    </row>
    <row r="16" spans="1:31" s="422" customFormat="1" ht="30.75" customHeight="1">
      <c r="A16" s="421" t="s">
        <v>29</v>
      </c>
      <c r="B16" s="964" t="s">
        <v>40</v>
      </c>
      <c r="C16" s="968" t="s">
        <v>367</v>
      </c>
      <c r="D16" s="665">
        <v>500</v>
      </c>
      <c r="E16" s="665">
        <v>0</v>
      </c>
      <c r="F16" s="665">
        <v>117844</v>
      </c>
      <c r="G16" s="665">
        <v>0</v>
      </c>
      <c r="H16" s="665">
        <v>0</v>
      </c>
      <c r="I16" s="665">
        <v>0</v>
      </c>
      <c r="J16" s="520">
        <v>447916</v>
      </c>
      <c r="K16" s="665">
        <v>566260</v>
      </c>
      <c r="L16" s="665">
        <f>+'4.mell. kiadás'!M17</f>
        <v>89097</v>
      </c>
      <c r="M16" s="965"/>
      <c r="N16" s="965">
        <f>+L16-K16</f>
        <v>-477163</v>
      </c>
      <c r="O16" s="965"/>
      <c r="P16" s="965"/>
      <c r="Q16" s="965"/>
      <c r="R16" s="965"/>
      <c r="S16" s="965"/>
      <c r="T16" s="965"/>
      <c r="U16" s="965"/>
      <c r="V16" s="965"/>
      <c r="W16" s="965"/>
      <c r="X16" s="965"/>
      <c r="Y16" s="965"/>
      <c r="Z16" s="965"/>
      <c r="AA16" s="965"/>
      <c r="AB16" s="965"/>
      <c r="AC16" s="965"/>
      <c r="AD16" s="965"/>
      <c r="AE16" s="965"/>
    </row>
    <row r="17" spans="1:31" s="762" customFormat="1" ht="30.75" customHeight="1">
      <c r="A17" s="421" t="s">
        <v>30</v>
      </c>
      <c r="B17" s="185"/>
      <c r="C17" s="959" t="s">
        <v>366</v>
      </c>
      <c r="D17" s="253">
        <v>26954</v>
      </c>
      <c r="E17" s="253">
        <v>76400</v>
      </c>
      <c r="F17" s="253">
        <v>311891</v>
      </c>
      <c r="G17" s="253">
        <v>0</v>
      </c>
      <c r="H17" s="253">
        <v>33923</v>
      </c>
      <c r="I17" s="253">
        <v>0</v>
      </c>
      <c r="J17" s="960">
        <v>982722</v>
      </c>
      <c r="K17" s="253">
        <f>SUM(D17:J17)</f>
        <v>1431890</v>
      </c>
      <c r="L17" s="253">
        <f>+'4.mell. kiadás'!M18</f>
        <v>880311</v>
      </c>
      <c r="M17" s="960"/>
      <c r="N17" s="960"/>
      <c r="O17" s="960"/>
      <c r="P17" s="960"/>
      <c r="Q17" s="960">
        <f>+L16-L17</f>
        <v>-791214</v>
      </c>
      <c r="R17" s="960"/>
      <c r="S17" s="960"/>
      <c r="T17" s="960"/>
      <c r="U17" s="960"/>
      <c r="V17" s="960"/>
      <c r="W17" s="960"/>
      <c r="X17" s="960"/>
      <c r="Y17" s="960"/>
      <c r="Z17" s="960"/>
      <c r="AA17" s="960"/>
      <c r="AB17" s="960"/>
      <c r="AC17" s="960"/>
      <c r="AD17" s="960"/>
      <c r="AE17" s="960"/>
    </row>
    <row r="18" spans="1:15" ht="30.75" customHeight="1">
      <c r="A18" s="421" t="s">
        <v>31</v>
      </c>
      <c r="C18" s="969" t="s">
        <v>368</v>
      </c>
      <c r="D18" s="674">
        <v>33308</v>
      </c>
      <c r="E18" s="674">
        <v>0</v>
      </c>
      <c r="F18" s="674">
        <f>43463</f>
        <v>43463</v>
      </c>
      <c r="G18" s="674">
        <v>0</v>
      </c>
      <c r="H18" s="674">
        <f>71380</f>
        <v>71380</v>
      </c>
      <c r="I18" s="674">
        <v>0</v>
      </c>
      <c r="J18" s="965">
        <f>'1.mell. pfbevétel'!E6+'1.mell. pfbevétel'!E7+'1.mell. pfbevétel'!E8+'1.mell. pfbevétel'!E9+'1.mell. pfbevétel'!E10+'1.mell. pfbevétel'!E11+'1.mell. pfbevétel'!E13+'1.mell. pfbevétel'!E17+'1.mell. pfbevétel'!E34-J22</f>
        <v>453767.629</v>
      </c>
      <c r="K18" s="674">
        <f>SUM(D18:J18)</f>
        <v>601918.629</v>
      </c>
      <c r="L18" s="674">
        <f>+'4.mell. kiadás'!M19</f>
        <v>191087</v>
      </c>
      <c r="M18" s="554">
        <f>K18-I18</f>
        <v>601918.629</v>
      </c>
      <c r="O18" s="554">
        <f>M18-L18</f>
        <v>410831.62899999996</v>
      </c>
    </row>
    <row r="19" spans="3:12" ht="13.5" customHeight="1">
      <c r="C19" s="739"/>
      <c r="D19" s="666"/>
      <c r="E19" s="666"/>
      <c r="F19" s="666"/>
      <c r="G19" s="666"/>
      <c r="H19" s="666"/>
      <c r="I19" s="666"/>
      <c r="K19" s="666"/>
      <c r="L19" s="666"/>
    </row>
    <row r="20" spans="1:31" s="422" customFormat="1" ht="30.75" customHeight="1">
      <c r="A20" s="421" t="s">
        <v>32</v>
      </c>
      <c r="B20" s="964" t="s">
        <v>269</v>
      </c>
      <c r="C20" s="968" t="s">
        <v>367</v>
      </c>
      <c r="D20" s="520">
        <v>2100</v>
      </c>
      <c r="E20" s="520">
        <v>0</v>
      </c>
      <c r="F20" s="520">
        <v>0</v>
      </c>
      <c r="G20" s="520">
        <v>0</v>
      </c>
      <c r="H20" s="520">
        <v>0</v>
      </c>
      <c r="I20" s="520">
        <f>+L20-D20-E20-F20-G20-H20-J20</f>
        <v>278832</v>
      </c>
      <c r="J20" s="665">
        <v>0</v>
      </c>
      <c r="K20" s="520">
        <f>SUM(D20:J20)</f>
        <v>280932</v>
      </c>
      <c r="L20" s="520">
        <f>+'4.mell. kiadás'!M24</f>
        <v>280932</v>
      </c>
      <c r="M20" s="965"/>
      <c r="N20" s="965">
        <f>+L20-K20</f>
        <v>0</v>
      </c>
      <c r="O20" s="965"/>
      <c r="P20" s="965"/>
      <c r="Q20" s="965"/>
      <c r="R20" s="965"/>
      <c r="S20" s="965"/>
      <c r="T20" s="965"/>
      <c r="U20" s="965"/>
      <c r="V20" s="965"/>
      <c r="W20" s="965"/>
      <c r="X20" s="965"/>
      <c r="Y20" s="965"/>
      <c r="Z20" s="965"/>
      <c r="AA20" s="965"/>
      <c r="AB20" s="965"/>
      <c r="AC20" s="965"/>
      <c r="AD20" s="965"/>
      <c r="AE20" s="965"/>
    </row>
    <row r="21" spans="1:31" s="762" customFormat="1" ht="30.75" customHeight="1">
      <c r="A21" s="421" t="s">
        <v>33</v>
      </c>
      <c r="B21" s="185"/>
      <c r="C21" s="959" t="s">
        <v>366</v>
      </c>
      <c r="D21" s="419">
        <v>6782</v>
      </c>
      <c r="E21" s="419">
        <v>974</v>
      </c>
      <c r="F21" s="419">
        <v>4466</v>
      </c>
      <c r="G21" s="419">
        <v>5343</v>
      </c>
      <c r="H21" s="419">
        <f>+H20</f>
        <v>0</v>
      </c>
      <c r="I21" s="419">
        <f>+L21-J21-H21-G21-F21-E21-D21</f>
        <v>301625</v>
      </c>
      <c r="J21" s="253">
        <v>309</v>
      </c>
      <c r="K21" s="960">
        <f>SUM(D21:J21)</f>
        <v>319499</v>
      </c>
      <c r="L21" s="960">
        <f>+'4.mell. kiadás'!M25</f>
        <v>319499</v>
      </c>
      <c r="M21" s="960"/>
      <c r="N21" s="960"/>
      <c r="O21" s="960"/>
      <c r="P21" s="960"/>
      <c r="Q21" s="960"/>
      <c r="R21" s="960"/>
      <c r="S21" s="960"/>
      <c r="T21" s="960"/>
      <c r="U21" s="960"/>
      <c r="V21" s="960"/>
      <c r="W21" s="960"/>
      <c r="X21" s="960"/>
      <c r="Y21" s="960"/>
      <c r="Z21" s="960"/>
      <c r="AA21" s="960"/>
      <c r="AB21" s="960"/>
      <c r="AC21" s="960"/>
      <c r="AD21" s="960"/>
      <c r="AE21" s="960"/>
    </row>
    <row r="22" spans="1:14" ht="30.75" customHeight="1">
      <c r="A22" s="421" t="s">
        <v>34</v>
      </c>
      <c r="C22" s="969" t="s">
        <v>368</v>
      </c>
      <c r="D22" s="965">
        <v>6486</v>
      </c>
      <c r="E22" s="965">
        <v>0</v>
      </c>
      <c r="F22" s="965">
        <v>0</v>
      </c>
      <c r="G22" s="965">
        <v>0</v>
      </c>
      <c r="H22" s="965">
        <v>0</v>
      </c>
      <c r="I22" s="965">
        <f>+L22-J22-H22-G22-F22-E22-D22</f>
        <v>200751</v>
      </c>
      <c r="J22" s="965">
        <v>600</v>
      </c>
      <c r="K22" s="965">
        <f>SUM(D22:J22)</f>
        <v>207837</v>
      </c>
      <c r="L22" s="965">
        <f>+'4.mell. kiadás'!M26</f>
        <v>207837</v>
      </c>
      <c r="N22" s="554">
        <f>+L22-K22</f>
        <v>0</v>
      </c>
    </row>
    <row r="23" spans="1:12" ht="21" customHeight="1" thickBot="1">
      <c r="A23" s="458"/>
      <c r="B23" s="458"/>
      <c r="C23" s="963"/>
      <c r="D23" s="582"/>
      <c r="E23" s="582"/>
      <c r="F23" s="582"/>
      <c r="G23" s="582"/>
      <c r="H23" s="582"/>
      <c r="I23" s="582"/>
      <c r="J23" s="582"/>
      <c r="K23" s="740"/>
      <c r="L23" s="582"/>
    </row>
    <row r="24" spans="1:31" s="422" customFormat="1" ht="30.75" customHeight="1">
      <c r="A24" s="421" t="s">
        <v>35</v>
      </c>
      <c r="B24" s="15" t="s">
        <v>57</v>
      </c>
      <c r="C24" s="968" t="s">
        <v>367</v>
      </c>
      <c r="D24" s="665">
        <f aca="true" t="shared" si="0" ref="D24:E26">+D20+D16+D12+D8+D4</f>
        <v>99471</v>
      </c>
      <c r="E24" s="665">
        <f t="shared" si="0"/>
        <v>0</v>
      </c>
      <c r="F24" s="665">
        <v>150344</v>
      </c>
      <c r="G24" s="665">
        <f aca="true" t="shared" si="1" ref="G24:I26">+G20+G16+G12+G8+G4</f>
        <v>0</v>
      </c>
      <c r="H24" s="665">
        <f t="shared" si="1"/>
        <v>0</v>
      </c>
      <c r="I24" s="665">
        <f t="shared" si="1"/>
        <v>477163</v>
      </c>
      <c r="J24" s="665">
        <v>447916</v>
      </c>
      <c r="K24" s="665">
        <f>+K20+K16+K12+K8+K4-I24</f>
        <v>697731</v>
      </c>
      <c r="L24" s="665">
        <f>+L20+L16+L12+L8+L4</f>
        <v>697731</v>
      </c>
      <c r="M24" s="965"/>
      <c r="N24" s="965">
        <f>+L24-K24</f>
        <v>0</v>
      </c>
      <c r="O24" s="965"/>
      <c r="P24" s="965"/>
      <c r="Q24" s="965">
        <f>D24+F24+J24</f>
        <v>697731</v>
      </c>
      <c r="R24" s="965"/>
      <c r="S24" s="965"/>
      <c r="T24" s="965"/>
      <c r="U24" s="965"/>
      <c r="V24" s="965"/>
      <c r="W24" s="965"/>
      <c r="X24" s="965"/>
      <c r="Y24" s="965"/>
      <c r="Z24" s="965"/>
      <c r="AA24" s="965"/>
      <c r="AB24" s="965"/>
      <c r="AC24" s="965"/>
      <c r="AD24" s="965"/>
      <c r="AE24" s="965"/>
    </row>
    <row r="25" spans="1:31" s="762" customFormat="1" ht="30.75" customHeight="1">
      <c r="A25" s="421" t="s">
        <v>36</v>
      </c>
      <c r="B25" s="254"/>
      <c r="C25" s="961" t="s">
        <v>366</v>
      </c>
      <c r="D25" s="253">
        <f t="shared" si="0"/>
        <v>147832</v>
      </c>
      <c r="E25" s="253">
        <f t="shared" si="0"/>
        <v>79909</v>
      </c>
      <c r="F25" s="253">
        <f>+F21+F17+F13+F9+F5</f>
        <v>367958</v>
      </c>
      <c r="G25" s="253">
        <f t="shared" si="1"/>
        <v>35189</v>
      </c>
      <c r="H25" s="253">
        <f t="shared" si="1"/>
        <v>37185</v>
      </c>
      <c r="I25" s="253">
        <f t="shared" si="1"/>
        <v>551579</v>
      </c>
      <c r="J25" s="253">
        <f>+J21+J17+J13+J9+J5</f>
        <v>983031</v>
      </c>
      <c r="K25" s="253">
        <f>+K21+K17+K13+K9+K5-I25</f>
        <v>1651104</v>
      </c>
      <c r="L25" s="253">
        <f>+L21+L17+L13+L9+L5</f>
        <v>1651104</v>
      </c>
      <c r="M25" s="960">
        <f>K25-L25</f>
        <v>0</v>
      </c>
      <c r="N25" s="960"/>
      <c r="O25" s="960"/>
      <c r="P25" s="960"/>
      <c r="Q25" s="960">
        <f>D25+E25+F25+G25+H25+J25</f>
        <v>1651104</v>
      </c>
      <c r="R25" s="960">
        <f>Q25-L25</f>
        <v>0</v>
      </c>
      <c r="S25" s="960"/>
      <c r="T25" s="960"/>
      <c r="U25" s="960"/>
      <c r="V25" s="960"/>
      <c r="W25" s="960"/>
      <c r="X25" s="960"/>
      <c r="Y25" s="960"/>
      <c r="Z25" s="960"/>
      <c r="AA25" s="960"/>
      <c r="AB25" s="960"/>
      <c r="AC25" s="960"/>
      <c r="AD25" s="960"/>
      <c r="AE25" s="960"/>
    </row>
    <row r="26" spans="1:12" ht="30.75" customHeight="1">
      <c r="A26" s="421" t="s">
        <v>37</v>
      </c>
      <c r="B26" s="21"/>
      <c r="C26" s="969" t="s">
        <v>368</v>
      </c>
      <c r="D26" s="674">
        <f t="shared" si="0"/>
        <v>134978</v>
      </c>
      <c r="E26" s="674">
        <f t="shared" si="0"/>
        <v>0</v>
      </c>
      <c r="F26" s="674">
        <f>+F22+F18+F14+F10+F6</f>
        <v>83463</v>
      </c>
      <c r="G26" s="674">
        <f t="shared" si="1"/>
        <v>0</v>
      </c>
      <c r="H26" s="674">
        <f t="shared" si="1"/>
        <v>71380</v>
      </c>
      <c r="I26" s="674">
        <f t="shared" si="1"/>
        <v>410832</v>
      </c>
      <c r="J26" s="674">
        <f>+J22+J18+J14+J10+J6</f>
        <v>454367.629</v>
      </c>
      <c r="K26" s="674">
        <f>+J26+H26+G26+F26+E26+D26</f>
        <v>744188.629</v>
      </c>
      <c r="L26" s="674">
        <f>+L22+L18+L14+L10+L6</f>
        <v>744189</v>
      </c>
    </row>
    <row r="27" spans="4:12" ht="30.75" customHeight="1">
      <c r="D27" s="554">
        <f>'1.mell. pfbevétel'!E5</f>
        <v>134978</v>
      </c>
      <c r="F27" s="554">
        <f>+'1.mell. pfbevétel'!E22</f>
        <v>83463</v>
      </c>
      <c r="K27" s="554">
        <f>+'1.mell. pfbevétel'!E40</f>
        <v>744188.629</v>
      </c>
      <c r="L27" s="554">
        <f>+'1.mell. pfbevétel'!E40</f>
        <v>744188.629</v>
      </c>
    </row>
    <row r="28" spans="9:12" ht="30.75" customHeight="1">
      <c r="I28" s="554">
        <f>D25+E25+F25+G25+H25+J25</f>
        <v>1651104</v>
      </c>
      <c r="K28" s="554">
        <f>+K27+I26</f>
        <v>1155020.629</v>
      </c>
      <c r="L28" s="554">
        <f>+L27-L26</f>
        <v>-0.37100000004284084</v>
      </c>
    </row>
    <row r="29" spans="2:31" s="917" customFormat="1" ht="30.75" customHeight="1">
      <c r="B29" s="17"/>
      <c r="C29" s="18"/>
      <c r="D29" s="19"/>
      <c r="E29" s="19"/>
      <c r="F29" s="962"/>
      <c r="G29" s="962"/>
      <c r="H29" s="962"/>
      <c r="I29" s="19">
        <f>D24+F24+J24</f>
        <v>697731</v>
      </c>
      <c r="J29" s="19"/>
      <c r="K29" s="19"/>
      <c r="L29" s="19"/>
      <c r="M29" s="962"/>
      <c r="N29" s="962"/>
      <c r="O29" s="962"/>
      <c r="P29" s="962"/>
      <c r="Q29" s="962"/>
      <c r="R29" s="962"/>
      <c r="S29" s="962"/>
      <c r="T29" s="962"/>
      <c r="U29" s="962"/>
      <c r="V29" s="962"/>
      <c r="W29" s="962"/>
      <c r="X29" s="962"/>
      <c r="Y29" s="962"/>
      <c r="Z29" s="962"/>
      <c r="AA29" s="962"/>
      <c r="AB29" s="962"/>
      <c r="AC29" s="962"/>
      <c r="AD29" s="962"/>
      <c r="AE29" s="962"/>
    </row>
    <row r="32" ht="30.75" customHeight="1">
      <c r="F32" s="19"/>
    </row>
  </sheetData>
  <sheetProtection/>
  <mergeCells count="1">
    <mergeCell ref="F2:H2"/>
  </mergeCells>
  <printOptions/>
  <pageMargins left="0.7874015748031497" right="0.3937007874015748" top="0.23" bottom="0.15748031496062992" header="0.11" footer="0.66"/>
  <pageSetup horizontalDpi="600" verticalDpi="600" orientation="landscape" paperSize="9" scale="75" r:id="rId1"/>
  <headerFooter alignWithMargins="0">
    <oddHeader>&amp;L3. melléklet a 2015. évi 3/2015.(II.25.) Önkormányzati költségvetési rendelethez&amp;R2015.02.25</oddHeader>
    <oddFooter>&amp;R&amp;F</oddFooter>
  </headerFooter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H31"/>
  <sheetViews>
    <sheetView tabSelected="1" view="pageBreakPreview" zoomScaleSheetLayoutView="100" workbookViewId="0" topLeftCell="A1">
      <selection activeCell="G18" sqref="G18"/>
    </sheetView>
  </sheetViews>
  <sheetFormatPr defaultColWidth="9.140625" defaultRowHeight="30.75" customHeight="1"/>
  <cols>
    <col min="1" max="1" width="4.57421875" style="23" bestFit="1" customWidth="1"/>
    <col min="2" max="2" width="31.140625" style="1" customWidth="1"/>
    <col min="3" max="3" width="23.8515625" style="30" customWidth="1"/>
    <col min="4" max="4" width="13.140625" style="11" customWidth="1"/>
    <col min="5" max="5" width="10.140625" style="11" customWidth="1"/>
    <col min="6" max="6" width="10.28125" style="11" bestFit="1" customWidth="1"/>
    <col min="7" max="8" width="12.8515625" style="11" customWidth="1"/>
    <col min="9" max="9" width="9.57421875" style="11" bestFit="1" customWidth="1"/>
    <col min="10" max="10" width="9.00390625" style="11" customWidth="1"/>
    <col min="11" max="11" width="11.140625" style="11" bestFit="1" customWidth="1"/>
    <col min="12" max="12" width="11.140625" style="11" customWidth="1"/>
    <col min="13" max="13" width="11.8515625" style="11" customWidth="1"/>
    <col min="14" max="14" width="9.57421875" style="11" bestFit="1" customWidth="1"/>
    <col min="15" max="15" width="9.57421875" style="11" customWidth="1"/>
    <col min="16" max="16" width="14.140625" style="11" bestFit="1" customWidth="1"/>
    <col min="17" max="17" width="9.28125" style="11" bestFit="1" customWidth="1"/>
    <col min="18" max="24" width="9.140625" style="11" customWidth="1"/>
    <col min="25" max="25" width="13.28125" style="11" bestFit="1" customWidth="1"/>
    <col min="26" max="34" width="9.140625" style="11" customWidth="1"/>
    <col min="35" max="16384" width="9.140625" style="1" customWidth="1"/>
  </cols>
  <sheetData>
    <row r="1" ht="18" customHeight="1">
      <c r="B1" s="1" t="s">
        <v>618</v>
      </c>
    </row>
    <row r="2" spans="2:15" ht="46.5" customHeight="1">
      <c r="B2" s="2" t="s">
        <v>0</v>
      </c>
      <c r="C2" s="228"/>
      <c r="D2" s="8" t="s">
        <v>48</v>
      </c>
      <c r="E2" s="3" t="s">
        <v>49</v>
      </c>
      <c r="F2" s="29" t="s">
        <v>50</v>
      </c>
      <c r="G2" s="4" t="s">
        <v>51</v>
      </c>
      <c r="H2" s="958" t="s">
        <v>637</v>
      </c>
      <c r="I2" s="982" t="s">
        <v>52</v>
      </c>
      <c r="J2" s="982"/>
      <c r="K2" s="958" t="s">
        <v>638</v>
      </c>
      <c r="L2" s="958"/>
      <c r="M2" s="3" t="s">
        <v>53</v>
      </c>
      <c r="N2" s="3"/>
      <c r="O2" s="3"/>
    </row>
    <row r="3" spans="2:15" ht="19.5" customHeight="1">
      <c r="B3" s="5"/>
      <c r="C3" s="229"/>
      <c r="D3" s="6"/>
      <c r="E3" s="6"/>
      <c r="F3" s="6"/>
      <c r="G3" s="6"/>
      <c r="H3" s="6"/>
      <c r="I3" s="934" t="s">
        <v>7</v>
      </c>
      <c r="J3" s="934" t="s">
        <v>9</v>
      </c>
      <c r="K3" s="6"/>
      <c r="L3" s="6"/>
      <c r="M3" s="6"/>
      <c r="N3" s="6"/>
      <c r="O3" s="6"/>
    </row>
    <row r="4" spans="1:34" s="7" customFormat="1" ht="8.25" customHeight="1">
      <c r="A4" s="23"/>
      <c r="B4" s="2"/>
      <c r="C4" s="228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</row>
    <row r="5" spans="1:15" ht="30.75" customHeight="1">
      <c r="A5" s="23" t="s">
        <v>20</v>
      </c>
      <c r="B5" s="9" t="str">
        <f>+'[1]2mell 1ápr'!A28</f>
        <v>Városellátó  Szervezet</v>
      </c>
      <c r="C5" s="967" t="s">
        <v>367</v>
      </c>
      <c r="D5" s="477">
        <v>42097</v>
      </c>
      <c r="E5" s="477">
        <v>11376</v>
      </c>
      <c r="F5" s="477">
        <v>126443</v>
      </c>
      <c r="G5" s="477">
        <f>SUM(D5:F5)</f>
        <v>179916</v>
      </c>
      <c r="H5" s="477">
        <v>0</v>
      </c>
      <c r="I5" s="477">
        <v>0</v>
      </c>
      <c r="J5" s="477">
        <v>0</v>
      </c>
      <c r="K5" s="477"/>
      <c r="L5" s="477"/>
      <c r="M5" s="477">
        <f>SUM(G5:K5)</f>
        <v>179916</v>
      </c>
      <c r="N5" s="14"/>
      <c r="O5" s="14"/>
    </row>
    <row r="6" spans="1:34" s="112" customFormat="1" ht="30.75" customHeight="1">
      <c r="A6" s="23" t="s">
        <v>21</v>
      </c>
      <c r="B6" s="475"/>
      <c r="C6" s="476" t="s">
        <v>366</v>
      </c>
      <c r="D6" s="98">
        <v>46138</v>
      </c>
      <c r="E6" s="98">
        <v>13044</v>
      </c>
      <c r="F6" s="98">
        <v>205448</v>
      </c>
      <c r="G6" s="98">
        <f>SUM(D6:F6)</f>
        <v>264630</v>
      </c>
      <c r="H6" s="98">
        <v>0</v>
      </c>
      <c r="I6" s="98">
        <v>0</v>
      </c>
      <c r="J6" s="98">
        <v>0</v>
      </c>
      <c r="K6" s="98">
        <v>1852</v>
      </c>
      <c r="L6" s="98"/>
      <c r="M6" s="98">
        <f>SUM(G6:K6)</f>
        <v>266482</v>
      </c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</row>
    <row r="7" spans="1:34" s="10" customFormat="1" ht="30.75" customHeight="1">
      <c r="A7" s="23" t="s">
        <v>22</v>
      </c>
      <c r="B7" s="230"/>
      <c r="C7" s="234" t="s">
        <v>368</v>
      </c>
      <c r="D7" s="14">
        <v>46700</v>
      </c>
      <c r="E7" s="14">
        <v>13167</v>
      </c>
      <c r="F7" s="14">
        <v>131968</v>
      </c>
      <c r="G7" s="14">
        <f>SUM(D7:F7)</f>
        <v>191835</v>
      </c>
      <c r="H7" s="14">
        <v>0</v>
      </c>
      <c r="I7" s="14">
        <v>0</v>
      </c>
      <c r="J7" s="14">
        <v>0</v>
      </c>
      <c r="K7" s="14">
        <v>0</v>
      </c>
      <c r="L7" s="14"/>
      <c r="M7" s="14">
        <f>SUM(G7:K7)</f>
        <v>191835</v>
      </c>
      <c r="N7" s="14">
        <f>+'[8]KIAD.2015.'!$P$5</f>
        <v>187262.8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</row>
    <row r="8" spans="3:15" ht="18.75" customHeight="1">
      <c r="C8" s="38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14"/>
      <c r="O8" s="14"/>
    </row>
    <row r="9" spans="1:15" ht="30.75" customHeight="1">
      <c r="A9" s="23" t="s">
        <v>23</v>
      </c>
      <c r="B9" s="9" t="str">
        <f>+'[1]2mell 1ápr'!A32</f>
        <v>Egészségügyi és Szociális Ellátó Szervezet</v>
      </c>
      <c r="C9" s="967" t="s">
        <v>367</v>
      </c>
      <c r="D9" s="477">
        <v>66502</v>
      </c>
      <c r="E9" s="477">
        <v>17794</v>
      </c>
      <c r="F9" s="477">
        <v>41972</v>
      </c>
      <c r="G9" s="477">
        <f>SUM(D9:F9)</f>
        <v>126268</v>
      </c>
      <c r="H9" s="477">
        <v>0</v>
      </c>
      <c r="I9" s="477">
        <v>0</v>
      </c>
      <c r="J9" s="477">
        <v>0</v>
      </c>
      <c r="K9" s="477"/>
      <c r="L9" s="477"/>
      <c r="M9" s="477">
        <f>SUM(G9:K9)</f>
        <v>126268</v>
      </c>
      <c r="N9" s="14"/>
      <c r="O9" s="14"/>
    </row>
    <row r="10" spans="1:34" s="112" customFormat="1" ht="30.75" customHeight="1">
      <c r="A10" s="23" t="s">
        <v>24</v>
      </c>
      <c r="B10" s="475"/>
      <c r="C10" s="476" t="s">
        <v>366</v>
      </c>
      <c r="D10" s="98">
        <v>80696</v>
      </c>
      <c r="E10" s="98">
        <v>21305</v>
      </c>
      <c r="F10" s="98">
        <v>47746</v>
      </c>
      <c r="G10" s="98">
        <f>SUM(D10:F10)</f>
        <v>149747</v>
      </c>
      <c r="H10" s="98">
        <v>0</v>
      </c>
      <c r="I10" s="98">
        <v>0</v>
      </c>
      <c r="J10" s="98">
        <v>0</v>
      </c>
      <c r="K10" s="98">
        <v>2650</v>
      </c>
      <c r="L10" s="98"/>
      <c r="M10" s="98">
        <f>SUM(G10:K10)</f>
        <v>152397</v>
      </c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</row>
    <row r="11" spans="1:34" s="10" customFormat="1" ht="30.75" customHeight="1">
      <c r="A11" s="23" t="s">
        <v>25</v>
      </c>
      <c r="B11" s="230"/>
      <c r="C11" s="234" t="s">
        <v>368</v>
      </c>
      <c r="D11" s="14">
        <v>67922</v>
      </c>
      <c r="E11" s="14">
        <v>17951</v>
      </c>
      <c r="F11" s="14">
        <v>41989</v>
      </c>
      <c r="G11" s="14">
        <f>SUM(D11:F11)</f>
        <v>127862</v>
      </c>
      <c r="H11" s="14">
        <v>0</v>
      </c>
      <c r="I11" s="14">
        <v>0</v>
      </c>
      <c r="J11" s="14">
        <v>0</v>
      </c>
      <c r="K11" s="14"/>
      <c r="L11" s="14"/>
      <c r="M11" s="14">
        <f>SUM(G11:K11)</f>
        <v>127862</v>
      </c>
      <c r="N11" s="14">
        <f>'[8]KIAD.2015.'!$P$12</f>
        <v>127862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</row>
    <row r="12" spans="3:15" ht="18.75" customHeight="1">
      <c r="C12" s="38"/>
      <c r="D12" s="236"/>
      <c r="E12" s="236"/>
      <c r="F12" s="236"/>
      <c r="G12" s="236"/>
      <c r="H12" s="236"/>
      <c r="I12" s="236"/>
      <c r="J12" s="236"/>
      <c r="K12" s="236"/>
      <c r="L12" s="236"/>
      <c r="M12" s="14"/>
      <c r="N12" s="14"/>
      <c r="O12" s="14"/>
    </row>
    <row r="13" spans="1:15" ht="30.75" customHeight="1">
      <c r="A13" s="23" t="s">
        <v>26</v>
      </c>
      <c r="B13" s="9" t="s">
        <v>56</v>
      </c>
      <c r="C13" s="967" t="s">
        <v>367</v>
      </c>
      <c r="D13" s="477">
        <v>9409</v>
      </c>
      <c r="E13" s="477">
        <v>2539</v>
      </c>
      <c r="F13" s="477">
        <v>9570</v>
      </c>
      <c r="G13" s="477">
        <f>SUM(D13:F13)</f>
        <v>21518</v>
      </c>
      <c r="H13" s="477">
        <v>0</v>
      </c>
      <c r="I13" s="477">
        <v>0</v>
      </c>
      <c r="J13" s="477">
        <v>0</v>
      </c>
      <c r="K13" s="477"/>
      <c r="L13" s="477"/>
      <c r="M13" s="477">
        <f>SUM(G13:K13)</f>
        <v>21518</v>
      </c>
      <c r="N13" s="14"/>
      <c r="O13" s="14"/>
    </row>
    <row r="14" spans="1:34" s="112" customFormat="1" ht="30.75" customHeight="1">
      <c r="A14" s="23" t="s">
        <v>27</v>
      </c>
      <c r="B14" s="475"/>
      <c r="C14" s="476" t="s">
        <v>366</v>
      </c>
      <c r="D14" s="98">
        <v>10773</v>
      </c>
      <c r="E14" s="98">
        <v>2894</v>
      </c>
      <c r="F14" s="98">
        <v>13896</v>
      </c>
      <c r="G14" s="98">
        <f>SUM(D14:F14)</f>
        <v>27563</v>
      </c>
      <c r="H14" s="98">
        <v>0</v>
      </c>
      <c r="I14" s="98">
        <v>1016</v>
      </c>
      <c r="J14" s="98">
        <v>0</v>
      </c>
      <c r="K14" s="98">
        <v>3836</v>
      </c>
      <c r="L14" s="98"/>
      <c r="M14" s="98">
        <f>SUM(G14:K14)</f>
        <v>32415</v>
      </c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</row>
    <row r="15" spans="1:34" s="10" customFormat="1" ht="30.75" customHeight="1">
      <c r="A15" s="23" t="s">
        <v>28</v>
      </c>
      <c r="B15" s="230"/>
      <c r="C15" s="234" t="s">
        <v>368</v>
      </c>
      <c r="D15" s="14">
        <v>12569</v>
      </c>
      <c r="E15" s="14">
        <v>3394</v>
      </c>
      <c r="F15" s="14">
        <v>9605</v>
      </c>
      <c r="G15" s="14">
        <f>SUM(D15:F15)</f>
        <v>25568</v>
      </c>
      <c r="H15" s="14">
        <v>0</v>
      </c>
      <c r="I15" s="14">
        <v>0</v>
      </c>
      <c r="J15" s="14">
        <v>0</v>
      </c>
      <c r="K15" s="14">
        <v>0</v>
      </c>
      <c r="L15" s="14"/>
      <c r="M15" s="14">
        <f>SUM(G15:K15)</f>
        <v>25568</v>
      </c>
      <c r="N15" s="14">
        <f>'[8]KIAD.2015.'!$P$20</f>
        <v>25568</v>
      </c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3:15" ht="17.25" customHeight="1">
      <c r="C16" s="226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13"/>
      <c r="O16" s="13"/>
    </row>
    <row r="17" spans="1:15" ht="30.75" customHeight="1">
      <c r="A17" s="23" t="s">
        <v>29</v>
      </c>
      <c r="B17" s="15" t="str">
        <f>+'[2]bevétel'!B34</f>
        <v>Battonya Város Önkormányzata</v>
      </c>
      <c r="C17" s="967" t="s">
        <v>367</v>
      </c>
      <c r="D17" s="933">
        <v>3032</v>
      </c>
      <c r="E17" s="933">
        <v>775</v>
      </c>
      <c r="F17" s="933">
        <v>15129</v>
      </c>
      <c r="G17" s="933">
        <f>SUM(D17:F17)</f>
        <v>18936</v>
      </c>
      <c r="H17" s="933">
        <v>5114</v>
      </c>
      <c r="I17" s="933">
        <v>26169</v>
      </c>
      <c r="J17" s="933">
        <v>3000</v>
      </c>
      <c r="K17" s="933">
        <v>35878</v>
      </c>
      <c r="L17" s="933"/>
      <c r="M17" s="933">
        <f>SUM(G17:K17)</f>
        <v>89097</v>
      </c>
      <c r="N17" s="13"/>
      <c r="O17" s="13"/>
    </row>
    <row r="18" spans="1:34" s="112" customFormat="1" ht="30.75" customHeight="1">
      <c r="A18" s="23" t="s">
        <v>30</v>
      </c>
      <c r="B18" s="221"/>
      <c r="C18" s="476" t="s">
        <v>366</v>
      </c>
      <c r="D18" s="225">
        <v>250240</v>
      </c>
      <c r="E18" s="225">
        <v>35360</v>
      </c>
      <c r="F18" s="225">
        <v>74852</v>
      </c>
      <c r="G18" s="225">
        <f>SUM(D18:F18)</f>
        <v>360452</v>
      </c>
      <c r="H18" s="225">
        <v>19419</v>
      </c>
      <c r="I18" s="225">
        <v>63814</v>
      </c>
      <c r="J18" s="225">
        <v>4000</v>
      </c>
      <c r="K18" s="225">
        <v>66221</v>
      </c>
      <c r="L18" s="225">
        <v>366405</v>
      </c>
      <c r="M18" s="225">
        <f>SUM(G18:L18)</f>
        <v>880311</v>
      </c>
      <c r="N18" s="224"/>
      <c r="O18" s="224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</row>
    <row r="19" spans="1:18" ht="30.75" customHeight="1">
      <c r="A19" s="23" t="s">
        <v>31</v>
      </c>
      <c r="B19" s="12"/>
      <c r="C19" s="234" t="s">
        <v>368</v>
      </c>
      <c r="D19" s="13">
        <f>3144+2362</f>
        <v>5506</v>
      </c>
      <c r="E19" s="13">
        <f>859+638</f>
        <v>1497</v>
      </c>
      <c r="F19" s="13">
        <v>29410</v>
      </c>
      <c r="G19" s="13">
        <f>SUM(D19:F19)</f>
        <v>36413</v>
      </c>
      <c r="H19" s="13">
        <v>5000</v>
      </c>
      <c r="I19" s="13">
        <v>45794</v>
      </c>
      <c r="J19" s="13">
        <f>'5.mell. átadott'!C20+'5.mell. átadott'!C21</f>
        <v>74380</v>
      </c>
      <c r="K19" s="13">
        <f>'7.mell. felhalmozási kiadás'!C7+'7.mell. felhalmozási kiadás'!C11+'7.mell. felhalmozási kiadás'!C12+'7.mell. felhalmozási kiadás'!C13</f>
        <v>29500</v>
      </c>
      <c r="L19" s="13"/>
      <c r="M19" s="13">
        <f>SUM(G19:K19)</f>
        <v>191087</v>
      </c>
      <c r="N19" s="13">
        <f>'[8]KIAD.2015.'!$N$28</f>
        <v>157926.6</v>
      </c>
      <c r="O19" s="13" t="e">
        <f>'[9]2015'!$I$229</f>
        <v>#REF!</v>
      </c>
      <c r="P19" s="11">
        <f>'[10]összesítés'!$H$121</f>
        <v>157927000</v>
      </c>
      <c r="R19" s="11">
        <v>82770</v>
      </c>
    </row>
    <row r="20" spans="2:15" ht="30.75" customHeight="1" hidden="1">
      <c r="B20" s="2" t="s">
        <v>0</v>
      </c>
      <c r="C20" s="228" t="s">
        <v>47</v>
      </c>
      <c r="D20" s="8" t="s">
        <v>48</v>
      </c>
      <c r="E20" s="3" t="s">
        <v>49</v>
      </c>
      <c r="F20" s="29" t="s">
        <v>50</v>
      </c>
      <c r="G20" s="4" t="s">
        <v>51</v>
      </c>
      <c r="H20" s="4"/>
      <c r="I20" s="981" t="s">
        <v>52</v>
      </c>
      <c r="J20" s="981"/>
      <c r="K20" s="3" t="s">
        <v>38</v>
      </c>
      <c r="L20" s="3"/>
      <c r="M20" s="3" t="s">
        <v>53</v>
      </c>
      <c r="N20" s="3"/>
      <c r="O20" s="3"/>
    </row>
    <row r="21" spans="2:15" ht="30.75" customHeight="1" hidden="1">
      <c r="B21" s="5"/>
      <c r="C21" s="229"/>
      <c r="D21" s="6"/>
      <c r="E21" s="6"/>
      <c r="F21" s="6"/>
      <c r="G21" s="6"/>
      <c r="H21" s="6"/>
      <c r="I21" s="6" t="s">
        <v>7</v>
      </c>
      <c r="J21" s="6" t="s">
        <v>9</v>
      </c>
      <c r="K21" s="6"/>
      <c r="L21" s="6"/>
      <c r="M21" s="6"/>
      <c r="N21" s="6"/>
      <c r="O21" s="6"/>
    </row>
    <row r="22" spans="1:34" s="7" customFormat="1" ht="0.75" customHeight="1">
      <c r="A22" s="23" t="s">
        <v>292</v>
      </c>
      <c r="B22" s="2" t="s">
        <v>12</v>
      </c>
      <c r="C22" s="228" t="s">
        <v>13</v>
      </c>
      <c r="D22" s="3" t="s">
        <v>14</v>
      </c>
      <c r="E22" s="3" t="s">
        <v>15</v>
      </c>
      <c r="F22" s="3" t="s">
        <v>16</v>
      </c>
      <c r="G22" s="3" t="s">
        <v>17</v>
      </c>
      <c r="H22" s="3"/>
      <c r="I22" s="3" t="s">
        <v>18</v>
      </c>
      <c r="J22" s="3" t="s">
        <v>290</v>
      </c>
      <c r="K22" s="3" t="s">
        <v>291</v>
      </c>
      <c r="L22" s="3"/>
      <c r="M22" s="3" t="s">
        <v>293</v>
      </c>
      <c r="N22" s="3"/>
      <c r="O22" s="3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</row>
    <row r="23" spans="1:34" s="7" customFormat="1" ht="20.25" customHeight="1">
      <c r="A23" s="23"/>
      <c r="B23" s="2"/>
      <c r="C23" s="228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</row>
    <row r="24" spans="1:13" ht="30.75" customHeight="1">
      <c r="A24" s="23" t="s">
        <v>32</v>
      </c>
      <c r="B24" s="9" t="str">
        <f>+'3.mell. bevétel'!B20</f>
        <v>Battonyai Polgármesteri Hivatal</v>
      </c>
      <c r="C24" s="967" t="s">
        <v>367</v>
      </c>
      <c r="D24" s="477">
        <v>104440</v>
      </c>
      <c r="E24" s="477">
        <v>27923</v>
      </c>
      <c r="F24" s="477">
        <v>35344</v>
      </c>
      <c r="G24" s="477">
        <f>SUM(D24:F24)</f>
        <v>167707</v>
      </c>
      <c r="H24" s="477">
        <v>113225</v>
      </c>
      <c r="I24" s="477">
        <v>0</v>
      </c>
      <c r="J24" s="477">
        <v>0</v>
      </c>
      <c r="K24" s="477">
        <v>0</v>
      </c>
      <c r="L24" s="477"/>
      <c r="M24" s="477">
        <f>SUM(G24:K24)</f>
        <v>280932</v>
      </c>
    </row>
    <row r="25" spans="1:34" s="112" customFormat="1" ht="30.75" customHeight="1">
      <c r="A25" s="23" t="s">
        <v>33</v>
      </c>
      <c r="C25" s="476" t="s">
        <v>366</v>
      </c>
      <c r="D25" s="98">
        <v>111470</v>
      </c>
      <c r="E25" s="98">
        <v>29621</v>
      </c>
      <c r="F25" s="98">
        <v>36559</v>
      </c>
      <c r="G25" s="98">
        <f>SUM(D25:F25)</f>
        <v>177650</v>
      </c>
      <c r="H25" s="98">
        <v>136385</v>
      </c>
      <c r="I25" s="98">
        <v>413</v>
      </c>
      <c r="J25" s="98">
        <v>0</v>
      </c>
      <c r="K25" s="98">
        <v>5051</v>
      </c>
      <c r="L25" s="98"/>
      <c r="M25" s="98">
        <f>SUM(G25:K25)</f>
        <v>319499</v>
      </c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</row>
    <row r="26" spans="1:34" s="10" customFormat="1" ht="30.75" customHeight="1">
      <c r="A26" s="23" t="s">
        <v>34</v>
      </c>
      <c r="C26" s="234" t="s">
        <v>368</v>
      </c>
      <c r="D26" s="14">
        <v>102667</v>
      </c>
      <c r="E26" s="14">
        <v>27876</v>
      </c>
      <c r="F26" s="14">
        <v>30856</v>
      </c>
      <c r="G26" s="14">
        <f>SUM(D26:F26)</f>
        <v>161399</v>
      </c>
      <c r="H26" s="14">
        <f>43924-486</f>
        <v>43438</v>
      </c>
      <c r="I26" s="14">
        <v>0</v>
      </c>
      <c r="J26" s="14">
        <v>0</v>
      </c>
      <c r="K26" s="14">
        <f>'7.mell. felhalmozási kiadás'!C8+'2.mell. pfkiadás'!E23</f>
        <v>3000</v>
      </c>
      <c r="L26" s="14"/>
      <c r="M26" s="14">
        <f>SUM(G26:K26)</f>
        <v>207837</v>
      </c>
      <c r="N26" s="14">
        <f>'[8]KIAD.2015.'!$N$36</f>
        <v>212569</v>
      </c>
      <c r="O26" s="14">
        <f>'[7]2015'!$I$169</f>
        <v>212569</v>
      </c>
      <c r="P26" s="14">
        <f>'[6]Munka1'!$F$111</f>
        <v>212569000</v>
      </c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</row>
    <row r="27" spans="1:15" ht="22.5" customHeight="1" thickBot="1">
      <c r="A27" s="966"/>
      <c r="B27" s="237"/>
      <c r="C27" s="238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13"/>
      <c r="O27" s="13"/>
    </row>
    <row r="28" spans="1:15" ht="30.75" customHeight="1">
      <c r="A28" s="23" t="s">
        <v>35</v>
      </c>
      <c r="B28" s="15" t="s">
        <v>57</v>
      </c>
      <c r="C28" s="967" t="s">
        <v>367</v>
      </c>
      <c r="D28" s="933">
        <f>+D24+D17+D13+D9+D5</f>
        <v>225480</v>
      </c>
      <c r="E28" s="933">
        <f aca="true" t="shared" si="0" ref="E28:M28">+E24+E17+E13+E9+E5</f>
        <v>60407</v>
      </c>
      <c r="F28" s="933">
        <f>+F24+F17+F13+F9+F5</f>
        <v>228458</v>
      </c>
      <c r="G28" s="933">
        <f t="shared" si="0"/>
        <v>514345</v>
      </c>
      <c r="H28" s="933">
        <f>+H24+H17+H13+H9+H5</f>
        <v>118339</v>
      </c>
      <c r="I28" s="933">
        <f t="shared" si="0"/>
        <v>26169</v>
      </c>
      <c r="J28" s="933">
        <f t="shared" si="0"/>
        <v>3000</v>
      </c>
      <c r="K28" s="933">
        <f t="shared" si="0"/>
        <v>35878</v>
      </c>
      <c r="L28" s="933"/>
      <c r="M28" s="933">
        <f t="shared" si="0"/>
        <v>697731</v>
      </c>
      <c r="N28" s="13">
        <f>'2.mell. pfkiadás'!E31</f>
        <v>0</v>
      </c>
      <c r="O28" s="13"/>
    </row>
    <row r="29" spans="1:34" s="112" customFormat="1" ht="30.75" customHeight="1">
      <c r="A29" s="23" t="s">
        <v>36</v>
      </c>
      <c r="C29" s="476" t="s">
        <v>366</v>
      </c>
      <c r="D29" s="225">
        <f>+D25+D18+D14+D10+D6</f>
        <v>499317</v>
      </c>
      <c r="E29" s="225">
        <f aca="true" t="shared" si="1" ref="E29:K29">+E25+E18+E14+E10+E6</f>
        <v>102224</v>
      </c>
      <c r="F29" s="225">
        <f t="shared" si="1"/>
        <v>378501</v>
      </c>
      <c r="G29" s="225">
        <f t="shared" si="1"/>
        <v>980042</v>
      </c>
      <c r="H29" s="225">
        <f>+H25+H18+H14+H10+H6</f>
        <v>155804</v>
      </c>
      <c r="I29" s="225">
        <f t="shared" si="1"/>
        <v>65243</v>
      </c>
      <c r="J29" s="225">
        <f t="shared" si="1"/>
        <v>4000</v>
      </c>
      <c r="K29" s="225">
        <f t="shared" si="1"/>
        <v>79610</v>
      </c>
      <c r="L29" s="225">
        <f>L18</f>
        <v>366405</v>
      </c>
      <c r="M29" s="225">
        <f>+M25+M18+M14+M10+M6</f>
        <v>1651104</v>
      </c>
      <c r="N29" s="224"/>
      <c r="O29" s="224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1"/>
      <c r="AB29" s="301"/>
      <c r="AC29" s="301"/>
      <c r="AD29" s="301"/>
      <c r="AE29" s="301"/>
      <c r="AF29" s="301"/>
      <c r="AG29" s="301"/>
      <c r="AH29" s="301"/>
    </row>
    <row r="30" spans="1:15" ht="30.75" customHeight="1">
      <c r="A30" s="23" t="s">
        <v>37</v>
      </c>
      <c r="C30" s="234" t="s">
        <v>368</v>
      </c>
      <c r="D30" s="972">
        <f>+D26+D19+D15+D11+D7</f>
        <v>235364</v>
      </c>
      <c r="E30" s="972">
        <f>+E26+E19+E15+E11+E7</f>
        <v>63885</v>
      </c>
      <c r="F30" s="972">
        <f>+F26+F19+F15+F11+F7</f>
        <v>243828</v>
      </c>
      <c r="G30" s="972">
        <f>+G26+G19+G15+G11+G7</f>
        <v>543077</v>
      </c>
      <c r="H30" s="972">
        <f>+H26+H19+H15+H11+H7</f>
        <v>48438</v>
      </c>
      <c r="I30" s="972">
        <f>+I26+I19+I15+I11+I7</f>
        <v>45794</v>
      </c>
      <c r="J30" s="972">
        <f>+J26+J19+J15+J11+J7</f>
        <v>74380</v>
      </c>
      <c r="K30" s="972">
        <f>+K26+K19+K15+K11+K7</f>
        <v>32500</v>
      </c>
      <c r="L30" s="972"/>
      <c r="M30" s="972">
        <f>+M26+M19+M15+M11+M7</f>
        <v>744189</v>
      </c>
      <c r="N30" s="13"/>
      <c r="O30" s="13"/>
    </row>
    <row r="31" spans="4:13" ht="30.75" customHeight="1">
      <c r="D31" s="742">
        <f>D30/D28</f>
        <v>1.043835373425581</v>
      </c>
      <c r="E31" s="742">
        <f>E30/E28</f>
        <v>1.057576108729121</v>
      </c>
      <c r="F31" s="742">
        <f>F30/F28</f>
        <v>1.0672771362788784</v>
      </c>
      <c r="G31" s="11">
        <f>+'2.mell. pfkiadás'!E4</f>
        <v>543077</v>
      </c>
      <c r="I31" s="11">
        <f>+'2.mell. pfkiadás'!E15</f>
        <v>120174</v>
      </c>
      <c r="J31" s="11">
        <f>+'2.mell. pfkiadás'!E17</f>
        <v>74380</v>
      </c>
      <c r="K31" s="11">
        <f>+'2.mell. pfkiadás'!E19+'2.mell. pfkiadás'!E23</f>
        <v>32500</v>
      </c>
      <c r="M31" s="11">
        <f>SUM(G31:K31)-J31</f>
        <v>695751</v>
      </c>
    </row>
  </sheetData>
  <sheetProtection/>
  <mergeCells count="2">
    <mergeCell ref="I2:J2"/>
    <mergeCell ref="I20:J20"/>
  </mergeCells>
  <printOptions/>
  <pageMargins left="0.3937007874015748" right="0.3937007874015748" top="0.23" bottom="0.63" header="0.11" footer="0.5"/>
  <pageSetup horizontalDpi="600" verticalDpi="600" orientation="landscape" paperSize="9" scale="73" r:id="rId1"/>
  <headerFooter alignWithMargins="0">
    <oddHeader>&amp;L4. melléklet a 2015. évi 3/2015.(II.25.) Önkormányzati költségvetési rendelethez&amp;R2015.02.25</oddHeader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view="pageLayout" zoomScaleSheetLayoutView="100" workbookViewId="0" topLeftCell="A1">
      <selection activeCell="H22" sqref="H22"/>
    </sheetView>
  </sheetViews>
  <sheetFormatPr defaultColWidth="9.140625" defaultRowHeight="12.75"/>
  <cols>
    <col min="1" max="1" width="4.8515625" style="34" customWidth="1"/>
    <col min="2" max="2" width="47.140625" style="34" customWidth="1"/>
    <col min="3" max="3" width="16.7109375" style="34" customWidth="1"/>
    <col min="4" max="4" width="12.8515625" style="34" customWidth="1"/>
    <col min="5" max="5" width="7.421875" style="34" customWidth="1"/>
    <col min="6" max="6" width="13.7109375" style="34" bestFit="1" customWidth="1"/>
    <col min="7" max="16384" width="9.140625" style="34" customWidth="1"/>
  </cols>
  <sheetData>
    <row r="1" spans="1:3" ht="15">
      <c r="A1" s="983" t="s">
        <v>424</v>
      </c>
      <c r="B1" s="983"/>
      <c r="C1" s="983"/>
    </row>
    <row r="2" spans="2:3" ht="15">
      <c r="B2" s="480"/>
      <c r="C2" s="480"/>
    </row>
    <row r="3" spans="2:3" ht="15">
      <c r="B3" s="480"/>
      <c r="C3" s="480"/>
    </row>
    <row r="5" spans="2:7" ht="36" customHeight="1">
      <c r="B5" s="915" t="s">
        <v>270</v>
      </c>
      <c r="C5" s="429" t="s">
        <v>313</v>
      </c>
      <c r="D5" s="429" t="s">
        <v>369</v>
      </c>
      <c r="E5" s="275"/>
      <c r="F5" s="916"/>
      <c r="G5" s="916"/>
    </row>
    <row r="6" spans="2:7" s="798" customFormat="1" ht="24" customHeight="1">
      <c r="B6" s="917"/>
      <c r="C6" s="429" t="s">
        <v>454</v>
      </c>
      <c r="D6" s="429" t="s">
        <v>454</v>
      </c>
      <c r="E6" s="918"/>
      <c r="F6" s="919"/>
      <c r="G6" s="919"/>
    </row>
    <row r="7" spans="2:7" s="798" customFormat="1" ht="24" customHeight="1">
      <c r="B7" s="917"/>
      <c r="C7" s="429"/>
      <c r="D7" s="429"/>
      <c r="E7" s="918"/>
      <c r="F7" s="919"/>
      <c r="G7" s="919"/>
    </row>
    <row r="8" spans="2:5" ht="15">
      <c r="B8" s="739" t="str">
        <f>+'[4]bevétel'!A40</f>
        <v>Városellátó  Szervezet</v>
      </c>
      <c r="C8" s="920" t="s">
        <v>423</v>
      </c>
      <c r="D8" s="425">
        <v>28</v>
      </c>
      <c r="E8" s="34">
        <v>27</v>
      </c>
    </row>
    <row r="9" spans="2:5" ht="15">
      <c r="B9" s="739"/>
      <c r="C9" s="425"/>
      <c r="D9" s="425"/>
      <c r="E9" s="34">
        <v>1</v>
      </c>
    </row>
    <row r="10" spans="2:4" ht="15">
      <c r="B10" s="739" t="str">
        <f>+'[4]bevétel'!A46</f>
        <v>Egészségügyi és Szociális Ellátó Szervezet</v>
      </c>
      <c r="C10" s="921">
        <v>35</v>
      </c>
      <c r="D10" s="425">
        <v>35</v>
      </c>
    </row>
    <row r="11" spans="2:4" ht="15">
      <c r="B11" s="739" t="s">
        <v>309</v>
      </c>
      <c r="C11" s="921">
        <v>4</v>
      </c>
      <c r="D11" s="425">
        <v>4</v>
      </c>
    </row>
    <row r="12" spans="2:4" ht="14.25">
      <c r="B12" s="427"/>
      <c r="C12" s="425"/>
      <c r="D12" s="425"/>
    </row>
    <row r="13" spans="2:4" ht="15">
      <c r="B13" s="739" t="str">
        <f>+'[4]bevétel'!A62</f>
        <v>Városi Művelődési Központ és Könyvtár</v>
      </c>
      <c r="C13" s="425">
        <v>4</v>
      </c>
      <c r="D13" s="425">
        <v>4</v>
      </c>
    </row>
    <row r="14" spans="2:4" s="16" customFormat="1" ht="15">
      <c r="B14" s="919"/>
      <c r="C14" s="421"/>
      <c r="D14" s="421"/>
    </row>
    <row r="15" spans="2:4" ht="15">
      <c r="B15" s="739" t="str">
        <f>+'[4]bevétel'!A76</f>
        <v>Battonya Város Önkormányzata</v>
      </c>
      <c r="C15" s="425">
        <v>1</v>
      </c>
      <c r="D15" s="425">
        <v>1</v>
      </c>
    </row>
    <row r="16" spans="2:4" s="16" customFormat="1" ht="15">
      <c r="B16" s="919"/>
      <c r="C16" s="421"/>
      <c r="D16" s="421"/>
    </row>
    <row r="17" spans="2:5" ht="15">
      <c r="B17" s="739" t="s">
        <v>269</v>
      </c>
      <c r="C17" s="425">
        <v>23</v>
      </c>
      <c r="D17" s="425">
        <v>23</v>
      </c>
      <c r="E17" s="34">
        <v>22</v>
      </c>
    </row>
    <row r="18" spans="2:5" ht="14.25">
      <c r="B18" s="427"/>
      <c r="C18" s="425"/>
      <c r="D18" s="425"/>
      <c r="E18" s="34">
        <v>2</v>
      </c>
    </row>
    <row r="19" spans="2:4" s="16" customFormat="1" ht="15">
      <c r="B19" s="919"/>
      <c r="C19" s="421"/>
      <c r="D19" s="421"/>
    </row>
    <row r="20" spans="2:4" ht="14.25">
      <c r="B20" s="425"/>
      <c r="C20" s="425"/>
      <c r="D20" s="425"/>
    </row>
    <row r="21" spans="2:4" ht="15">
      <c r="B21" s="421" t="s">
        <v>271</v>
      </c>
      <c r="C21" s="922">
        <f>C8+C10+C11+C13+C15+C17</f>
        <v>95</v>
      </c>
      <c r="D21" s="421">
        <f>SUM(D8:D20)</f>
        <v>95</v>
      </c>
    </row>
    <row r="22" spans="2:4" ht="14.25">
      <c r="B22" s="425"/>
      <c r="C22" s="425"/>
      <c r="D22" s="425"/>
    </row>
    <row r="23" spans="2:4" ht="14.25">
      <c r="B23" s="425"/>
      <c r="C23" s="425"/>
      <c r="D23" s="425"/>
    </row>
    <row r="24" spans="2:4" ht="14.25">
      <c r="B24" s="425" t="s">
        <v>272</v>
      </c>
      <c r="C24" s="425">
        <v>250</v>
      </c>
      <c r="D24" s="425">
        <v>660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scale="85" r:id="rId1"/>
  <headerFooter alignWithMargins="0">
    <oddHeader>&amp;L4/1. melléklet a 2015. évi 3/2015.(II.25.) Önkormányzati költségvetési rendelethez&amp;R2015.02.25</oddHeader>
    <oddFooter>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U91"/>
  <sheetViews>
    <sheetView view="pageLayout" zoomScaleSheetLayoutView="100" workbookViewId="0" topLeftCell="A1">
      <selection activeCell="B30" sqref="B30"/>
    </sheetView>
  </sheetViews>
  <sheetFormatPr defaultColWidth="9.140625" defaultRowHeight="15" customHeight="1"/>
  <cols>
    <col min="1" max="1" width="5.140625" style="34" customWidth="1"/>
    <col min="2" max="2" width="66.00390625" style="261" customWidth="1"/>
    <col min="3" max="3" width="19.8515625" style="34" customWidth="1"/>
    <col min="4" max="4" width="13.28125" style="34" customWidth="1"/>
    <col min="5" max="5" width="13.00390625" style="477" bestFit="1" customWidth="1"/>
    <col min="6" max="6" width="9.140625" style="477" customWidth="1"/>
    <col min="7" max="7" width="5.140625" style="798" customWidth="1"/>
    <col min="8" max="8" width="58.421875" style="261" customWidth="1"/>
    <col min="9" max="9" width="12.57421875" style="34" customWidth="1"/>
    <col min="10" max="10" width="11.57421875" style="34" customWidth="1"/>
    <col min="11" max="11" width="13.140625" style="34" customWidth="1"/>
    <col min="12" max="12" width="0.13671875" style="34" hidden="1" customWidth="1"/>
    <col min="13" max="13" width="14.140625" style="34" customWidth="1"/>
    <col min="14" max="21" width="9.140625" style="477" customWidth="1"/>
    <col min="22" max="16384" width="9.140625" style="34" customWidth="1"/>
  </cols>
  <sheetData>
    <row r="1" spans="1:8" ht="15" customHeight="1">
      <c r="A1" s="797" t="s">
        <v>59</v>
      </c>
      <c r="G1" s="984" t="s">
        <v>59</v>
      </c>
      <c r="H1" s="985"/>
    </row>
    <row r="2" spans="2:8" ht="15" customHeight="1">
      <c r="B2" s="420"/>
      <c r="H2" s="420"/>
    </row>
    <row r="3" spans="2:13" ht="15" customHeight="1">
      <c r="B3" s="420" t="s">
        <v>60</v>
      </c>
      <c r="C3" s="799" t="s">
        <v>369</v>
      </c>
      <c r="D3" s="800"/>
      <c r="H3" s="420" t="s">
        <v>60</v>
      </c>
      <c r="I3" s="799" t="s">
        <v>313</v>
      </c>
      <c r="J3" s="799"/>
      <c r="K3" s="799" t="s">
        <v>313</v>
      </c>
      <c r="L3" s="801">
        <v>41912</v>
      </c>
      <c r="M3" s="801">
        <v>41912</v>
      </c>
    </row>
    <row r="4" spans="3:13" ht="30" customHeight="1">
      <c r="C4" s="802" t="s">
        <v>464</v>
      </c>
      <c r="D4" s="23"/>
      <c r="I4" s="802" t="s">
        <v>454</v>
      </c>
      <c r="J4" s="802" t="s">
        <v>369</v>
      </c>
      <c r="K4" s="803" t="s">
        <v>435</v>
      </c>
      <c r="L4" s="803" t="s">
        <v>436</v>
      </c>
      <c r="M4" s="803" t="s">
        <v>437</v>
      </c>
    </row>
    <row r="6" spans="1:13" ht="15" customHeight="1">
      <c r="A6" s="16"/>
      <c r="B6" s="265"/>
      <c r="C6" s="800"/>
      <c r="D6" s="800"/>
      <c r="G6" s="23"/>
      <c r="H6" s="265"/>
      <c r="I6" s="800"/>
      <c r="J6" s="800"/>
      <c r="K6" s="800"/>
      <c r="L6" s="800"/>
      <c r="M6" s="800"/>
    </row>
    <row r="7" spans="7:12" ht="15" customHeight="1">
      <c r="G7" s="23"/>
      <c r="H7" s="265"/>
      <c r="I7" s="800"/>
      <c r="J7" s="800"/>
      <c r="K7" s="800"/>
      <c r="L7" s="800"/>
    </row>
    <row r="8" spans="1:3" ht="15" customHeight="1">
      <c r="A8" s="798" t="s">
        <v>20</v>
      </c>
      <c r="B8" s="261" t="s">
        <v>66</v>
      </c>
      <c r="C8" s="477">
        <v>15780</v>
      </c>
    </row>
    <row r="9" spans="1:13" ht="15" customHeight="1">
      <c r="A9" s="798" t="s">
        <v>21</v>
      </c>
      <c r="B9" s="261" t="s">
        <v>194</v>
      </c>
      <c r="C9" s="477">
        <v>5000</v>
      </c>
      <c r="H9" s="261" t="s">
        <v>66</v>
      </c>
      <c r="I9" s="477">
        <f>13319+5</f>
        <v>13324</v>
      </c>
      <c r="J9" s="477">
        <v>15780</v>
      </c>
      <c r="K9" s="477">
        <v>14824</v>
      </c>
      <c r="L9" s="477">
        <v>14824</v>
      </c>
      <c r="M9" s="477">
        <v>11353</v>
      </c>
    </row>
    <row r="10" spans="1:13" ht="15" customHeight="1">
      <c r="A10" s="798" t="s">
        <v>22</v>
      </c>
      <c r="B10" s="804" t="s">
        <v>363</v>
      </c>
      <c r="C10" s="520">
        <v>5000</v>
      </c>
      <c r="H10" s="261" t="s">
        <v>194</v>
      </c>
      <c r="I10" s="477">
        <v>5000</v>
      </c>
      <c r="J10" s="477">
        <v>5000</v>
      </c>
      <c r="K10" s="477">
        <f>+I10</f>
        <v>5000</v>
      </c>
      <c r="L10" s="477">
        <f>+K10</f>
        <v>5000</v>
      </c>
      <c r="M10" s="477">
        <v>4000</v>
      </c>
    </row>
    <row r="11" spans="1:13" ht="15" customHeight="1">
      <c r="A11" s="798" t="s">
        <v>23</v>
      </c>
      <c r="B11" s="804" t="s">
        <v>355</v>
      </c>
      <c r="C11" s="520">
        <v>3000</v>
      </c>
      <c r="G11" s="428"/>
      <c r="H11" s="804" t="s">
        <v>363</v>
      </c>
      <c r="I11" s="520">
        <f>4000-700-50+1600-45-5</f>
        <v>4800</v>
      </c>
      <c r="J11" s="520">
        <v>5000</v>
      </c>
      <c r="K11" s="477">
        <f>SUM(K12:K29)</f>
        <v>3600</v>
      </c>
      <c r="L11" s="477">
        <f>+K11</f>
        <v>3600</v>
      </c>
      <c r="M11" s="477">
        <f>SUM(M12:M29)</f>
        <v>1980</v>
      </c>
    </row>
    <row r="12" spans="1:13" ht="33" customHeight="1">
      <c r="A12" s="798" t="s">
        <v>24</v>
      </c>
      <c r="B12" s="470" t="s">
        <v>375</v>
      </c>
      <c r="C12" s="520">
        <f>14*6</f>
        <v>84</v>
      </c>
      <c r="G12" s="428"/>
      <c r="H12" s="454" t="s">
        <v>465</v>
      </c>
      <c r="I12" s="805">
        <v>300</v>
      </c>
      <c r="J12" s="805"/>
      <c r="K12" s="806">
        <f>+I12</f>
        <v>300</v>
      </c>
      <c r="L12" s="806">
        <f>+K12</f>
        <v>300</v>
      </c>
      <c r="M12" s="477">
        <v>0</v>
      </c>
    </row>
    <row r="13" spans="1:13" ht="20.25" customHeight="1">
      <c r="A13" s="798" t="s">
        <v>25</v>
      </c>
      <c r="B13" s="807" t="s">
        <v>596</v>
      </c>
      <c r="C13" s="520">
        <v>30</v>
      </c>
      <c r="G13" s="428"/>
      <c r="H13" s="454" t="s">
        <v>466</v>
      </c>
      <c r="I13" s="805">
        <v>300</v>
      </c>
      <c r="J13" s="805"/>
      <c r="K13" s="806">
        <f>+I13</f>
        <v>300</v>
      </c>
      <c r="L13" s="806">
        <f>+K13</f>
        <v>300</v>
      </c>
      <c r="M13" s="477">
        <v>0</v>
      </c>
    </row>
    <row r="14" spans="1:13" ht="20.25" customHeight="1">
      <c r="A14" s="798" t="s">
        <v>26</v>
      </c>
      <c r="B14" s="470" t="s">
        <v>376</v>
      </c>
      <c r="C14" s="520">
        <v>2000</v>
      </c>
      <c r="G14" s="428"/>
      <c r="H14" s="454" t="s">
        <v>467</v>
      </c>
      <c r="I14" s="520"/>
      <c r="J14" s="520"/>
      <c r="K14" s="806">
        <v>150</v>
      </c>
      <c r="L14" s="806">
        <v>150</v>
      </c>
      <c r="M14" s="477">
        <v>150</v>
      </c>
    </row>
    <row r="15" spans="1:13" ht="20.25" customHeight="1">
      <c r="A15" s="798" t="s">
        <v>27</v>
      </c>
      <c r="B15" s="470" t="s">
        <v>619</v>
      </c>
      <c r="C15" s="520">
        <v>2900</v>
      </c>
      <c r="G15" s="428"/>
      <c r="H15" s="454"/>
      <c r="I15" s="520"/>
      <c r="J15" s="520"/>
      <c r="K15" s="806"/>
      <c r="L15" s="806"/>
      <c r="M15" s="477"/>
    </row>
    <row r="16" spans="1:13" ht="20.25" customHeight="1">
      <c r="A16" s="428" t="s">
        <v>28</v>
      </c>
      <c r="B16" s="470" t="s">
        <v>639</v>
      </c>
      <c r="C16" s="520">
        <f>3*4000</f>
        <v>12000</v>
      </c>
      <c r="G16" s="428"/>
      <c r="H16" s="454" t="s">
        <v>468</v>
      </c>
      <c r="I16" s="520"/>
      <c r="J16" s="520"/>
      <c r="K16" s="806">
        <v>1600</v>
      </c>
      <c r="L16" s="806">
        <v>1600</v>
      </c>
      <c r="M16" s="477">
        <f>500+300</f>
        <v>800</v>
      </c>
    </row>
    <row r="17" spans="1:13" ht="23.25" customHeight="1">
      <c r="A17" s="428" t="s">
        <v>29</v>
      </c>
      <c r="B17" s="20" t="s">
        <v>62</v>
      </c>
      <c r="C17" s="22">
        <f>SUM(C8:C16)</f>
        <v>45794</v>
      </c>
      <c r="D17" s="22"/>
      <c r="G17" s="428"/>
      <c r="H17" s="454" t="s">
        <v>469</v>
      </c>
      <c r="I17" s="520"/>
      <c r="J17" s="520"/>
      <c r="K17" s="808">
        <v>100</v>
      </c>
      <c r="L17" s="806">
        <v>100</v>
      </c>
      <c r="M17" s="477">
        <v>100</v>
      </c>
    </row>
    <row r="18" spans="1:13" ht="20.25" customHeight="1">
      <c r="A18" s="428"/>
      <c r="B18" s="470"/>
      <c r="C18" s="520"/>
      <c r="G18" s="428"/>
      <c r="H18" s="454" t="s">
        <v>470</v>
      </c>
      <c r="I18" s="520"/>
      <c r="J18" s="520"/>
      <c r="K18" s="806">
        <v>80</v>
      </c>
      <c r="L18" s="806">
        <v>80</v>
      </c>
      <c r="M18" s="477">
        <v>80</v>
      </c>
    </row>
    <row r="19" spans="1:13" ht="6.75" customHeight="1">
      <c r="A19" s="428"/>
      <c r="B19" s="470"/>
      <c r="C19" s="520"/>
      <c r="G19" s="428"/>
      <c r="H19" s="454" t="s">
        <v>471</v>
      </c>
      <c r="I19" s="520"/>
      <c r="J19" s="520"/>
      <c r="K19" s="806">
        <v>100</v>
      </c>
      <c r="L19" s="806">
        <v>100</v>
      </c>
      <c r="M19" s="477">
        <v>100</v>
      </c>
    </row>
    <row r="20" spans="1:13" ht="20.25" customHeight="1">
      <c r="A20" s="428" t="s">
        <v>30</v>
      </c>
      <c r="B20" s="804" t="s">
        <v>628</v>
      </c>
      <c r="C20" s="520">
        <v>3000</v>
      </c>
      <c r="G20" s="428"/>
      <c r="H20" s="454" t="s">
        <v>472</v>
      </c>
      <c r="I20" s="520"/>
      <c r="J20" s="520"/>
      <c r="K20" s="806">
        <v>200</v>
      </c>
      <c r="L20" s="806">
        <v>200</v>
      </c>
      <c r="M20" s="477">
        <v>200</v>
      </c>
    </row>
    <row r="21" spans="1:13" ht="37.5" customHeight="1">
      <c r="A21" s="428" t="s">
        <v>31</v>
      </c>
      <c r="B21" s="809" t="s">
        <v>629</v>
      </c>
      <c r="C21" s="520">
        <v>71380</v>
      </c>
      <c r="G21" s="428"/>
      <c r="H21" s="454" t="s">
        <v>473</v>
      </c>
      <c r="I21" s="520"/>
      <c r="J21" s="520"/>
      <c r="K21" s="806">
        <v>60</v>
      </c>
      <c r="L21" s="806">
        <v>60</v>
      </c>
      <c r="M21" s="477">
        <v>60</v>
      </c>
    </row>
    <row r="22" spans="1:13" ht="15" customHeight="1">
      <c r="A22" s="428"/>
      <c r="B22" s="20"/>
      <c r="C22" s="22"/>
      <c r="D22" s="22"/>
      <c r="G22" s="428"/>
      <c r="H22" s="454" t="s">
        <v>474</v>
      </c>
      <c r="I22" s="520"/>
      <c r="J22" s="520"/>
      <c r="K22" s="806">
        <v>110</v>
      </c>
      <c r="L22" s="806">
        <v>110</v>
      </c>
      <c r="M22" s="477">
        <v>110</v>
      </c>
    </row>
    <row r="23" spans="1:13" ht="15" customHeight="1">
      <c r="A23" s="428" t="s">
        <v>32</v>
      </c>
      <c r="B23" s="20" t="s">
        <v>377</v>
      </c>
      <c r="C23" s="22">
        <f>SUM(C20:C21)</f>
        <v>74380</v>
      </c>
      <c r="D23" s="22"/>
      <c r="G23" s="428"/>
      <c r="H23" s="454" t="s">
        <v>475</v>
      </c>
      <c r="I23" s="520"/>
      <c r="J23" s="520"/>
      <c r="K23" s="806">
        <v>60</v>
      </c>
      <c r="L23" s="806">
        <v>60</v>
      </c>
      <c r="M23" s="477">
        <v>60</v>
      </c>
    </row>
    <row r="24" spans="1:13" ht="15" customHeight="1">
      <c r="A24" s="425"/>
      <c r="B24" s="20"/>
      <c r="C24" s="22"/>
      <c r="D24" s="22"/>
      <c r="G24" s="428"/>
      <c r="H24" s="454" t="s">
        <v>476</v>
      </c>
      <c r="I24" s="520"/>
      <c r="J24" s="520"/>
      <c r="K24" s="806">
        <v>40</v>
      </c>
      <c r="L24" s="806">
        <v>40</v>
      </c>
      <c r="M24" s="477">
        <v>40</v>
      </c>
    </row>
    <row r="25" spans="1:13" ht="15" customHeight="1">
      <c r="A25" s="425"/>
      <c r="B25" s="804"/>
      <c r="C25" s="531"/>
      <c r="D25" s="22"/>
      <c r="G25" s="428"/>
      <c r="H25" s="454" t="s">
        <v>477</v>
      </c>
      <c r="I25" s="520"/>
      <c r="J25" s="520"/>
      <c r="K25" s="806">
        <v>100</v>
      </c>
      <c r="L25" s="806">
        <v>100</v>
      </c>
      <c r="M25" s="477">
        <v>100</v>
      </c>
    </row>
    <row r="26" spans="1:13" ht="15" customHeight="1">
      <c r="A26" s="425"/>
      <c r="B26" s="20"/>
      <c r="C26" s="520"/>
      <c r="G26" s="428"/>
      <c r="H26" s="454" t="s">
        <v>478</v>
      </c>
      <c r="I26" s="520"/>
      <c r="J26" s="520"/>
      <c r="K26" s="806">
        <v>80</v>
      </c>
      <c r="L26" s="806">
        <v>80</v>
      </c>
      <c r="M26" s="477">
        <v>80</v>
      </c>
    </row>
    <row r="27" spans="1:13" ht="15" customHeight="1">
      <c r="A27" s="428" t="s">
        <v>33</v>
      </c>
      <c r="B27" s="810" t="s">
        <v>64</v>
      </c>
      <c r="C27" s="22">
        <f>C17+C23</f>
        <v>120174</v>
      </c>
      <c r="D27" s="22"/>
      <c r="G27" s="428"/>
      <c r="H27" s="454" t="s">
        <v>479</v>
      </c>
      <c r="I27" s="520"/>
      <c r="J27" s="520"/>
      <c r="K27" s="806">
        <v>100</v>
      </c>
      <c r="L27" s="806">
        <v>100</v>
      </c>
      <c r="M27" s="477">
        <v>100</v>
      </c>
    </row>
    <row r="28" spans="7:13" ht="15" customHeight="1">
      <c r="G28" s="428"/>
      <c r="H28" s="454" t="s">
        <v>480</v>
      </c>
      <c r="I28" s="520"/>
      <c r="J28" s="520"/>
      <c r="K28" s="806">
        <v>30</v>
      </c>
      <c r="L28" s="806">
        <v>30</v>
      </c>
      <c r="M28" s="477">
        <v>0</v>
      </c>
    </row>
    <row r="29" spans="7:13" ht="15" customHeight="1">
      <c r="G29" s="428"/>
      <c r="H29" s="454" t="s">
        <v>481</v>
      </c>
      <c r="I29" s="520"/>
      <c r="J29" s="520"/>
      <c r="K29" s="806">
        <v>190</v>
      </c>
      <c r="L29" s="806">
        <v>190</v>
      </c>
      <c r="M29" s="477">
        <v>0</v>
      </c>
    </row>
    <row r="30" spans="7:13" ht="15" customHeight="1">
      <c r="G30" s="428"/>
      <c r="H30" s="804" t="s">
        <v>355</v>
      </c>
      <c r="I30" s="520">
        <v>3000</v>
      </c>
      <c r="J30" s="520">
        <v>3000</v>
      </c>
      <c r="K30" s="477">
        <v>283</v>
      </c>
      <c r="L30" s="477">
        <f>+K30</f>
        <v>283</v>
      </c>
      <c r="M30" s="477">
        <v>0</v>
      </c>
    </row>
    <row r="31" spans="2:13" ht="15" customHeight="1">
      <c r="B31" s="470"/>
      <c r="C31" s="520"/>
      <c r="G31" s="428"/>
      <c r="H31" s="470" t="s">
        <v>375</v>
      </c>
      <c r="I31" s="520">
        <v>45</v>
      </c>
      <c r="J31" s="520">
        <f>14*6</f>
        <v>84</v>
      </c>
      <c r="K31" s="477">
        <f>+I31</f>
        <v>45</v>
      </c>
      <c r="L31" s="477">
        <f>+K31</f>
        <v>45</v>
      </c>
      <c r="M31" s="477">
        <v>0</v>
      </c>
    </row>
    <row r="32" spans="7:13" ht="15" customHeight="1">
      <c r="G32" s="428"/>
      <c r="H32" s="470" t="s">
        <v>482</v>
      </c>
      <c r="I32" s="520"/>
      <c r="J32" s="520">
        <v>3000</v>
      </c>
      <c r="K32" s="477"/>
      <c r="L32" s="477"/>
      <c r="M32" s="477"/>
    </row>
    <row r="33" spans="7:13" ht="15" customHeight="1">
      <c r="G33" s="428"/>
      <c r="H33" s="470" t="s">
        <v>376</v>
      </c>
      <c r="I33" s="520"/>
      <c r="J33" s="520"/>
      <c r="K33" s="477"/>
      <c r="L33" s="477"/>
      <c r="M33" s="477"/>
    </row>
    <row r="34" spans="7:13" ht="15" customHeight="1">
      <c r="G34" s="428"/>
      <c r="H34" s="470" t="s">
        <v>483</v>
      </c>
      <c r="I34" s="520"/>
      <c r="J34" s="520"/>
      <c r="K34" s="477">
        <v>0</v>
      </c>
      <c r="L34" s="477">
        <v>84</v>
      </c>
      <c r="M34" s="477">
        <v>84</v>
      </c>
    </row>
    <row r="35" spans="7:13" ht="15" customHeight="1">
      <c r="G35" s="428"/>
      <c r="H35" s="468" t="s">
        <v>484</v>
      </c>
      <c r="I35" s="805">
        <f>I9+I10+I11+I30+I31</f>
        <v>26169</v>
      </c>
      <c r="J35" s="805">
        <f>J32+J31+J30+J11+J10+J9</f>
        <v>31864</v>
      </c>
      <c r="K35" s="805">
        <f>K9+K10+K11+K30+K31</f>
        <v>23752</v>
      </c>
      <c r="L35" s="805">
        <f>L9+L10+L11+L30+L31+L34</f>
        <v>23836</v>
      </c>
      <c r="M35" s="805">
        <f>M9+M10+M34+M11</f>
        <v>17417</v>
      </c>
    </row>
    <row r="36" spans="7:13" ht="15" customHeight="1">
      <c r="G36" s="428"/>
      <c r="H36" s="470"/>
      <c r="I36" s="520"/>
      <c r="J36" s="520"/>
      <c r="K36" s="477"/>
      <c r="L36" s="477"/>
      <c r="M36" s="477"/>
    </row>
    <row r="37" spans="7:13" ht="15" customHeight="1">
      <c r="G37" s="428"/>
      <c r="H37" s="471" t="s">
        <v>485</v>
      </c>
      <c r="I37" s="805"/>
      <c r="J37" s="805"/>
      <c r="K37" s="806">
        <v>1000</v>
      </c>
      <c r="L37" s="806">
        <v>1000</v>
      </c>
      <c r="M37" s="477">
        <v>932</v>
      </c>
    </row>
    <row r="38" spans="2:13" ht="15" customHeight="1">
      <c r="B38" s="261" t="s">
        <v>299</v>
      </c>
      <c r="G38" s="428"/>
      <c r="H38" s="472" t="s">
        <v>486</v>
      </c>
      <c r="I38" s="805"/>
      <c r="J38" s="805"/>
      <c r="K38" s="806">
        <v>5343</v>
      </c>
      <c r="L38" s="806">
        <v>5343</v>
      </c>
      <c r="M38" s="477">
        <v>5343</v>
      </c>
    </row>
    <row r="39" spans="2:13" ht="15" customHeight="1">
      <c r="B39" s="261" t="s">
        <v>300</v>
      </c>
      <c r="C39" s="34">
        <v>28045</v>
      </c>
      <c r="G39" s="428"/>
      <c r="H39" s="472" t="s">
        <v>487</v>
      </c>
      <c r="I39" s="805"/>
      <c r="J39" s="805"/>
      <c r="K39" s="806">
        <v>2356</v>
      </c>
      <c r="L39" s="806">
        <v>2356</v>
      </c>
      <c r="M39" s="477">
        <v>2356</v>
      </c>
    </row>
    <row r="40" spans="2:13" ht="15" customHeight="1">
      <c r="B40" s="261" t="s">
        <v>301</v>
      </c>
      <c r="C40" s="34">
        <v>335600</v>
      </c>
      <c r="G40" s="428"/>
      <c r="H40" s="472" t="s">
        <v>488</v>
      </c>
      <c r="I40" s="805"/>
      <c r="J40" s="805"/>
      <c r="K40" s="806">
        <v>27490</v>
      </c>
      <c r="L40" s="806">
        <v>27490</v>
      </c>
      <c r="M40" s="477">
        <v>27490</v>
      </c>
    </row>
    <row r="41" spans="2:13" ht="15" customHeight="1">
      <c r="B41" s="261" t="s">
        <v>302</v>
      </c>
      <c r="C41" s="34">
        <v>583944</v>
      </c>
      <c r="G41" s="428"/>
      <c r="H41" s="470" t="s">
        <v>489</v>
      </c>
      <c r="I41" s="425"/>
      <c r="J41" s="425"/>
      <c r="K41" s="34">
        <v>280</v>
      </c>
      <c r="L41" s="34">
        <v>280</v>
      </c>
      <c r="M41" s="34">
        <v>280</v>
      </c>
    </row>
    <row r="42" spans="2:13" ht="15" customHeight="1">
      <c r="B42" s="261" t="s">
        <v>303</v>
      </c>
      <c r="C42" s="34">
        <v>1493588</v>
      </c>
      <c r="G42" s="428"/>
      <c r="H42" s="470" t="s">
        <v>490</v>
      </c>
      <c r="I42" s="425"/>
      <c r="J42" s="425"/>
      <c r="K42" s="34">
        <v>454</v>
      </c>
      <c r="L42" s="34">
        <v>454</v>
      </c>
      <c r="M42" s="34">
        <v>100</v>
      </c>
    </row>
    <row r="43" spans="7:13" ht="15" customHeight="1">
      <c r="G43" s="428"/>
      <c r="H43" s="470" t="s">
        <v>491</v>
      </c>
      <c r="I43" s="425"/>
      <c r="J43" s="425"/>
      <c r="K43" s="34">
        <v>0</v>
      </c>
      <c r="L43" s="34">
        <v>282</v>
      </c>
      <c r="M43" s="34">
        <v>282</v>
      </c>
    </row>
    <row r="44" spans="7:13" ht="15" customHeight="1">
      <c r="G44" s="428"/>
      <c r="H44" s="470" t="s">
        <v>492</v>
      </c>
      <c r="I44" s="425"/>
      <c r="J44" s="425"/>
      <c r="K44" s="34">
        <v>0</v>
      </c>
      <c r="M44" s="34">
        <v>282</v>
      </c>
    </row>
    <row r="45" spans="7:13" ht="15" customHeight="1">
      <c r="G45" s="428"/>
      <c r="H45" s="470" t="s">
        <v>493</v>
      </c>
      <c r="I45" s="425"/>
      <c r="J45" s="425"/>
      <c r="K45" s="34">
        <v>0</v>
      </c>
      <c r="M45" s="34">
        <v>388</v>
      </c>
    </row>
    <row r="46" spans="7:13" ht="15" customHeight="1">
      <c r="G46" s="428"/>
      <c r="H46" s="470" t="s">
        <v>494</v>
      </c>
      <c r="I46" s="425"/>
      <c r="J46" s="425"/>
      <c r="K46" s="34">
        <v>0</v>
      </c>
      <c r="M46" s="34">
        <v>693</v>
      </c>
    </row>
    <row r="47" spans="7:13" ht="15" customHeight="1">
      <c r="G47" s="428"/>
      <c r="H47" s="470" t="s">
        <v>495</v>
      </c>
      <c r="I47" s="425"/>
      <c r="J47" s="425"/>
      <c r="K47" s="34">
        <v>0</v>
      </c>
      <c r="M47" s="34">
        <v>5</v>
      </c>
    </row>
    <row r="48" spans="7:13" ht="15" customHeight="1">
      <c r="G48" s="428"/>
      <c r="H48" s="468" t="s">
        <v>496</v>
      </c>
      <c r="I48" s="811"/>
      <c r="J48" s="811"/>
      <c r="K48" s="806">
        <f>K38+K39+K40+K41+K42+K43+K37</f>
        <v>36923</v>
      </c>
      <c r="L48" s="806">
        <f>L38+L39+L40+L41+L42+L43+L37</f>
        <v>37205</v>
      </c>
      <c r="M48" s="806">
        <f>SUM(M37:M47)</f>
        <v>38151</v>
      </c>
    </row>
    <row r="49" spans="7:10" ht="15" customHeight="1">
      <c r="G49" s="428"/>
      <c r="H49" s="470"/>
      <c r="I49" s="425"/>
      <c r="J49" s="425"/>
    </row>
    <row r="50" spans="2:13" ht="15" customHeight="1">
      <c r="B50" s="812" t="s">
        <v>304</v>
      </c>
      <c r="G50" s="428"/>
      <c r="H50" s="813" t="s">
        <v>62</v>
      </c>
      <c r="I50" s="718">
        <f>I48+I35</f>
        <v>26169</v>
      </c>
      <c r="J50" s="718">
        <f>J48+J35</f>
        <v>31864</v>
      </c>
      <c r="K50" s="718">
        <f>K48+K35</f>
        <v>60675</v>
      </c>
      <c r="L50" s="718">
        <f>L35+L48</f>
        <v>61041</v>
      </c>
      <c r="M50" s="718">
        <f>M48+M35</f>
        <v>55568</v>
      </c>
    </row>
    <row r="51" spans="2:12" ht="15" customHeight="1">
      <c r="B51" s="261" t="s">
        <v>305</v>
      </c>
      <c r="H51" s="20"/>
      <c r="I51" s="22"/>
      <c r="J51" s="22"/>
      <c r="K51" s="22"/>
      <c r="L51" s="22"/>
    </row>
    <row r="52" spans="2:13" ht="15" customHeight="1">
      <c r="B52" s="261" t="s">
        <v>268</v>
      </c>
      <c r="H52" s="20"/>
      <c r="I52" s="22"/>
      <c r="J52" s="22"/>
      <c r="K52" s="22"/>
      <c r="L52" s="22"/>
      <c r="M52" s="22"/>
    </row>
    <row r="53" spans="2:21" s="16" customFormat="1" ht="15" customHeight="1">
      <c r="B53" s="266" t="s">
        <v>295</v>
      </c>
      <c r="C53" s="24"/>
      <c r="D53" s="24"/>
      <c r="E53" s="28"/>
      <c r="F53" s="28"/>
      <c r="G53" s="798"/>
      <c r="H53" s="804" t="s">
        <v>497</v>
      </c>
      <c r="I53" s="531">
        <v>3000</v>
      </c>
      <c r="J53" s="531">
        <v>3000</v>
      </c>
      <c r="K53" s="665">
        <f>+I53</f>
        <v>3000</v>
      </c>
      <c r="L53" s="665">
        <v>3000</v>
      </c>
      <c r="M53" s="34">
        <v>0</v>
      </c>
      <c r="N53" s="25"/>
      <c r="O53" s="25"/>
      <c r="P53" s="25"/>
      <c r="Q53" s="25"/>
      <c r="R53" s="25"/>
      <c r="S53" s="25"/>
      <c r="T53" s="25"/>
      <c r="U53" s="25"/>
    </row>
    <row r="54" spans="8:13" ht="15" customHeight="1">
      <c r="H54" s="470" t="s">
        <v>498</v>
      </c>
      <c r="I54" s="22"/>
      <c r="J54" s="22"/>
      <c r="K54" s="665">
        <v>1000</v>
      </c>
      <c r="L54" s="665">
        <v>1000</v>
      </c>
      <c r="M54" s="477">
        <v>1000</v>
      </c>
    </row>
    <row r="55" spans="2:13" ht="15" customHeight="1">
      <c r="B55" s="261" t="s">
        <v>306</v>
      </c>
      <c r="H55" s="470" t="s">
        <v>499</v>
      </c>
      <c r="I55" s="22"/>
      <c r="J55" s="665">
        <v>1000</v>
      </c>
      <c r="K55" s="665"/>
      <c r="L55" s="665"/>
      <c r="M55" s="477"/>
    </row>
    <row r="56" spans="2:13" ht="15" customHeight="1">
      <c r="B56" s="261" t="s">
        <v>307</v>
      </c>
      <c r="H56" s="809" t="s">
        <v>425</v>
      </c>
      <c r="I56" s="22"/>
      <c r="J56" s="665">
        <v>71380</v>
      </c>
      <c r="K56" s="665"/>
      <c r="L56" s="665"/>
      <c r="M56" s="477"/>
    </row>
    <row r="57" spans="2:21" s="16" customFormat="1" ht="15" customHeight="1">
      <c r="B57" s="266" t="s">
        <v>308</v>
      </c>
      <c r="C57" s="24"/>
      <c r="D57" s="24"/>
      <c r="E57" s="28"/>
      <c r="F57" s="28"/>
      <c r="G57" s="798"/>
      <c r="H57" s="470"/>
      <c r="I57" s="22"/>
      <c r="J57" s="22"/>
      <c r="K57" s="665"/>
      <c r="L57" s="665"/>
      <c r="M57" s="477"/>
      <c r="N57" s="25"/>
      <c r="O57" s="25"/>
      <c r="P57" s="25"/>
      <c r="Q57" s="25"/>
      <c r="R57" s="25"/>
      <c r="S57" s="25"/>
      <c r="T57" s="25"/>
      <c r="U57" s="25"/>
    </row>
    <row r="58" spans="8:13" ht="15" customHeight="1">
      <c r="H58" s="814" t="s">
        <v>63</v>
      </c>
      <c r="I58" s="815">
        <f>SUM(I53:I54)</f>
        <v>3000</v>
      </c>
      <c r="J58" s="815">
        <f>SUM(J53:J56)</f>
        <v>75380</v>
      </c>
      <c r="K58" s="815">
        <f>SUM(K53:K54)</f>
        <v>4000</v>
      </c>
      <c r="L58" s="815">
        <f>SUM(L53:L54)</f>
        <v>4000</v>
      </c>
      <c r="M58" s="815">
        <f>SUM(M53:M54)</f>
        <v>1000</v>
      </c>
    </row>
    <row r="59" spans="8:12" ht="15" customHeight="1">
      <c r="H59" s="470"/>
      <c r="I59" s="22"/>
      <c r="J59" s="22"/>
      <c r="K59" s="665"/>
      <c r="L59" s="665"/>
    </row>
    <row r="60" spans="7:10" ht="15" customHeight="1">
      <c r="G60" s="428"/>
      <c r="H60" s="20"/>
      <c r="I60" s="425"/>
      <c r="J60" s="425"/>
    </row>
    <row r="61" spans="8:13" ht="15" customHeight="1">
      <c r="H61" s="810" t="s">
        <v>64</v>
      </c>
      <c r="I61" s="22">
        <f>+I50+I58</f>
        <v>29169</v>
      </c>
      <c r="J61" s="22">
        <f>+J50+J58</f>
        <v>107244</v>
      </c>
      <c r="K61" s="22">
        <f>+K50+K58</f>
        <v>64675</v>
      </c>
      <c r="L61" s="22">
        <f>+L50+L58</f>
        <v>65041</v>
      </c>
      <c r="M61" s="22">
        <f>+M50+M58</f>
        <v>56568</v>
      </c>
    </row>
    <row r="84" ht="15" customHeight="1">
      <c r="H84" s="812"/>
    </row>
    <row r="87" spans="7:13" ht="15" customHeight="1">
      <c r="G87" s="23"/>
      <c r="H87" s="266"/>
      <c r="I87" s="24"/>
      <c r="J87" s="24"/>
      <c r="K87" s="24"/>
      <c r="L87" s="24"/>
      <c r="M87" s="24"/>
    </row>
    <row r="91" spans="7:13" ht="15" customHeight="1">
      <c r="G91" s="23"/>
      <c r="H91" s="266"/>
      <c r="I91" s="24"/>
      <c r="J91" s="24"/>
      <c r="K91" s="24"/>
      <c r="L91" s="24"/>
      <c r="M91" s="24"/>
    </row>
  </sheetData>
  <sheetProtection/>
  <mergeCells count="1">
    <mergeCell ref="G1:H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&amp;L5. melléklet a 2015. évi 3/2015.(II.25.) Önkormányzati költségvetési rendelethez&amp;R2015.02.25</oddHeader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AG35"/>
  <sheetViews>
    <sheetView view="pageLayout" zoomScaleSheetLayoutView="100" workbookViewId="0" topLeftCell="A1">
      <selection activeCell="B9" sqref="B9"/>
    </sheetView>
  </sheetViews>
  <sheetFormatPr defaultColWidth="9.140625" defaultRowHeight="24.75" customHeight="1"/>
  <cols>
    <col min="1" max="1" width="4.140625" style="34" bestFit="1" customWidth="1"/>
    <col min="2" max="2" width="52.57421875" style="34" customWidth="1"/>
    <col min="3" max="3" width="11.00390625" style="34" hidden="1" customWidth="1"/>
    <col min="4" max="4" width="10.28125" style="34" hidden="1" customWidth="1"/>
    <col min="5" max="5" width="11.28125" style="34" hidden="1" customWidth="1"/>
    <col min="6" max="8" width="12.57421875" style="34" customWidth="1"/>
    <col min="9" max="13" width="14.57421875" style="258" customWidth="1"/>
    <col min="14" max="20" width="9.140625" style="34" customWidth="1"/>
    <col min="21" max="21" width="4.140625" style="34" bestFit="1" customWidth="1"/>
    <col min="22" max="22" width="52.57421875" style="34" customWidth="1"/>
    <col min="23" max="23" width="11.00390625" style="34" bestFit="1" customWidth="1"/>
    <col min="24" max="24" width="10.28125" style="34" customWidth="1"/>
    <col min="25" max="25" width="11.28125" style="34" bestFit="1" customWidth="1"/>
    <col min="26" max="26" width="11.00390625" style="34" bestFit="1" customWidth="1"/>
    <col min="27" max="27" width="10.28125" style="34" customWidth="1"/>
    <col min="28" max="28" width="11.28125" style="34" bestFit="1" customWidth="1"/>
    <col min="29" max="29" width="10.57421875" style="34" bestFit="1" customWidth="1"/>
    <col min="30" max="30" width="9.421875" style="34" bestFit="1" customWidth="1"/>
    <col min="31" max="31" width="9.421875" style="34" customWidth="1"/>
    <col min="32" max="32" width="11.140625" style="34" bestFit="1" customWidth="1"/>
    <col min="33" max="33" width="12.28125" style="34" bestFit="1" customWidth="1"/>
    <col min="34" max="16384" width="9.140625" style="34" customWidth="1"/>
  </cols>
  <sheetData>
    <row r="1" spans="1:31" ht="24.75" customHeight="1" thickBot="1">
      <c r="A1" s="424" t="s">
        <v>620</v>
      </c>
      <c r="B1" s="479"/>
      <c r="C1" s="480"/>
      <c r="D1" s="480"/>
      <c r="E1" s="480"/>
      <c r="F1" s="481"/>
      <c r="G1" s="481"/>
      <c r="H1" s="481"/>
      <c r="I1" s="482"/>
      <c r="J1" s="482"/>
      <c r="K1" s="482"/>
      <c r="L1" s="482"/>
      <c r="M1" s="482"/>
      <c r="U1" s="483" t="s">
        <v>67</v>
      </c>
      <c r="V1" s="484"/>
      <c r="W1" s="481"/>
      <c r="X1" s="481"/>
      <c r="Y1" s="481"/>
      <c r="Z1" s="481"/>
      <c r="AA1" s="481"/>
      <c r="AB1" s="481"/>
      <c r="AC1" s="481"/>
      <c r="AD1" s="481"/>
      <c r="AE1" s="481"/>
    </row>
    <row r="2" spans="1:31" ht="24.75" customHeight="1">
      <c r="A2" s="485"/>
      <c r="B2" s="486"/>
      <c r="C2" s="993" t="s">
        <v>426</v>
      </c>
      <c r="D2" s="994"/>
      <c r="E2" s="995"/>
      <c r="F2" s="998" t="s">
        <v>312</v>
      </c>
      <c r="G2" s="999"/>
      <c r="H2" s="1000"/>
      <c r="I2" s="996" t="s">
        <v>365</v>
      </c>
      <c r="J2" s="997"/>
      <c r="K2" s="997"/>
      <c r="L2" s="993" t="str">
        <f>+I2</f>
        <v>2015.évi er.ei.</v>
      </c>
      <c r="M2" s="995"/>
      <c r="U2" s="485"/>
      <c r="V2" s="487"/>
      <c r="W2" s="988" t="s">
        <v>312</v>
      </c>
      <c r="X2" s="989"/>
      <c r="Y2" s="990"/>
      <c r="Z2" s="991" t="s">
        <v>365</v>
      </c>
      <c r="AA2" s="991"/>
      <c r="AB2" s="992"/>
      <c r="AC2" s="986" t="s">
        <v>365</v>
      </c>
      <c r="AD2" s="987"/>
      <c r="AE2" s="488"/>
    </row>
    <row r="3" spans="1:31" ht="39" customHeight="1" thickBot="1">
      <c r="A3" s="489"/>
      <c r="B3" s="421"/>
      <c r="C3" s="490" t="s">
        <v>68</v>
      </c>
      <c r="D3" s="491" t="s">
        <v>69</v>
      </c>
      <c r="E3" s="492" t="s">
        <v>5</v>
      </c>
      <c r="F3" s="839" t="s">
        <v>68</v>
      </c>
      <c r="G3" s="840" t="s">
        <v>69</v>
      </c>
      <c r="H3" s="841" t="s">
        <v>5</v>
      </c>
      <c r="I3" s="490" t="s">
        <v>68</v>
      </c>
      <c r="J3" s="816" t="s">
        <v>69</v>
      </c>
      <c r="K3" s="817" t="s">
        <v>5</v>
      </c>
      <c r="L3" s="818" t="s">
        <v>70</v>
      </c>
      <c r="M3" s="819" t="s">
        <v>71</v>
      </c>
      <c r="U3" s="489"/>
      <c r="V3" s="493"/>
      <c r="W3" s="494" t="s">
        <v>68</v>
      </c>
      <c r="X3" s="495" t="s">
        <v>69</v>
      </c>
      <c r="Y3" s="496" t="s">
        <v>5</v>
      </c>
      <c r="Z3" s="497" t="s">
        <v>68</v>
      </c>
      <c r="AA3" s="497" t="s">
        <v>69</v>
      </c>
      <c r="AB3" s="488" t="s">
        <v>5</v>
      </c>
      <c r="AC3" s="498" t="s">
        <v>70</v>
      </c>
      <c r="AD3" s="499" t="s">
        <v>71</v>
      </c>
      <c r="AE3" s="488"/>
    </row>
    <row r="4" spans="1:33" s="24" customFormat="1" ht="24.75" customHeight="1">
      <c r="A4" s="500"/>
      <c r="B4" s="501"/>
      <c r="C4" s="502"/>
      <c r="D4" s="503"/>
      <c r="E4" s="504"/>
      <c r="F4" s="842"/>
      <c r="G4" s="843"/>
      <c r="H4" s="844"/>
      <c r="I4" s="502"/>
      <c r="J4" s="506"/>
      <c r="K4" s="507"/>
      <c r="L4" s="508"/>
      <c r="M4" s="509"/>
      <c r="U4" s="510" t="s">
        <v>11</v>
      </c>
      <c r="V4" s="511" t="s">
        <v>12</v>
      </c>
      <c r="W4" s="505" t="s">
        <v>16</v>
      </c>
      <c r="X4" s="512" t="s">
        <v>17</v>
      </c>
      <c r="Y4" s="513" t="s">
        <v>18</v>
      </c>
      <c r="Z4" s="514" t="s">
        <v>16</v>
      </c>
      <c r="AA4" s="515" t="s">
        <v>17</v>
      </c>
      <c r="AB4" s="516" t="s">
        <v>18</v>
      </c>
      <c r="AC4" s="517" t="s">
        <v>55</v>
      </c>
      <c r="AD4" s="516" t="s">
        <v>19</v>
      </c>
      <c r="AE4" s="512"/>
      <c r="AG4" s="28">
        <f>+AG5-Y7</f>
        <v>17522.916</v>
      </c>
    </row>
    <row r="5" spans="1:33" ht="24.75" customHeight="1">
      <c r="A5" s="518"/>
      <c r="B5" s="518"/>
      <c r="C5" s="519"/>
      <c r="D5" s="520"/>
      <c r="E5" s="521"/>
      <c r="F5" s="193"/>
      <c r="G5" s="845"/>
      <c r="H5" s="846"/>
      <c r="I5" s="519"/>
      <c r="J5" s="820"/>
      <c r="K5" s="821"/>
      <c r="L5" s="519"/>
      <c r="M5" s="821"/>
      <c r="U5" s="523"/>
      <c r="V5" s="524"/>
      <c r="W5" s="522"/>
      <c r="X5" s="525"/>
      <c r="Y5" s="526"/>
      <c r="Z5" s="522"/>
      <c r="AA5" s="525"/>
      <c r="AB5" s="526"/>
      <c r="AC5" s="527"/>
      <c r="AD5" s="526"/>
      <c r="AE5" s="525"/>
      <c r="AG5" s="34">
        <f>+AF6/1000</f>
        <v>20171.916</v>
      </c>
    </row>
    <row r="6" spans="1:33" ht="24.75" customHeight="1">
      <c r="A6" s="518" t="s">
        <v>550</v>
      </c>
      <c r="B6" s="518" t="s">
        <v>427</v>
      </c>
      <c r="C6" s="519">
        <f>+E6-D6</f>
        <v>1188.7999999999993</v>
      </c>
      <c r="D6" s="520">
        <f>+E6*0.9</f>
        <v>10699.2</v>
      </c>
      <c r="E6" s="528">
        <f>3140+337+8411</f>
        <v>11888</v>
      </c>
      <c r="F6" s="193">
        <f>+H6-G6</f>
        <v>1690</v>
      </c>
      <c r="G6" s="845">
        <f>+H6*0.9</f>
        <v>15210</v>
      </c>
      <c r="H6" s="847">
        <v>16900</v>
      </c>
      <c r="I6" s="519">
        <f>+K6-J6-1</f>
        <v>421.5</v>
      </c>
      <c r="J6" s="820">
        <f>+K6*0.9</f>
        <v>3802.5</v>
      </c>
      <c r="K6" s="529">
        <v>4225</v>
      </c>
      <c r="L6" s="822">
        <f>K6</f>
        <v>4225</v>
      </c>
      <c r="M6" s="529"/>
      <c r="U6" s="523" t="s">
        <v>20</v>
      </c>
      <c r="V6" s="524" t="s">
        <v>72</v>
      </c>
      <c r="W6" s="522">
        <f>+Y6-X6</f>
        <v>1690</v>
      </c>
      <c r="X6" s="525">
        <f>+Y6*0.9</f>
        <v>15210</v>
      </c>
      <c r="Y6" s="528">
        <v>16900</v>
      </c>
      <c r="Z6" s="522">
        <f>+AB6-AA6</f>
        <v>1690</v>
      </c>
      <c r="AA6" s="525">
        <f>+AB6*0.9</f>
        <v>15210</v>
      </c>
      <c r="AB6" s="528">
        <v>16900</v>
      </c>
      <c r="AC6" s="530">
        <v>16900</v>
      </c>
      <c r="AD6" s="528"/>
      <c r="AE6" s="531"/>
      <c r="AF6" s="34">
        <f>1680993*12</f>
        <v>20171916</v>
      </c>
      <c r="AG6" s="477">
        <f>SUM(Y6:Y7)</f>
        <v>19549</v>
      </c>
    </row>
    <row r="7" spans="1:31" ht="24.75" customHeight="1">
      <c r="A7" s="518" t="s">
        <v>549</v>
      </c>
      <c r="B7" s="518" t="s">
        <v>428</v>
      </c>
      <c r="C7" s="519">
        <f>+E7-D7</f>
        <v>264.9000000000001</v>
      </c>
      <c r="D7" s="520">
        <f>+E7*0.9</f>
        <v>2384.1</v>
      </c>
      <c r="E7" s="528">
        <f>2407+242</f>
        <v>2649</v>
      </c>
      <c r="F7" s="193">
        <f>+H7-G7</f>
        <v>264.9000000000001</v>
      </c>
      <c r="G7" s="845">
        <f>+H7*0.9</f>
        <v>2384.1</v>
      </c>
      <c r="H7" s="847">
        <f>2407+242</f>
        <v>2649</v>
      </c>
      <c r="I7" s="519">
        <f>+K7-J7</f>
        <v>66.19999999999993</v>
      </c>
      <c r="J7" s="820">
        <f>+K7*0.9</f>
        <v>595.8000000000001</v>
      </c>
      <c r="K7" s="529">
        <v>662</v>
      </c>
      <c r="L7" s="822">
        <f>K7</f>
        <v>662</v>
      </c>
      <c r="M7" s="529"/>
      <c r="U7" s="523" t="s">
        <v>21</v>
      </c>
      <c r="V7" s="524" t="s">
        <v>73</v>
      </c>
      <c r="W7" s="522">
        <f>+Y7-X7</f>
        <v>264.9000000000001</v>
      </c>
      <c r="X7" s="525">
        <f>+Y7*0.9</f>
        <v>2384.1</v>
      </c>
      <c r="Y7" s="528">
        <f>2407+242</f>
        <v>2649</v>
      </c>
      <c r="Z7" s="522">
        <f>+AB7-AA7</f>
        <v>264.9000000000001</v>
      </c>
      <c r="AA7" s="525">
        <f>+AB7*0.9</f>
        <v>2384.1</v>
      </c>
      <c r="AB7" s="528">
        <f>2407+242</f>
        <v>2649</v>
      </c>
      <c r="AC7" s="530">
        <v>2649</v>
      </c>
      <c r="AD7" s="528"/>
      <c r="AE7" s="531"/>
    </row>
    <row r="8" spans="1:33" ht="24.75" customHeight="1">
      <c r="A8" s="518" t="s">
        <v>548</v>
      </c>
      <c r="B8" s="518" t="s">
        <v>429</v>
      </c>
      <c r="C8" s="519">
        <f>+E8-D8</f>
        <v>28174.59999999999</v>
      </c>
      <c r="D8" s="520">
        <f>+E8*0.8</f>
        <v>112698.40000000001</v>
      </c>
      <c r="E8" s="528">
        <f>128536+12337</f>
        <v>140873</v>
      </c>
      <c r="F8" s="193">
        <f>+H8-G8</f>
        <v>14700</v>
      </c>
      <c r="G8" s="845">
        <f>+H8*0.8</f>
        <v>58800</v>
      </c>
      <c r="H8" s="847">
        <v>73500</v>
      </c>
      <c r="I8" s="519">
        <f>+K8-J8</f>
        <v>3675</v>
      </c>
      <c r="J8" s="820">
        <f>+K8*0.8</f>
        <v>14700</v>
      </c>
      <c r="K8" s="529">
        <v>18375</v>
      </c>
      <c r="L8" s="822">
        <f>K8</f>
        <v>18375</v>
      </c>
      <c r="M8" s="529"/>
      <c r="U8" s="523" t="s">
        <v>22</v>
      </c>
      <c r="V8" s="524" t="s">
        <v>74</v>
      </c>
      <c r="W8" s="522">
        <f>+Y8-X8</f>
        <v>14700</v>
      </c>
      <c r="X8" s="525">
        <f>+Y8*0.8</f>
        <v>58800</v>
      </c>
      <c r="Y8" s="528">
        <v>73500</v>
      </c>
      <c r="Z8" s="522">
        <f>+AB8-AA8</f>
        <v>14700</v>
      </c>
      <c r="AA8" s="525">
        <f>+AB8*0.8</f>
        <v>58800</v>
      </c>
      <c r="AB8" s="528">
        <v>73500</v>
      </c>
      <c r="AC8" s="530">
        <v>73500</v>
      </c>
      <c r="AD8" s="528"/>
      <c r="AE8" s="531"/>
      <c r="AF8" s="34">
        <f>5746360*12</f>
        <v>68956320</v>
      </c>
      <c r="AG8" s="34">
        <f>+AF8/1000</f>
        <v>68956.32</v>
      </c>
    </row>
    <row r="9" spans="1:33" s="425" customFormat="1" ht="24.75" customHeight="1">
      <c r="A9" s="518" t="s">
        <v>547</v>
      </c>
      <c r="B9" s="518" t="s">
        <v>430</v>
      </c>
      <c r="C9" s="519">
        <f>+E9-D9</f>
        <v>2017.5999999999985</v>
      </c>
      <c r="D9" s="520">
        <f>+E9*0.9</f>
        <v>18158.4</v>
      </c>
      <c r="E9" s="528">
        <f>18399+1777</f>
        <v>20176</v>
      </c>
      <c r="F9" s="193">
        <f>+H9-G9</f>
        <v>2017.5999999999985</v>
      </c>
      <c r="G9" s="845">
        <f>+H9*0.9</f>
        <v>18158.4</v>
      </c>
      <c r="H9" s="847">
        <f>18399+1777</f>
        <v>20176</v>
      </c>
      <c r="I9" s="519">
        <f>+K9-J9</f>
        <v>15636.4</v>
      </c>
      <c r="J9" s="820">
        <f>(K9/12*3)*90%</f>
        <v>4539.6</v>
      </c>
      <c r="K9" s="529">
        <v>20176</v>
      </c>
      <c r="L9" s="822">
        <f>K9</f>
        <v>20176</v>
      </c>
      <c r="M9" s="529"/>
      <c r="U9" s="425" t="s">
        <v>25</v>
      </c>
      <c r="V9" s="524" t="s">
        <v>75</v>
      </c>
      <c r="W9" s="522">
        <f>+Y9-X9</f>
        <v>2017.5999999999985</v>
      </c>
      <c r="X9" s="525">
        <f>+Y9*0.9</f>
        <v>18158.4</v>
      </c>
      <c r="Y9" s="528">
        <f>18399+1777</f>
        <v>20176</v>
      </c>
      <c r="Z9" s="522">
        <f>+AB9-AA9</f>
        <v>2017.5999999999985</v>
      </c>
      <c r="AA9" s="525">
        <f>+AB9*0.9</f>
        <v>18158.4</v>
      </c>
      <c r="AB9" s="528">
        <f>18399+1777</f>
        <v>20176</v>
      </c>
      <c r="AC9" s="530">
        <v>20176</v>
      </c>
      <c r="AD9" s="528"/>
      <c r="AE9" s="531"/>
      <c r="AF9" s="425">
        <f>1747900*12</f>
        <v>20974800</v>
      </c>
      <c r="AG9" s="425">
        <f>SUM(AF6:AF9)</f>
        <v>110103036</v>
      </c>
    </row>
    <row r="10" spans="1:33" ht="24.75" customHeight="1" thickBot="1">
      <c r="A10" s="518" t="s">
        <v>551</v>
      </c>
      <c r="B10" s="518" t="s">
        <v>314</v>
      </c>
      <c r="C10" s="519"/>
      <c r="D10" s="520">
        <v>264</v>
      </c>
      <c r="E10" s="528">
        <f>+D10</f>
        <v>264</v>
      </c>
      <c r="F10" s="193"/>
      <c r="G10" s="845"/>
      <c r="H10" s="847"/>
      <c r="I10" s="519"/>
      <c r="J10" s="820"/>
      <c r="K10" s="529"/>
      <c r="L10" s="822"/>
      <c r="M10" s="529"/>
      <c r="U10" s="523"/>
      <c r="V10" s="524" t="s">
        <v>314</v>
      </c>
      <c r="W10" s="522"/>
      <c r="X10" s="525"/>
      <c r="Y10" s="528"/>
      <c r="Z10" s="522"/>
      <c r="AA10" s="525"/>
      <c r="AB10" s="528"/>
      <c r="AC10" s="530"/>
      <c r="AD10" s="528"/>
      <c r="AE10" s="531"/>
      <c r="AG10" s="24">
        <f>+AG9/1000</f>
        <v>110103.036</v>
      </c>
    </row>
    <row r="11" spans="1:31" ht="24.75" customHeight="1" thickBot="1">
      <c r="A11" s="518" t="s">
        <v>546</v>
      </c>
      <c r="B11" s="518" t="s">
        <v>315</v>
      </c>
      <c r="C11" s="519"/>
      <c r="D11" s="520">
        <v>2622</v>
      </c>
      <c r="E11" s="528">
        <f>+D11</f>
        <v>2622</v>
      </c>
      <c r="F11" s="193"/>
      <c r="G11" s="848"/>
      <c r="H11" s="849"/>
      <c r="I11" s="519"/>
      <c r="J11" s="820"/>
      <c r="K11" s="529"/>
      <c r="L11" s="822"/>
      <c r="M11" s="529"/>
      <c r="U11" s="523"/>
      <c r="V11" s="532" t="s">
        <v>315</v>
      </c>
      <c r="W11" s="522"/>
      <c r="X11" s="533"/>
      <c r="Y11" s="528"/>
      <c r="Z11" s="522"/>
      <c r="AA11" s="525"/>
      <c r="AB11" s="528"/>
      <c r="AC11" s="534"/>
      <c r="AD11" s="535"/>
      <c r="AE11" s="531"/>
    </row>
    <row r="12" spans="1:33" ht="24.75" customHeight="1">
      <c r="A12" s="536" t="s">
        <v>545</v>
      </c>
      <c r="B12" s="537" t="s">
        <v>76</v>
      </c>
      <c r="C12" s="538">
        <f aca="true" t="shared" si="0" ref="C12:H12">SUM(C6:C11)</f>
        <v>31645.89999999999</v>
      </c>
      <c r="D12" s="538">
        <f t="shared" si="0"/>
        <v>146826.1</v>
      </c>
      <c r="E12" s="538">
        <f t="shared" si="0"/>
        <v>178472</v>
      </c>
      <c r="F12" s="850">
        <f t="shared" si="0"/>
        <v>18672.5</v>
      </c>
      <c r="G12" s="851">
        <f t="shared" si="0"/>
        <v>94552.5</v>
      </c>
      <c r="H12" s="852">
        <f t="shared" si="0"/>
        <v>113225</v>
      </c>
      <c r="I12" s="539">
        <f>SUM(I6:I11)+1</f>
        <v>19800.1</v>
      </c>
      <c r="J12" s="540">
        <f>SUM(J6:J11)</f>
        <v>23637.9</v>
      </c>
      <c r="K12" s="541">
        <f>SUM(K6:K9)</f>
        <v>43438</v>
      </c>
      <c r="L12" s="538">
        <f>SUM(L6:L11)</f>
        <v>43438</v>
      </c>
      <c r="M12" s="541">
        <f>SUM(M6:M11)</f>
        <v>0</v>
      </c>
      <c r="U12" s="542" t="s">
        <v>26</v>
      </c>
      <c r="V12" s="543" t="s">
        <v>76</v>
      </c>
      <c r="W12" s="539">
        <f aca="true" t="shared" si="1" ref="W12:AD12">SUM(W6:W11)</f>
        <v>18672.5</v>
      </c>
      <c r="X12" s="538">
        <f t="shared" si="1"/>
        <v>94552.5</v>
      </c>
      <c r="Y12" s="544">
        <f t="shared" si="1"/>
        <v>113225</v>
      </c>
      <c r="Z12" s="539">
        <f>SUM(Z6:Z11)</f>
        <v>18672.5</v>
      </c>
      <c r="AA12" s="538">
        <f>SUM(AA6:AA11)</f>
        <v>94552.5</v>
      </c>
      <c r="AB12" s="544">
        <f>SUM(AB6:AB11)</f>
        <v>113225</v>
      </c>
      <c r="AC12" s="545">
        <f>SUM(AC6:AC11)</f>
        <v>113225</v>
      </c>
      <c r="AD12" s="546">
        <f t="shared" si="1"/>
        <v>0</v>
      </c>
      <c r="AE12" s="545"/>
      <c r="AG12" s="477">
        <f>+Y13-AG10</f>
        <v>3121.964000000007</v>
      </c>
    </row>
    <row r="13" spans="1:31" ht="24.75" customHeight="1">
      <c r="A13" s="523"/>
      <c r="B13" s="518"/>
      <c r="C13" s="545"/>
      <c r="D13" s="545"/>
      <c r="E13" s="545">
        <f>SUM(C12:D12)</f>
        <v>178472</v>
      </c>
      <c r="F13" s="853"/>
      <c r="G13" s="854"/>
      <c r="H13" s="855"/>
      <c r="I13" s="547"/>
      <c r="J13" s="548"/>
      <c r="K13" s="549"/>
      <c r="L13" s="545"/>
      <c r="M13" s="549"/>
      <c r="U13" s="518"/>
      <c r="V13" s="550"/>
      <c r="W13" s="547"/>
      <c r="X13" s="545"/>
      <c r="Y13" s="551">
        <f>SUM(W12:X12)</f>
        <v>113225</v>
      </c>
      <c r="Z13" s="547"/>
      <c r="AA13" s="545"/>
      <c r="AB13" s="551">
        <f>SUM(Z12:AA12)</f>
        <v>113225</v>
      </c>
      <c r="AC13" s="545"/>
      <c r="AD13" s="552"/>
      <c r="AE13" s="545"/>
    </row>
    <row r="14" spans="1:31" ht="1.5" customHeight="1">
      <c r="A14" s="523"/>
      <c r="B14" s="553"/>
      <c r="C14" s="554"/>
      <c r="D14" s="554"/>
      <c r="E14" s="554"/>
      <c r="F14" s="856"/>
      <c r="G14" s="857"/>
      <c r="H14" s="858"/>
      <c r="I14" s="823"/>
      <c r="J14" s="824"/>
      <c r="K14" s="825"/>
      <c r="L14" s="554"/>
      <c r="M14" s="825"/>
      <c r="U14" s="518"/>
      <c r="V14" s="556"/>
      <c r="W14" s="555"/>
      <c r="X14" s="557"/>
      <c r="Y14" s="558"/>
      <c r="Z14" s="555"/>
      <c r="AA14" s="557"/>
      <c r="AB14" s="558"/>
      <c r="AC14" s="557"/>
      <c r="AD14" s="559"/>
      <c r="AE14" s="557"/>
    </row>
    <row r="15" spans="1:31" ht="24.75" customHeight="1">
      <c r="A15" s="523" t="s">
        <v>544</v>
      </c>
      <c r="B15" s="518" t="s">
        <v>77</v>
      </c>
      <c r="C15" s="520">
        <f>+E15</f>
        <v>280</v>
      </c>
      <c r="D15" s="520"/>
      <c r="E15" s="531">
        <v>280</v>
      </c>
      <c r="F15" s="193">
        <f>+H15</f>
        <v>280</v>
      </c>
      <c r="G15" s="845"/>
      <c r="H15" s="847">
        <v>280</v>
      </c>
      <c r="I15" s="519"/>
      <c r="J15" s="820"/>
      <c r="K15" s="529"/>
      <c r="L15" s="531"/>
      <c r="M15" s="529"/>
      <c r="U15" s="518" t="s">
        <v>27</v>
      </c>
      <c r="V15" s="524" t="s">
        <v>77</v>
      </c>
      <c r="W15" s="522">
        <f>+Y15</f>
        <v>280</v>
      </c>
      <c r="X15" s="525"/>
      <c r="Y15" s="528">
        <v>280</v>
      </c>
      <c r="Z15" s="522">
        <f>+AB15</f>
        <v>280</v>
      </c>
      <c r="AA15" s="525"/>
      <c r="AB15" s="528">
        <v>280</v>
      </c>
      <c r="AC15" s="531"/>
      <c r="AD15" s="530">
        <v>280</v>
      </c>
      <c r="AE15" s="531"/>
    </row>
    <row r="16" spans="1:31" ht="24.75" customHeight="1">
      <c r="A16" s="523" t="s">
        <v>543</v>
      </c>
      <c r="B16" s="518" t="s">
        <v>78</v>
      </c>
      <c r="C16" s="520">
        <f>+E16</f>
        <v>2814</v>
      </c>
      <c r="D16" s="520"/>
      <c r="E16" s="531">
        <v>2814</v>
      </c>
      <c r="F16" s="193">
        <f>+H16</f>
        <v>2100</v>
      </c>
      <c r="G16" s="845"/>
      <c r="H16" s="847">
        <f>2814-714</f>
        <v>2100</v>
      </c>
      <c r="I16" s="519"/>
      <c r="J16" s="820"/>
      <c r="K16" s="529"/>
      <c r="L16" s="531"/>
      <c r="M16" s="529"/>
      <c r="U16" s="518" t="s">
        <v>28</v>
      </c>
      <c r="V16" s="524" t="s">
        <v>78</v>
      </c>
      <c r="W16" s="522">
        <f>+Y16</f>
        <v>2100</v>
      </c>
      <c r="X16" s="525"/>
      <c r="Y16" s="528">
        <f>2814-714</f>
        <v>2100</v>
      </c>
      <c r="Z16" s="522">
        <f>+AB16</f>
        <v>2100</v>
      </c>
      <c r="AA16" s="525"/>
      <c r="AB16" s="528">
        <f>2814-714</f>
        <v>2100</v>
      </c>
      <c r="AC16" s="531"/>
      <c r="AD16" s="530">
        <v>2100</v>
      </c>
      <c r="AE16" s="531"/>
    </row>
    <row r="17" spans="1:31" ht="24.75" customHeight="1">
      <c r="A17" s="523" t="s">
        <v>29</v>
      </c>
      <c r="B17" s="560" t="s">
        <v>79</v>
      </c>
      <c r="C17" s="520">
        <f>+E17</f>
        <v>552</v>
      </c>
      <c r="D17" s="520"/>
      <c r="E17" s="531">
        <v>552</v>
      </c>
      <c r="F17" s="193">
        <f>+H17</f>
        <v>552</v>
      </c>
      <c r="G17" s="845"/>
      <c r="H17" s="847">
        <v>552</v>
      </c>
      <c r="I17" s="519"/>
      <c r="J17" s="820"/>
      <c r="K17" s="529"/>
      <c r="L17" s="531"/>
      <c r="M17" s="529"/>
      <c r="U17" s="518" t="s">
        <v>29</v>
      </c>
      <c r="V17" s="561" t="s">
        <v>79</v>
      </c>
      <c r="W17" s="522">
        <f>+Y17</f>
        <v>552</v>
      </c>
      <c r="X17" s="525"/>
      <c r="Y17" s="528">
        <v>552</v>
      </c>
      <c r="Z17" s="522">
        <f>+AB17</f>
        <v>552</v>
      </c>
      <c r="AA17" s="525"/>
      <c r="AB17" s="528">
        <v>552</v>
      </c>
      <c r="AC17" s="531"/>
      <c r="AD17" s="530">
        <v>552</v>
      </c>
      <c r="AE17" s="531"/>
    </row>
    <row r="18" spans="1:31" ht="24.75" customHeight="1" thickBot="1">
      <c r="A18" s="523" t="s">
        <v>30</v>
      </c>
      <c r="B18" s="518" t="s">
        <v>80</v>
      </c>
      <c r="C18" s="520">
        <f>+E18</f>
        <v>1832</v>
      </c>
      <c r="D18" s="520"/>
      <c r="E18" s="531">
        <v>1832</v>
      </c>
      <c r="F18" s="193">
        <f>+H18</f>
        <v>1832</v>
      </c>
      <c r="G18" s="845"/>
      <c r="H18" s="847">
        <v>1832</v>
      </c>
      <c r="I18" s="519"/>
      <c r="J18" s="820"/>
      <c r="K18" s="529"/>
      <c r="L18" s="531"/>
      <c r="M18" s="529"/>
      <c r="U18" s="562" t="s">
        <v>30</v>
      </c>
      <c r="V18" s="532" t="s">
        <v>80</v>
      </c>
      <c r="W18" s="563">
        <f>+Y18</f>
        <v>1832</v>
      </c>
      <c r="X18" s="564"/>
      <c r="Y18" s="535">
        <v>1832</v>
      </c>
      <c r="Z18" s="563">
        <f>+AB18</f>
        <v>1832</v>
      </c>
      <c r="AA18" s="564"/>
      <c r="AB18" s="535">
        <v>1832</v>
      </c>
      <c r="AC18" s="565"/>
      <c r="AD18" s="534">
        <v>1832</v>
      </c>
      <c r="AE18" s="531"/>
    </row>
    <row r="19" spans="1:31" ht="24.75" customHeight="1">
      <c r="A19" s="523" t="s">
        <v>31</v>
      </c>
      <c r="B19" s="566" t="s">
        <v>431</v>
      </c>
      <c r="C19" s="520"/>
      <c r="D19" s="520"/>
      <c r="E19" s="531"/>
      <c r="F19" s="853">
        <f>SUM(F15:F18)</f>
        <v>4764</v>
      </c>
      <c r="G19" s="854">
        <f>SUM(G15:G18)</f>
        <v>0</v>
      </c>
      <c r="H19" s="855">
        <f>SUM(H15:H18)</f>
        <v>4764</v>
      </c>
      <c r="I19" s="519">
        <v>5000</v>
      </c>
      <c r="J19" s="820"/>
      <c r="K19" s="529">
        <f>SUM(I19:J19)</f>
        <v>5000</v>
      </c>
      <c r="L19" s="531"/>
      <c r="M19" s="529">
        <v>5000</v>
      </c>
      <c r="U19" s="542" t="s">
        <v>31</v>
      </c>
      <c r="V19" s="567" t="s">
        <v>81</v>
      </c>
      <c r="W19" s="547">
        <f aca="true" t="shared" si="2" ref="W19:AC19">SUM(W15:W18)</f>
        <v>4764</v>
      </c>
      <c r="X19" s="545">
        <f t="shared" si="2"/>
        <v>0</v>
      </c>
      <c r="Y19" s="551">
        <f t="shared" si="2"/>
        <v>4764</v>
      </c>
      <c r="Z19" s="547">
        <f>SUM(Z15:Z18)</f>
        <v>4764</v>
      </c>
      <c r="AA19" s="545">
        <f>SUM(AA15:AA18)</f>
        <v>0</v>
      </c>
      <c r="AB19" s="551">
        <f>SUM(AB15:AB18)</f>
        <v>4764</v>
      </c>
      <c r="AC19" s="545">
        <f t="shared" si="2"/>
        <v>0</v>
      </c>
      <c r="AD19" s="546">
        <f>SUM(AD15:AD18)</f>
        <v>4764</v>
      </c>
      <c r="AE19" s="545"/>
    </row>
    <row r="20" spans="1:31" ht="24.75" customHeight="1" thickBot="1">
      <c r="A20" s="568" t="s">
        <v>32</v>
      </c>
      <c r="B20" s="569" t="s">
        <v>81</v>
      </c>
      <c r="C20" s="570">
        <f>SUM(C15:C18)</f>
        <v>5478</v>
      </c>
      <c r="D20" s="570">
        <f>SUM(D15:D18)</f>
        <v>0</v>
      </c>
      <c r="E20" s="570">
        <f>SUM(E15:E18)</f>
        <v>5478</v>
      </c>
      <c r="F20" s="344"/>
      <c r="G20" s="848"/>
      <c r="H20" s="859"/>
      <c r="I20" s="826">
        <f>SUM(I15:I19)</f>
        <v>5000</v>
      </c>
      <c r="J20" s="827">
        <f>SUM(J15:J19)</f>
        <v>0</v>
      </c>
      <c r="K20" s="828">
        <f>SUM(K15:K19)</f>
        <v>5000</v>
      </c>
      <c r="L20" s="570">
        <f>SUM(L15:L19)</f>
        <v>0</v>
      </c>
      <c r="M20" s="828">
        <f>SUM(M15:M19)</f>
        <v>5000</v>
      </c>
      <c r="U20" s="518"/>
      <c r="V20" s="524"/>
      <c r="W20" s="522"/>
      <c r="X20" s="525"/>
      <c r="Y20" s="526"/>
      <c r="Z20" s="522"/>
      <c r="AA20" s="525"/>
      <c r="AB20" s="526"/>
      <c r="AC20" s="525"/>
      <c r="AD20" s="527"/>
      <c r="AE20" s="525"/>
    </row>
    <row r="21" spans="1:31" ht="24.75" customHeight="1" thickBot="1">
      <c r="A21" s="536" t="s">
        <v>33</v>
      </c>
      <c r="B21" s="542" t="s">
        <v>432</v>
      </c>
      <c r="C21" s="571"/>
      <c r="D21" s="571"/>
      <c r="E21" s="571"/>
      <c r="F21" s="342">
        <v>350</v>
      </c>
      <c r="G21" s="860"/>
      <c r="H21" s="861">
        <f>+F21</f>
        <v>350</v>
      </c>
      <c r="I21" s="829"/>
      <c r="J21" s="830"/>
      <c r="K21" s="831"/>
      <c r="L21" s="571"/>
      <c r="M21" s="831"/>
      <c r="U21" s="518" t="s">
        <v>35</v>
      </c>
      <c r="V21" s="524" t="s">
        <v>82</v>
      </c>
      <c r="W21" s="563">
        <v>350</v>
      </c>
      <c r="X21" s="564"/>
      <c r="Y21" s="535">
        <f>+W21</f>
        <v>350</v>
      </c>
      <c r="Z21" s="563">
        <v>350</v>
      </c>
      <c r="AA21" s="564"/>
      <c r="AB21" s="535">
        <f>+Z21</f>
        <v>350</v>
      </c>
      <c r="AC21" s="531"/>
      <c r="AD21" s="530">
        <v>350</v>
      </c>
      <c r="AE21" s="531"/>
    </row>
    <row r="22" spans="1:31" ht="24" customHeight="1" thickBot="1">
      <c r="A22" s="523" t="s">
        <v>34</v>
      </c>
      <c r="B22" s="518" t="s">
        <v>433</v>
      </c>
      <c r="C22" s="520"/>
      <c r="D22" s="520"/>
      <c r="E22" s="520"/>
      <c r="F22" s="853">
        <f>SUM(F21:F21)</f>
        <v>350</v>
      </c>
      <c r="G22" s="854">
        <f>SUM(G21:G21)</f>
        <v>0</v>
      </c>
      <c r="H22" s="855">
        <f>SUM(H21:H21)</f>
        <v>350</v>
      </c>
      <c r="I22" s="519"/>
      <c r="J22" s="820"/>
      <c r="K22" s="821"/>
      <c r="L22" s="520"/>
      <c r="M22" s="821"/>
      <c r="U22" s="536" t="s">
        <v>37</v>
      </c>
      <c r="V22" s="572" t="s">
        <v>83</v>
      </c>
      <c r="W22" s="545">
        <f aca="true" t="shared" si="3" ref="W22:AD22">SUM(W21:W21)</f>
        <v>350</v>
      </c>
      <c r="X22" s="545">
        <f t="shared" si="3"/>
        <v>0</v>
      </c>
      <c r="Y22" s="545">
        <f t="shared" si="3"/>
        <v>350</v>
      </c>
      <c r="Z22" s="545">
        <f>SUM(Z21:Z21)</f>
        <v>350</v>
      </c>
      <c r="AA22" s="545">
        <f>SUM(AA21:AA21)</f>
        <v>0</v>
      </c>
      <c r="AB22" s="545">
        <f>SUM(AB21:AB21)</f>
        <v>350</v>
      </c>
      <c r="AC22" s="546">
        <f t="shared" si="3"/>
        <v>0</v>
      </c>
      <c r="AD22" s="546">
        <f t="shared" si="3"/>
        <v>350</v>
      </c>
      <c r="AE22" s="545"/>
    </row>
    <row r="23" spans="1:31" ht="24.75" customHeight="1" hidden="1">
      <c r="A23" s="425" t="s">
        <v>35</v>
      </c>
      <c r="B23" s="518" t="s">
        <v>82</v>
      </c>
      <c r="C23" s="520">
        <v>350</v>
      </c>
      <c r="D23" s="520"/>
      <c r="E23" s="531">
        <f>+C23</f>
        <v>350</v>
      </c>
      <c r="F23" s="853"/>
      <c r="G23" s="854"/>
      <c r="H23" s="855"/>
      <c r="I23" s="519"/>
      <c r="J23" s="820"/>
      <c r="K23" s="529"/>
      <c r="L23" s="531"/>
      <c r="M23" s="529"/>
      <c r="U23" s="523"/>
      <c r="V23" s="573"/>
      <c r="W23" s="545"/>
      <c r="X23" s="545"/>
      <c r="Y23" s="545"/>
      <c r="Z23" s="545"/>
      <c r="AA23" s="545"/>
      <c r="AB23" s="545"/>
      <c r="AC23" s="552"/>
      <c r="AD23" s="552"/>
      <c r="AE23" s="545"/>
    </row>
    <row r="24" spans="1:31" ht="22.5" customHeight="1" hidden="1">
      <c r="A24" s="523" t="s">
        <v>36</v>
      </c>
      <c r="B24" s="573" t="s">
        <v>83</v>
      </c>
      <c r="C24" s="545">
        <f>SUM(C23:C23)</f>
        <v>350</v>
      </c>
      <c r="D24" s="545">
        <f>SUM(D23:D23)</f>
        <v>0</v>
      </c>
      <c r="E24" s="545">
        <f>SUM(E23:E23)</f>
        <v>350</v>
      </c>
      <c r="F24" s="853"/>
      <c r="G24" s="854"/>
      <c r="H24" s="855">
        <f>SUM(F24:G24)</f>
        <v>0</v>
      </c>
      <c r="I24" s="547">
        <f>SUM(I23:I23)</f>
        <v>0</v>
      </c>
      <c r="J24" s="548">
        <f>SUM(J23:J23)</f>
        <v>0</v>
      </c>
      <c r="K24" s="549">
        <f>SUM(K23:K23)</f>
        <v>0</v>
      </c>
      <c r="L24" s="545">
        <f>SUM(L23:L23)</f>
        <v>0</v>
      </c>
      <c r="M24" s="549">
        <f>SUM(M23:M23)</f>
        <v>0</v>
      </c>
      <c r="U24" s="523" t="s">
        <v>41</v>
      </c>
      <c r="V24" s="573" t="s">
        <v>84</v>
      </c>
      <c r="W24" s="545"/>
      <c r="X24" s="545"/>
      <c r="Y24" s="545">
        <f>SUM(W24:X24)</f>
        <v>0</v>
      </c>
      <c r="Z24" s="545"/>
      <c r="AA24" s="545"/>
      <c r="AB24" s="545">
        <f>SUM(Z24:AA24)</f>
        <v>0</v>
      </c>
      <c r="AC24" s="552"/>
      <c r="AD24" s="552"/>
      <c r="AE24" s="545"/>
    </row>
    <row r="25" spans="1:31" ht="24.75" customHeight="1" hidden="1">
      <c r="A25" s="523"/>
      <c r="B25" s="573"/>
      <c r="C25" s="545"/>
      <c r="D25" s="545"/>
      <c r="E25" s="545"/>
      <c r="F25" s="853"/>
      <c r="G25" s="854"/>
      <c r="H25" s="855"/>
      <c r="I25" s="547"/>
      <c r="J25" s="548"/>
      <c r="K25" s="549"/>
      <c r="L25" s="545"/>
      <c r="M25" s="549"/>
      <c r="U25" s="425"/>
      <c r="V25" s="573"/>
      <c r="W25" s="545"/>
      <c r="X25" s="545"/>
      <c r="Y25" s="545"/>
      <c r="Z25" s="545"/>
      <c r="AA25" s="545"/>
      <c r="AB25" s="545"/>
      <c r="AC25" s="552"/>
      <c r="AD25" s="552"/>
      <c r="AE25" s="545"/>
    </row>
    <row r="26" spans="1:31" ht="24.75" customHeight="1" hidden="1">
      <c r="A26" s="523" t="s">
        <v>37</v>
      </c>
      <c r="B26" s="573" t="s">
        <v>84</v>
      </c>
      <c r="C26" s="545"/>
      <c r="D26" s="545">
        <v>430</v>
      </c>
      <c r="E26" s="545">
        <f>SUM(C26:D26)</f>
        <v>430</v>
      </c>
      <c r="F26" s="862"/>
      <c r="G26" s="863"/>
      <c r="H26" s="864"/>
      <c r="I26" s="547"/>
      <c r="J26" s="548"/>
      <c r="K26" s="549">
        <f>SUM(I26:J26)</f>
        <v>0</v>
      </c>
      <c r="L26" s="545"/>
      <c r="M26" s="549"/>
      <c r="U26" s="425" t="s">
        <v>42</v>
      </c>
      <c r="V26" s="576" t="s">
        <v>311</v>
      </c>
      <c r="AC26" s="518"/>
      <c r="AD26" s="577"/>
      <c r="AE26" s="493"/>
    </row>
    <row r="27" spans="1:31" ht="24.75" customHeight="1" hidden="1" thickBot="1">
      <c r="A27" s="523"/>
      <c r="B27" s="573"/>
      <c r="C27" s="545"/>
      <c r="D27" s="545"/>
      <c r="E27" s="545"/>
      <c r="F27" s="853"/>
      <c r="G27" s="854"/>
      <c r="H27" s="855">
        <f>SUM(F27:G27)</f>
        <v>0</v>
      </c>
      <c r="I27" s="547"/>
      <c r="J27" s="548"/>
      <c r="K27" s="549"/>
      <c r="L27" s="545"/>
      <c r="M27" s="549"/>
      <c r="U27" s="523" t="s">
        <v>43</v>
      </c>
      <c r="V27" s="578" t="s">
        <v>85</v>
      </c>
      <c r="W27" s="545"/>
      <c r="X27" s="545"/>
      <c r="Y27" s="545">
        <f>SUM(W27:X27)</f>
        <v>0</v>
      </c>
      <c r="Z27" s="545"/>
      <c r="AA27" s="545"/>
      <c r="AB27" s="545">
        <f>SUM(Z27:AA27)</f>
        <v>0</v>
      </c>
      <c r="AC27" s="552"/>
      <c r="AD27" s="552"/>
      <c r="AE27" s="545"/>
    </row>
    <row r="28" spans="1:31" ht="24.75" customHeight="1">
      <c r="A28" s="523" t="s">
        <v>35</v>
      </c>
      <c r="B28" s="576" t="s">
        <v>311</v>
      </c>
      <c r="C28" s="425"/>
      <c r="D28" s="425">
        <v>3248</v>
      </c>
      <c r="E28" s="545">
        <f>SUM(C28:D28)</f>
        <v>3248</v>
      </c>
      <c r="F28" s="856">
        <f>SUM(F22:F27)+F19+F12</f>
        <v>23786.5</v>
      </c>
      <c r="G28" s="857">
        <f>SUM(G22:G27)+G19+G12</f>
        <v>94552.5</v>
      </c>
      <c r="H28" s="858">
        <f>SUM(H22:H27)+H19+H12</f>
        <v>118339</v>
      </c>
      <c r="I28" s="523"/>
      <c r="J28" s="574"/>
      <c r="K28" s="575"/>
      <c r="L28" s="425"/>
      <c r="M28" s="832"/>
      <c r="U28" s="536" t="s">
        <v>45</v>
      </c>
      <c r="V28" s="579" t="s">
        <v>86</v>
      </c>
      <c r="W28" s="557">
        <f aca="true" t="shared" si="4" ref="W28:AD28">SUM(W22:W27)+W19+W12</f>
        <v>23786.5</v>
      </c>
      <c r="X28" s="557">
        <f t="shared" si="4"/>
        <v>94552.5</v>
      </c>
      <c r="Y28" s="557">
        <f t="shared" si="4"/>
        <v>118339</v>
      </c>
      <c r="Z28" s="557">
        <f>SUM(Z22:Z27)+Z19+Z12</f>
        <v>23786.5</v>
      </c>
      <c r="AA28" s="557">
        <f>SUM(AA22:AA27)+AA19+AA12</f>
        <v>94552.5</v>
      </c>
      <c r="AB28" s="557">
        <f>SUM(AB22:AB27)+AB19+AB12</f>
        <v>118339</v>
      </c>
      <c r="AC28" s="559">
        <f t="shared" si="4"/>
        <v>113225</v>
      </c>
      <c r="AD28" s="559">
        <f t="shared" si="4"/>
        <v>5114</v>
      </c>
      <c r="AE28" s="557"/>
    </row>
    <row r="29" spans="1:31" ht="24.75" customHeight="1" thickBot="1">
      <c r="A29" s="523" t="s">
        <v>36</v>
      </c>
      <c r="B29" s="578" t="s">
        <v>85</v>
      </c>
      <c r="C29" s="545"/>
      <c r="D29" s="545">
        <v>9366</v>
      </c>
      <c r="E29" s="545">
        <f>SUM(C29:D29)</f>
        <v>9366</v>
      </c>
      <c r="F29" s="856"/>
      <c r="G29" s="857"/>
      <c r="H29" s="858">
        <f>SUM(F28:G28)</f>
        <v>118339</v>
      </c>
      <c r="I29" s="547"/>
      <c r="J29" s="548"/>
      <c r="K29" s="549">
        <f>SUM(I29:J29)</f>
        <v>0</v>
      </c>
      <c r="L29" s="545"/>
      <c r="M29" s="549"/>
      <c r="U29" s="523"/>
      <c r="V29" s="577"/>
      <c r="W29" s="557"/>
      <c r="X29" s="557"/>
      <c r="Y29" s="557">
        <f>SUM(W28:X28)</f>
        <v>118339</v>
      </c>
      <c r="Z29" s="557"/>
      <c r="AA29" s="557"/>
      <c r="AB29" s="557">
        <f>SUM(Z28:AA28)</f>
        <v>118339</v>
      </c>
      <c r="AC29" s="580"/>
      <c r="AD29" s="580"/>
      <c r="AE29" s="557"/>
    </row>
    <row r="30" spans="1:31" ht="24.75" customHeight="1" thickBot="1">
      <c r="A30" s="568" t="s">
        <v>37</v>
      </c>
      <c r="B30" s="581" t="s">
        <v>86</v>
      </c>
      <c r="C30" s="582">
        <f>SUM(C24:C29)+C20+C12</f>
        <v>37473.899999999994</v>
      </c>
      <c r="D30" s="582">
        <f>SUM(D24:D29)+D20+D12</f>
        <v>159870.1</v>
      </c>
      <c r="E30" s="582">
        <f>SUM(E24:E29)+E20+E12</f>
        <v>197344</v>
      </c>
      <c r="F30" s="865">
        <f>+F28</f>
        <v>23786.5</v>
      </c>
      <c r="G30" s="866">
        <f>+G28</f>
        <v>94552.5</v>
      </c>
      <c r="H30" s="867">
        <f>+H28</f>
        <v>118339</v>
      </c>
      <c r="I30" s="833">
        <f>SUM(I24:I29)+I20+I12</f>
        <v>24800.1</v>
      </c>
      <c r="J30" s="834">
        <f>SUM(J24:J29)+J20+J12</f>
        <v>23637.9</v>
      </c>
      <c r="K30" s="835">
        <f>SUM(K24:K29)+K20+K12</f>
        <v>48438</v>
      </c>
      <c r="L30" s="582">
        <f>SUM(L24:L29)+L20+L12</f>
        <v>43438</v>
      </c>
      <c r="M30" s="835">
        <f>SUM(M24:M29)+M20+M12</f>
        <v>5000</v>
      </c>
      <c r="U30" s="523" t="s">
        <v>46</v>
      </c>
      <c r="V30" s="583" t="s">
        <v>87</v>
      </c>
      <c r="W30" s="584">
        <f aca="true" t="shared" si="5" ref="W30:AD30">+W28</f>
        <v>23786.5</v>
      </c>
      <c r="X30" s="585">
        <f t="shared" si="5"/>
        <v>94552.5</v>
      </c>
      <c r="Y30" s="586">
        <f t="shared" si="5"/>
        <v>118339</v>
      </c>
      <c r="Z30" s="584">
        <f>+Z28</f>
        <v>23786.5</v>
      </c>
      <c r="AA30" s="585">
        <f>+AA28</f>
        <v>94552.5</v>
      </c>
      <c r="AB30" s="586">
        <f>+AB28</f>
        <v>118339</v>
      </c>
      <c r="AC30" s="587">
        <f>+AC28</f>
        <v>113225</v>
      </c>
      <c r="AD30" s="587">
        <f t="shared" si="5"/>
        <v>5114</v>
      </c>
      <c r="AE30" s="557"/>
    </row>
    <row r="31" spans="1:31" ht="19.5" customHeight="1">
      <c r="A31" s="536"/>
      <c r="B31" s="500"/>
      <c r="C31" s="588"/>
      <c r="D31" s="588"/>
      <c r="E31" s="588">
        <f>SUM(C30:D30)</f>
        <v>197344</v>
      </c>
      <c r="F31" s="868"/>
      <c r="G31" s="869"/>
      <c r="H31" s="870"/>
      <c r="I31" s="836"/>
      <c r="J31" s="837"/>
      <c r="K31" s="838"/>
      <c r="L31" s="588"/>
      <c r="M31" s="838"/>
      <c r="AD31" s="477">
        <f>SUM(AC30:AD30)</f>
        <v>118339</v>
      </c>
      <c r="AE31" s="477"/>
    </row>
    <row r="32" spans="1:13" ht="24.75" customHeight="1" thickBot="1">
      <c r="A32" s="568" t="s">
        <v>39</v>
      </c>
      <c r="B32" s="589" t="s">
        <v>87</v>
      </c>
      <c r="C32" s="582">
        <f>+C30</f>
        <v>37473.899999999994</v>
      </c>
      <c r="D32" s="582">
        <f>+D30</f>
        <v>159870.1</v>
      </c>
      <c r="E32" s="582">
        <f>+E30</f>
        <v>197344</v>
      </c>
      <c r="F32" s="871"/>
      <c r="G32" s="872"/>
      <c r="H32" s="873"/>
      <c r="I32" s="833">
        <f>+I30</f>
        <v>24800.1</v>
      </c>
      <c r="J32" s="834">
        <f>+J30</f>
        <v>23637.9</v>
      </c>
      <c r="K32" s="835">
        <f>+K30</f>
        <v>48438</v>
      </c>
      <c r="L32" s="582">
        <f>+L30</f>
        <v>43438</v>
      </c>
      <c r="M32" s="835">
        <f>+M30</f>
        <v>5000</v>
      </c>
    </row>
    <row r="33" spans="11:26" ht="24.75" customHeight="1">
      <c r="K33" s="259"/>
      <c r="M33" s="259">
        <f>SUM(L32:M32)</f>
        <v>48438</v>
      </c>
      <c r="W33" s="34">
        <f>+'10.mell. állami 2015.'!D24/1000</f>
        <v>0</v>
      </c>
      <c r="Z33" s="34">
        <f>+'10.mell. állami 2015.'!G24/1000</f>
        <v>0</v>
      </c>
    </row>
    <row r="35" spans="6:26" ht="24.75" customHeight="1">
      <c r="F35" s="477"/>
      <c r="K35" s="259"/>
      <c r="W35" s="477">
        <f>+W30-W33</f>
        <v>23786.5</v>
      </c>
      <c r="Z35" s="477">
        <f>+Z30-Z33</f>
        <v>23786.5</v>
      </c>
    </row>
  </sheetData>
  <sheetProtection/>
  <mergeCells count="7">
    <mergeCell ref="AC2:AD2"/>
    <mergeCell ref="W2:Y2"/>
    <mergeCell ref="Z2:AB2"/>
    <mergeCell ref="C2:E2"/>
    <mergeCell ref="I2:K2"/>
    <mergeCell ref="L2:M2"/>
    <mergeCell ref="F2:H2"/>
  </mergeCells>
  <printOptions/>
  <pageMargins left="0.96" right="0.3937007874015748" top="0.7874015748031497" bottom="0.3937007874015748" header="0.5118110236220472" footer="0.5118110236220472"/>
  <pageSetup horizontalDpi="600" verticalDpi="600" orientation="landscape" paperSize="9" scale="75" r:id="rId1"/>
  <headerFooter alignWithMargins="0">
    <oddHeader>&amp;L6. melléklet a 2015. évi 3/2015.(II.25.) Önkormányzati költségvetési rendelethez&amp;R2015.02.25</oddHeader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P36"/>
  <sheetViews>
    <sheetView view="pageLayout" zoomScaleSheetLayoutView="100" workbookViewId="0" topLeftCell="A1">
      <selection activeCell="B20" sqref="B20"/>
    </sheetView>
  </sheetViews>
  <sheetFormatPr defaultColWidth="9.140625" defaultRowHeight="15" customHeight="1"/>
  <cols>
    <col min="1" max="1" width="7.28125" style="241" customWidth="1"/>
    <col min="2" max="2" width="49.7109375" style="241" customWidth="1"/>
    <col min="3" max="3" width="14.7109375" style="241" customWidth="1"/>
    <col min="4" max="9" width="9.140625" style="241" customWidth="1"/>
    <col min="10" max="10" width="4.7109375" style="34" customWidth="1"/>
    <col min="11" max="11" width="51.8515625" style="34" customWidth="1"/>
    <col min="12" max="12" width="9.8515625" style="34" customWidth="1"/>
    <col min="13" max="13" width="19.8515625" style="34" customWidth="1"/>
    <col min="14" max="14" width="13.00390625" style="34" customWidth="1"/>
    <col min="15" max="15" width="0.2890625" style="34" hidden="1" customWidth="1"/>
    <col min="16" max="16" width="12.140625" style="34" customWidth="1"/>
    <col min="17" max="16384" width="9.140625" style="241" customWidth="1"/>
  </cols>
  <sheetData>
    <row r="1" spans="1:11" ht="15" customHeight="1">
      <c r="A1" s="240" t="s">
        <v>88</v>
      </c>
      <c r="J1" s="260" t="s">
        <v>88</v>
      </c>
      <c r="K1" s="261"/>
    </row>
    <row r="2" spans="1:16" ht="15" customHeight="1">
      <c r="A2" s="240"/>
      <c r="C2" s="244" t="s">
        <v>369</v>
      </c>
      <c r="J2" s="260"/>
      <c r="K2" s="261"/>
      <c r="L2" s="803" t="s">
        <v>313</v>
      </c>
      <c r="M2" s="803" t="s">
        <v>369</v>
      </c>
      <c r="N2" s="803" t="s">
        <v>313</v>
      </c>
      <c r="O2" s="874">
        <v>41912</v>
      </c>
      <c r="P2" s="874">
        <v>41912</v>
      </c>
    </row>
    <row r="3" spans="1:16" ht="15" customHeight="1">
      <c r="A3" s="242"/>
      <c r="B3" s="241" t="s">
        <v>294</v>
      </c>
      <c r="C3" s="348" t="s">
        <v>434</v>
      </c>
      <c r="J3" s="263"/>
      <c r="K3" s="261" t="s">
        <v>294</v>
      </c>
      <c r="L3" s="802" t="s">
        <v>434</v>
      </c>
      <c r="M3" s="802" t="s">
        <v>434</v>
      </c>
      <c r="N3" s="802" t="s">
        <v>435</v>
      </c>
      <c r="O3" s="802" t="s">
        <v>436</v>
      </c>
      <c r="P3" s="803" t="s">
        <v>437</v>
      </c>
    </row>
    <row r="4" spans="1:16" s="349" customFormat="1" ht="15" customHeight="1">
      <c r="A4" s="243"/>
      <c r="B4" s="244"/>
      <c r="C4" s="244" t="s">
        <v>438</v>
      </c>
      <c r="J4" s="264"/>
      <c r="K4" s="265"/>
      <c r="L4" s="799" t="s">
        <v>438</v>
      </c>
      <c r="M4" s="799" t="s">
        <v>438</v>
      </c>
      <c r="N4" s="24"/>
      <c r="O4" s="24"/>
      <c r="P4" s="24"/>
    </row>
    <row r="5" spans="1:16" s="350" customFormat="1" ht="15" customHeight="1">
      <c r="A5" s="245"/>
      <c r="B5" s="245"/>
      <c r="C5" s="245"/>
      <c r="J5" s="266"/>
      <c r="K5" s="266"/>
      <c r="L5" s="800"/>
      <c r="M5" s="800"/>
      <c r="N5" s="800"/>
      <c r="O5" s="800"/>
      <c r="P5" s="800"/>
    </row>
    <row r="6" spans="1:16" s="350" customFormat="1" ht="15" customHeight="1">
      <c r="A6" s="245"/>
      <c r="B6" s="245"/>
      <c r="C6" s="245"/>
      <c r="J6" s="266"/>
      <c r="K6" s="266"/>
      <c r="L6" s="800"/>
      <c r="M6" s="800"/>
      <c r="N6" s="800"/>
      <c r="O6" s="800"/>
      <c r="P6" s="800"/>
    </row>
    <row r="7" spans="1:15" ht="23.25" customHeight="1">
      <c r="A7" s="350" t="s">
        <v>20</v>
      </c>
      <c r="B7" s="247" t="s">
        <v>373</v>
      </c>
      <c r="C7" s="248">
        <v>1000</v>
      </c>
      <c r="K7" s="268"/>
      <c r="L7" s="875"/>
      <c r="M7" s="875"/>
      <c r="N7" s="875"/>
      <c r="O7" s="875"/>
    </row>
    <row r="8" spans="1:16" ht="33.75" customHeight="1">
      <c r="A8" s="350" t="s">
        <v>21</v>
      </c>
      <c r="B8" s="249" t="s">
        <v>372</v>
      </c>
      <c r="C8" s="248">
        <v>2000</v>
      </c>
      <c r="J8" s="269"/>
      <c r="K8" s="270" t="s">
        <v>439</v>
      </c>
      <c r="L8" s="477" t="e">
        <f>+'[11]felhalmozási bevétel'!L7+22863-1000-1000-4272-500</f>
        <v>#REF!</v>
      </c>
      <c r="M8" s="477"/>
      <c r="N8" s="477">
        <v>12172</v>
      </c>
      <c r="O8" s="477">
        <v>1872</v>
      </c>
      <c r="P8" s="34">
        <v>0</v>
      </c>
    </row>
    <row r="9" spans="1:16" ht="15" customHeight="1">
      <c r="A9" s="347" t="s">
        <v>22</v>
      </c>
      <c r="B9" s="250" t="s">
        <v>631</v>
      </c>
      <c r="C9" s="246">
        <f>SUM(C7:C8)</f>
        <v>3000</v>
      </c>
      <c r="J9" s="269"/>
      <c r="K9" s="270" t="s">
        <v>440</v>
      </c>
      <c r="L9" s="477">
        <v>1000</v>
      </c>
      <c r="M9" s="477">
        <v>1000</v>
      </c>
      <c r="N9" s="477">
        <f>+L9</f>
        <v>1000</v>
      </c>
      <c r="O9" s="477">
        <v>10836</v>
      </c>
      <c r="P9" s="34">
        <v>0</v>
      </c>
    </row>
    <row r="10" spans="1:16" ht="25.5" customHeight="1">
      <c r="A10" s="347"/>
      <c r="B10" s="250"/>
      <c r="C10" s="246"/>
      <c r="J10" s="269"/>
      <c r="K10" s="270" t="s">
        <v>441</v>
      </c>
      <c r="L10" s="477"/>
      <c r="M10" s="477"/>
      <c r="N10" s="477">
        <v>6094</v>
      </c>
      <c r="O10" s="477">
        <v>6094</v>
      </c>
      <c r="P10" s="477">
        <v>1200</v>
      </c>
    </row>
    <row r="11" spans="1:16" ht="15" customHeight="1">
      <c r="A11" s="350" t="s">
        <v>23</v>
      </c>
      <c r="B11" s="247" t="s">
        <v>374</v>
      </c>
      <c r="C11" s="251">
        <v>1500</v>
      </c>
      <c r="J11" s="269"/>
      <c r="K11" s="270" t="s">
        <v>442</v>
      </c>
      <c r="L11" s="477"/>
      <c r="M11" s="477"/>
      <c r="N11" s="477">
        <v>12492</v>
      </c>
      <c r="O11" s="477">
        <v>12492</v>
      </c>
      <c r="P11" s="477">
        <v>0</v>
      </c>
    </row>
    <row r="12" spans="1:16" ht="21.75" customHeight="1">
      <c r="A12" s="350" t="s">
        <v>24</v>
      </c>
      <c r="B12" s="247" t="s">
        <v>552</v>
      </c>
      <c r="C12" s="251">
        <v>7000</v>
      </c>
      <c r="K12" s="272" t="s">
        <v>443</v>
      </c>
      <c r="L12" s="477"/>
      <c r="M12" s="477"/>
      <c r="N12" s="477">
        <v>1000</v>
      </c>
      <c r="O12" s="477">
        <v>1000</v>
      </c>
      <c r="P12" s="477">
        <v>965</v>
      </c>
    </row>
    <row r="13" spans="1:16" ht="18.75" customHeight="1">
      <c r="A13" s="350" t="s">
        <v>25</v>
      </c>
      <c r="B13" s="247" t="s">
        <v>616</v>
      </c>
      <c r="C13" s="251">
        <v>20000</v>
      </c>
      <c r="K13" s="270" t="s">
        <v>444</v>
      </c>
      <c r="L13" s="477"/>
      <c r="M13" s="477"/>
      <c r="N13" s="477">
        <f>2087+563</f>
        <v>2650</v>
      </c>
      <c r="O13" s="477">
        <f>2087+563</f>
        <v>2650</v>
      </c>
      <c r="P13" s="477">
        <v>834</v>
      </c>
    </row>
    <row r="14" spans="1:16" ht="15" customHeight="1">
      <c r="A14" s="350" t="s">
        <v>26</v>
      </c>
      <c r="B14" s="351" t="s">
        <v>632</v>
      </c>
      <c r="C14" s="246">
        <f>SUM(C11:C13)</f>
        <v>28500</v>
      </c>
      <c r="K14" s="270" t="s">
        <v>445</v>
      </c>
      <c r="L14" s="477"/>
      <c r="M14" s="477"/>
      <c r="N14" s="477">
        <v>1100</v>
      </c>
      <c r="O14" s="477">
        <v>1100</v>
      </c>
      <c r="P14" s="477">
        <v>1143</v>
      </c>
    </row>
    <row r="15" spans="1:16" ht="24" customHeight="1">
      <c r="A15" s="350"/>
      <c r="B15" s="351"/>
      <c r="C15" s="349"/>
      <c r="K15" s="270" t="s">
        <v>446</v>
      </c>
      <c r="L15" s="477"/>
      <c r="M15" s="477"/>
      <c r="N15" s="477">
        <v>519</v>
      </c>
      <c r="O15" s="477">
        <v>774</v>
      </c>
      <c r="P15" s="477">
        <v>774</v>
      </c>
    </row>
    <row r="16" spans="1:16" ht="29.25" customHeight="1">
      <c r="A16" s="350" t="s">
        <v>27</v>
      </c>
      <c r="B16" s="451" t="s">
        <v>634</v>
      </c>
      <c r="C16" s="349">
        <v>1000</v>
      </c>
      <c r="K16" s="270" t="s">
        <v>372</v>
      </c>
      <c r="L16" s="477"/>
      <c r="M16" s="477">
        <v>1800</v>
      </c>
      <c r="N16" s="477">
        <v>0</v>
      </c>
      <c r="O16" s="477">
        <v>3625</v>
      </c>
      <c r="P16" s="477">
        <v>3624</v>
      </c>
    </row>
    <row r="17" spans="1:16" ht="15" customHeight="1">
      <c r="A17" s="350"/>
      <c r="B17" s="876"/>
      <c r="C17" s="349"/>
      <c r="K17" s="270"/>
      <c r="L17" s="477"/>
      <c r="M17" s="477"/>
      <c r="N17" s="477"/>
      <c r="O17" s="477"/>
      <c r="P17" s="477"/>
    </row>
    <row r="18" spans="1:16" ht="15" customHeight="1">
      <c r="A18" s="350" t="s">
        <v>28</v>
      </c>
      <c r="B18" s="349" t="s">
        <v>91</v>
      </c>
      <c r="C18" s="246">
        <f>C9+C14+C16</f>
        <v>32500</v>
      </c>
      <c r="K18" s="270" t="s">
        <v>447</v>
      </c>
      <c r="L18" s="477"/>
      <c r="M18" s="477"/>
      <c r="N18" s="477">
        <v>8900</v>
      </c>
      <c r="O18" s="477">
        <v>8900</v>
      </c>
      <c r="P18" s="477">
        <v>0</v>
      </c>
    </row>
    <row r="19" spans="11:16" ht="15" customHeight="1">
      <c r="K19" s="270" t="s">
        <v>448</v>
      </c>
      <c r="L19" s="477"/>
      <c r="M19" s="477"/>
      <c r="N19" s="477">
        <v>800</v>
      </c>
      <c r="O19" s="477">
        <v>800</v>
      </c>
      <c r="P19" s="477">
        <v>0</v>
      </c>
    </row>
    <row r="20" spans="11:16" ht="15" customHeight="1">
      <c r="K20" s="270"/>
      <c r="L20" s="477"/>
      <c r="M20" s="477"/>
      <c r="N20" s="477"/>
      <c r="O20" s="477">
        <v>35</v>
      </c>
      <c r="P20" s="477"/>
    </row>
    <row r="21" spans="10:16" ht="15" customHeight="1">
      <c r="J21" s="269"/>
      <c r="K21" s="270"/>
      <c r="L21" s="477"/>
      <c r="M21" s="477"/>
      <c r="N21" s="477"/>
      <c r="O21" s="477"/>
      <c r="P21" s="477"/>
    </row>
    <row r="22" spans="11:16" ht="15" customHeight="1">
      <c r="K22" s="273" t="s">
        <v>89</v>
      </c>
      <c r="L22" s="877" t="e">
        <f>SUM(L8:L12)</f>
        <v>#REF!</v>
      </c>
      <c r="M22" s="877">
        <f>SUM(M8:M19)</f>
        <v>2800</v>
      </c>
      <c r="N22" s="877">
        <f>SUM(N8:N21)</f>
        <v>46727</v>
      </c>
      <c r="O22" s="877">
        <f>SUM(O8:O20)</f>
        <v>50178</v>
      </c>
      <c r="P22" s="878">
        <f>SUM(P9:P20)</f>
        <v>8540</v>
      </c>
    </row>
    <row r="23" spans="11:16" ht="15" customHeight="1">
      <c r="K23" s="274"/>
      <c r="L23" s="879"/>
      <c r="M23" s="879"/>
      <c r="N23" s="879"/>
      <c r="O23" s="879">
        <v>71554</v>
      </c>
      <c r="P23" s="880"/>
    </row>
    <row r="24" spans="12:16" ht="15" customHeight="1">
      <c r="L24" s="880"/>
      <c r="M24" s="880"/>
      <c r="N24" s="880"/>
      <c r="O24" s="880"/>
      <c r="P24" s="880"/>
    </row>
    <row r="25" spans="11:16" ht="15" customHeight="1">
      <c r="K25" s="275" t="s">
        <v>449</v>
      </c>
      <c r="L25" s="880">
        <f>9041+3096</f>
        <v>12137</v>
      </c>
      <c r="M25" s="880">
        <v>0</v>
      </c>
      <c r="N25" s="880">
        <f>+L25</f>
        <v>12137</v>
      </c>
      <c r="O25" s="880">
        <v>12137</v>
      </c>
      <c r="P25" s="880">
        <v>0</v>
      </c>
    </row>
    <row r="26" spans="11:16" ht="15" customHeight="1">
      <c r="K26" s="275" t="s">
        <v>450</v>
      </c>
      <c r="L26" s="880">
        <v>1500</v>
      </c>
      <c r="M26" s="880">
        <v>1500</v>
      </c>
      <c r="N26" s="880">
        <f>+L26</f>
        <v>1500</v>
      </c>
      <c r="O26" s="880">
        <v>1500</v>
      </c>
      <c r="P26" s="880">
        <v>0</v>
      </c>
    </row>
    <row r="27" spans="10:16" ht="15" customHeight="1">
      <c r="J27" s="269"/>
      <c r="K27" s="275" t="s">
        <v>451</v>
      </c>
      <c r="L27" s="880"/>
      <c r="M27" s="880"/>
      <c r="N27" s="880">
        <v>0</v>
      </c>
      <c r="O27" s="880">
        <f>849+229</f>
        <v>1078</v>
      </c>
      <c r="P27" s="880">
        <f>849+229</f>
        <v>1078</v>
      </c>
    </row>
    <row r="28" spans="10:16" ht="15" customHeight="1">
      <c r="J28" s="269"/>
      <c r="K28" s="275" t="s">
        <v>452</v>
      </c>
      <c r="L28" s="880"/>
      <c r="M28" s="880">
        <v>7000</v>
      </c>
      <c r="N28" s="880">
        <v>0</v>
      </c>
      <c r="O28" s="880">
        <v>10300</v>
      </c>
      <c r="P28" s="880">
        <f>7598+453+2186</f>
        <v>10237</v>
      </c>
    </row>
    <row r="29" spans="10:16" ht="15" customHeight="1">
      <c r="J29" s="269"/>
      <c r="K29" s="275"/>
      <c r="L29" s="880"/>
      <c r="M29" s="880"/>
      <c r="N29" s="880"/>
      <c r="O29" s="880"/>
      <c r="P29" s="880"/>
    </row>
    <row r="30" spans="10:16" ht="15" customHeight="1">
      <c r="J30" s="269"/>
      <c r="K30" s="270"/>
      <c r="L30" s="880"/>
      <c r="M30" s="880"/>
      <c r="N30" s="880"/>
      <c r="O30" s="880"/>
      <c r="P30" s="880"/>
    </row>
    <row r="31" spans="10:16" ht="15" customHeight="1">
      <c r="J31" s="269"/>
      <c r="K31" s="275" t="s">
        <v>453</v>
      </c>
      <c r="L31" s="880"/>
      <c r="M31" s="880"/>
      <c r="N31" s="880">
        <v>4583</v>
      </c>
      <c r="O31" s="880">
        <v>4583</v>
      </c>
      <c r="P31" s="880">
        <v>0</v>
      </c>
    </row>
    <row r="32" spans="11:16" ht="15" customHeight="1">
      <c r="K32" s="275"/>
      <c r="L32" s="880"/>
      <c r="M32" s="880"/>
      <c r="N32" s="880"/>
      <c r="O32" s="880"/>
      <c r="P32" s="880"/>
    </row>
    <row r="33" spans="11:16" ht="15" customHeight="1">
      <c r="K33" s="276" t="s">
        <v>90</v>
      </c>
      <c r="L33" s="881">
        <f>SUM(L25:L32)</f>
        <v>13637</v>
      </c>
      <c r="M33" s="881">
        <f>SUM(M25:M32)</f>
        <v>8500</v>
      </c>
      <c r="N33" s="881">
        <f>SUM(N25:N32)</f>
        <v>18220</v>
      </c>
      <c r="O33" s="881">
        <f>SUM(O25:O32)</f>
        <v>29598</v>
      </c>
      <c r="P33" s="882">
        <f>SUM(P25:P28)</f>
        <v>11315</v>
      </c>
    </row>
    <row r="34" spans="11:15" ht="15" customHeight="1">
      <c r="K34" s="277"/>
      <c r="L34" s="26"/>
      <c r="M34" s="26"/>
      <c r="N34" s="26"/>
      <c r="O34" s="26"/>
    </row>
    <row r="35" spans="11:16" ht="15" customHeight="1">
      <c r="K35" s="26" t="s">
        <v>91</v>
      </c>
      <c r="L35" s="27" t="e">
        <f>+L33+L22</f>
        <v>#REF!</v>
      </c>
      <c r="M35" s="27">
        <f>+M33+M22</f>
        <v>11300</v>
      </c>
      <c r="N35" s="27">
        <f>+N33+N22</f>
        <v>64947</v>
      </c>
      <c r="O35" s="27">
        <f>+O33+O22</f>
        <v>79776</v>
      </c>
      <c r="P35" s="27">
        <f>+P33+P22</f>
        <v>19855</v>
      </c>
    </row>
    <row r="36" ht="15" customHeight="1">
      <c r="O36" s="34">
        <v>101152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&amp;L7. melléklet a 2015. évi 3/2015.(II.25.) Önkormányzati költségvetési rendelethez&amp;R2015.02.25</oddHeader>
    <oddFooter>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O29"/>
  <sheetViews>
    <sheetView view="pageLayout" zoomScaleSheetLayoutView="100" workbookViewId="0" topLeftCell="A1">
      <selection activeCell="D35" sqref="D35"/>
    </sheetView>
  </sheetViews>
  <sheetFormatPr defaultColWidth="9.140625" defaultRowHeight="12.75"/>
  <cols>
    <col min="1" max="1" width="4.7109375" style="884" bestFit="1" customWidth="1"/>
    <col min="2" max="2" width="67.7109375" style="876" customWidth="1"/>
    <col min="3" max="3" width="12.140625" style="876" customWidth="1"/>
    <col min="4" max="8" width="9.140625" style="876" customWidth="1"/>
    <col min="9" max="9" width="4.7109375" style="884" bestFit="1" customWidth="1"/>
    <col min="10" max="10" width="66.421875" style="876" customWidth="1"/>
    <col min="11" max="11" width="11.140625" style="876" customWidth="1"/>
    <col min="12" max="12" width="17.140625" style="876" customWidth="1"/>
    <col min="13" max="13" width="10.7109375" style="876" customWidth="1"/>
    <col min="14" max="14" width="0.13671875" style="876" customWidth="1"/>
    <col min="15" max="15" width="12.7109375" style="876" customWidth="1"/>
    <col min="16" max="16384" width="9.140625" style="876" customWidth="1"/>
  </cols>
  <sheetData>
    <row r="1" spans="1:9" ht="15">
      <c r="A1" s="883" t="s">
        <v>134</v>
      </c>
      <c r="I1" s="883" t="s">
        <v>134</v>
      </c>
    </row>
    <row r="2" spans="2:12" ht="15">
      <c r="B2" s="885"/>
      <c r="J2" s="885"/>
      <c r="L2" s="885"/>
    </row>
    <row r="3" spans="2:15" ht="15">
      <c r="B3" s="886" t="s">
        <v>135</v>
      </c>
      <c r="C3" s="244" t="s">
        <v>369</v>
      </c>
      <c r="J3" s="886" t="s">
        <v>135</v>
      </c>
      <c r="K3" s="887" t="s">
        <v>313</v>
      </c>
      <c r="L3" s="888" t="s">
        <v>369</v>
      </c>
      <c r="M3" s="887" t="s">
        <v>313</v>
      </c>
      <c r="N3" s="889">
        <v>41912</v>
      </c>
      <c r="O3" s="889">
        <v>41912</v>
      </c>
    </row>
    <row r="4" spans="3:15" ht="15">
      <c r="C4" s="348" t="s">
        <v>434</v>
      </c>
      <c r="K4" s="887" t="s">
        <v>454</v>
      </c>
      <c r="L4" s="887" t="s">
        <v>310</v>
      </c>
      <c r="M4" s="887" t="s">
        <v>435</v>
      </c>
      <c r="N4" s="887" t="s">
        <v>436</v>
      </c>
      <c r="O4" s="887" t="s">
        <v>455</v>
      </c>
    </row>
    <row r="5" spans="3:15" ht="15">
      <c r="C5" s="244" t="s">
        <v>438</v>
      </c>
      <c r="K5" s="887"/>
      <c r="L5" s="887"/>
      <c r="M5" s="887"/>
      <c r="N5" s="887"/>
      <c r="O5" s="887"/>
    </row>
    <row r="6" spans="1:15" ht="15">
      <c r="A6" s="890"/>
      <c r="B6" s="887"/>
      <c r="C6" s="890"/>
      <c r="I6" s="887"/>
      <c r="J6" s="887"/>
      <c r="K6" s="887"/>
      <c r="L6" s="887"/>
      <c r="M6" s="887"/>
      <c r="N6" s="887"/>
      <c r="O6" s="887"/>
    </row>
    <row r="8" spans="1:15" ht="15">
      <c r="A8" s="884" t="s">
        <v>20</v>
      </c>
      <c r="B8" s="876" t="s">
        <v>136</v>
      </c>
      <c r="C8" s="892">
        <f>+'1.mell. pfbevétel'!E34</f>
        <v>150</v>
      </c>
      <c r="J8" s="876" t="s">
        <v>136</v>
      </c>
      <c r="K8" s="891">
        <v>150</v>
      </c>
      <c r="L8" s="891">
        <v>150</v>
      </c>
      <c r="M8" s="891">
        <v>150</v>
      </c>
      <c r="N8" s="891">
        <v>150</v>
      </c>
      <c r="O8" s="891">
        <v>134</v>
      </c>
    </row>
    <row r="9" spans="3:15" ht="15">
      <c r="C9" s="891"/>
      <c r="K9" s="891"/>
      <c r="L9" s="891"/>
      <c r="M9" s="891"/>
      <c r="N9" s="891"/>
      <c r="O9" s="891"/>
    </row>
    <row r="10" spans="1:15" ht="15">
      <c r="A10" s="884" t="s">
        <v>21</v>
      </c>
      <c r="B10" s="876" t="s">
        <v>359</v>
      </c>
      <c r="C10" s="891">
        <v>20000</v>
      </c>
      <c r="K10" s="891">
        <f>K8</f>
        <v>150</v>
      </c>
      <c r="L10" s="891"/>
      <c r="M10" s="891">
        <f>M8</f>
        <v>150</v>
      </c>
      <c r="N10" s="891">
        <f>N8</f>
        <v>150</v>
      </c>
      <c r="O10" s="891">
        <f>O8</f>
        <v>134</v>
      </c>
    </row>
    <row r="11" spans="1:15" ht="15">
      <c r="A11" s="884" t="s">
        <v>22</v>
      </c>
      <c r="B11" s="876" t="s">
        <v>358</v>
      </c>
      <c r="C11" s="891">
        <v>10000</v>
      </c>
      <c r="K11" s="891"/>
      <c r="L11" s="891"/>
      <c r="M11" s="891"/>
      <c r="N11" s="891"/>
      <c r="O11" s="891"/>
    </row>
    <row r="12" spans="1:15" ht="22.5" customHeight="1">
      <c r="A12" s="884" t="s">
        <v>23</v>
      </c>
      <c r="B12" s="610" t="s">
        <v>370</v>
      </c>
      <c r="C12" s="891">
        <v>71380</v>
      </c>
      <c r="J12" s="876" t="s">
        <v>456</v>
      </c>
      <c r="K12" s="891"/>
      <c r="L12" s="891"/>
      <c r="M12" s="891">
        <v>0</v>
      </c>
      <c r="N12" s="891">
        <v>6543</v>
      </c>
      <c r="O12" s="891">
        <v>6543</v>
      </c>
    </row>
    <row r="13" spans="3:15" ht="15">
      <c r="C13" s="892">
        <f>SUM(C10:C12)</f>
        <v>101380</v>
      </c>
      <c r="J13" s="876" t="s">
        <v>359</v>
      </c>
      <c r="K13" s="891">
        <v>7000</v>
      </c>
      <c r="L13" s="891">
        <v>0</v>
      </c>
      <c r="M13" s="891">
        <f>+K13</f>
        <v>7000</v>
      </c>
      <c r="N13" s="891">
        <v>6223</v>
      </c>
      <c r="O13" s="891">
        <v>6050</v>
      </c>
    </row>
    <row r="14" spans="3:15" ht="15">
      <c r="C14" s="891"/>
      <c r="J14" s="876" t="s">
        <v>358</v>
      </c>
      <c r="K14" s="891">
        <f>35000+9450</f>
        <v>44450</v>
      </c>
      <c r="L14" s="891">
        <v>10000</v>
      </c>
      <c r="M14" s="891">
        <f>+K14</f>
        <v>44450</v>
      </c>
      <c r="N14" s="891">
        <v>38684</v>
      </c>
      <c r="O14" s="891">
        <v>0</v>
      </c>
    </row>
    <row r="15" spans="1:15" ht="15">
      <c r="A15" s="884" t="s">
        <v>24</v>
      </c>
      <c r="B15" s="886" t="s">
        <v>137</v>
      </c>
      <c r="C15" s="892">
        <f>C8+C13</f>
        <v>101530</v>
      </c>
      <c r="J15" s="893" t="s">
        <v>457</v>
      </c>
      <c r="K15" s="891">
        <v>0</v>
      </c>
      <c r="L15" s="894">
        <v>0</v>
      </c>
      <c r="M15" s="891">
        <v>0</v>
      </c>
      <c r="N15" s="891">
        <v>0</v>
      </c>
      <c r="O15" s="891">
        <v>236</v>
      </c>
    </row>
    <row r="16" spans="10:15" ht="15">
      <c r="J16" s="893"/>
      <c r="K16" s="891">
        <f>SUM(K12:K14)</f>
        <v>51450</v>
      </c>
      <c r="L16" s="891">
        <f>SUM(L12:L14)</f>
        <v>10000</v>
      </c>
      <c r="M16" s="891">
        <f>SUM(M12:M14)</f>
        <v>51450</v>
      </c>
      <c r="N16" s="891">
        <f>SUM(N12:N15)</f>
        <v>51450</v>
      </c>
      <c r="O16" s="891">
        <f>SUM(O12:O15)</f>
        <v>12829</v>
      </c>
    </row>
    <row r="17" spans="10:15" ht="15">
      <c r="J17" s="895"/>
      <c r="K17" s="891"/>
      <c r="L17" s="896"/>
      <c r="M17" s="891"/>
      <c r="N17" s="891"/>
      <c r="O17" s="891"/>
    </row>
    <row r="18" spans="10:15" ht="15">
      <c r="J18" s="876" t="s">
        <v>458</v>
      </c>
      <c r="K18" s="891"/>
      <c r="L18" s="891"/>
      <c r="M18" s="891">
        <v>26212</v>
      </c>
      <c r="N18" s="891">
        <v>26212</v>
      </c>
      <c r="O18" s="891">
        <v>10591</v>
      </c>
    </row>
    <row r="19" spans="10:15" ht="15">
      <c r="J19" s="876" t="s">
        <v>190</v>
      </c>
      <c r="K19" s="891"/>
      <c r="L19" s="891"/>
      <c r="M19" s="891">
        <v>6094</v>
      </c>
      <c r="N19" s="891">
        <v>6094</v>
      </c>
      <c r="O19" s="891">
        <v>6094</v>
      </c>
    </row>
    <row r="20" spans="10:15" ht="15">
      <c r="J20" s="610" t="s">
        <v>442</v>
      </c>
      <c r="K20" s="891"/>
      <c r="L20" s="897"/>
      <c r="M20" s="891">
        <v>12492</v>
      </c>
      <c r="N20" s="891">
        <v>12492</v>
      </c>
      <c r="O20" s="891">
        <v>12492</v>
      </c>
    </row>
    <row r="21" spans="10:15" ht="15">
      <c r="J21" s="809" t="s">
        <v>459</v>
      </c>
      <c r="K21" s="891"/>
      <c r="L21" s="898"/>
      <c r="M21" s="891">
        <v>235624</v>
      </c>
      <c r="N21" s="891">
        <v>235624</v>
      </c>
      <c r="O21" s="891">
        <v>235624</v>
      </c>
    </row>
    <row r="22" spans="3:15" ht="15">
      <c r="C22" s="244"/>
      <c r="J22" s="809" t="s">
        <v>460</v>
      </c>
      <c r="K22" s="891"/>
      <c r="L22" s="898"/>
      <c r="M22" s="891">
        <v>8900</v>
      </c>
      <c r="N22" s="891">
        <v>8900</v>
      </c>
      <c r="O22" s="891">
        <v>8900</v>
      </c>
    </row>
    <row r="23" spans="3:15" ht="15">
      <c r="C23" s="348"/>
      <c r="J23" s="809" t="s">
        <v>461</v>
      </c>
      <c r="K23" s="891"/>
      <c r="L23" s="898"/>
      <c r="M23" s="891">
        <v>800</v>
      </c>
      <c r="N23" s="891">
        <v>800</v>
      </c>
      <c r="O23" s="891">
        <v>800</v>
      </c>
    </row>
    <row r="24" spans="3:15" ht="15">
      <c r="C24" s="244"/>
      <c r="J24" s="610" t="s">
        <v>462</v>
      </c>
      <c r="K24" s="891"/>
      <c r="L24" s="897"/>
      <c r="M24" s="891">
        <v>1000</v>
      </c>
      <c r="N24" s="891">
        <v>1000</v>
      </c>
      <c r="O24" s="891">
        <v>1000</v>
      </c>
    </row>
    <row r="25" spans="10:15" ht="15">
      <c r="J25" s="610" t="s">
        <v>463</v>
      </c>
      <c r="K25" s="891"/>
      <c r="L25" s="897"/>
      <c r="M25" s="891">
        <v>1100</v>
      </c>
      <c r="N25" s="891">
        <v>1100</v>
      </c>
      <c r="O25" s="891">
        <v>0</v>
      </c>
    </row>
    <row r="26" spans="10:15" ht="29.25">
      <c r="J26" s="270" t="s">
        <v>370</v>
      </c>
      <c r="K26" s="899">
        <f>SUM(K18:K25)</f>
        <v>0</v>
      </c>
      <c r="L26" s="897">
        <v>71380</v>
      </c>
      <c r="M26" s="900">
        <f>SUM(M18:M25)</f>
        <v>292222</v>
      </c>
      <c r="N26" s="900">
        <f>SUM(N18:N25)</f>
        <v>292222</v>
      </c>
      <c r="O26" s="900">
        <f>SUM(O18:O25)</f>
        <v>275501</v>
      </c>
    </row>
    <row r="27" spans="10:15" ht="15">
      <c r="J27" s="610"/>
      <c r="K27" s="891"/>
      <c r="L27" s="897"/>
      <c r="M27" s="891"/>
      <c r="N27" s="891"/>
      <c r="O27" s="891"/>
    </row>
    <row r="28" spans="11:15" ht="15">
      <c r="K28" s="891"/>
      <c r="L28" s="891"/>
      <c r="M28" s="891"/>
      <c r="N28" s="891"/>
      <c r="O28" s="891"/>
    </row>
    <row r="29" spans="10:15" ht="15">
      <c r="J29" s="886" t="s">
        <v>137</v>
      </c>
      <c r="K29" s="892">
        <f>K16+K26+K10</f>
        <v>51600</v>
      </c>
      <c r="L29" s="892">
        <f>L8+L14+L26</f>
        <v>81530</v>
      </c>
      <c r="M29" s="892">
        <v>343822</v>
      </c>
      <c r="N29" s="892">
        <f>N16+N26+N10</f>
        <v>343822</v>
      </c>
      <c r="O29" s="892">
        <v>288464</v>
      </c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&amp;L8. melléklet a 2015. évi 3/2015.(II.25.) Önkormányzati költségvetési rendelethez&amp;R2015.02.25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Battonya Önkormányzat</dc:title>
  <dc:subject/>
  <dc:creator>PH Pénzügyi Csoport MRA</dc:creator>
  <cp:keywords>2015.évi költségvetés</cp:keywords>
  <dc:description/>
  <cp:lastModifiedBy>BVÖ01</cp:lastModifiedBy>
  <cp:lastPrinted>2015-03-02T14:08:39Z</cp:lastPrinted>
  <dcterms:created xsi:type="dcterms:W3CDTF">2013-01-09T15:47:27Z</dcterms:created>
  <dcterms:modified xsi:type="dcterms:W3CDTF">2015-03-02T14:18:07Z</dcterms:modified>
  <cp:category>rendelet</cp:category>
  <cp:version/>
  <cp:contentType/>
  <cp:contentStatus/>
</cp:coreProperties>
</file>